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webindicator\files\USA ALIMENTOS\"/>
    </mc:Choice>
  </mc:AlternateContent>
  <bookViews>
    <workbookView xWindow="0" yWindow="0" windowWidth="19200" windowHeight="6150" tabRatio="823" activeTab="13"/>
  </bookViews>
  <sheets>
    <sheet name="Inicio" sheetId="38" r:id="rId1"/>
    <sheet name="DATOS" sheetId="45" state="veryHidden" r:id="rId2"/>
    <sheet name="BDER" sheetId="1" r:id="rId3"/>
    <sheet name="BDFE" sheetId="26" r:id="rId4"/>
    <sheet name="BDLT" sheetId="44" r:id="rId5"/>
    <sheet name="BDBG" sheetId="4" r:id="rId6"/>
    <sheet name="BDPP" sheetId="42" r:id="rId7"/>
    <sheet name="BG" sheetId="5" r:id="rId8"/>
    <sheet name="CBG" sheetId="9" r:id="rId9"/>
    <sheet name="ER" sheetId="2" r:id="rId10"/>
    <sheet name="FE" sheetId="25" r:id="rId11"/>
    <sheet name="Fed (2)" sheetId="28" r:id="rId12"/>
    <sheet name="Cost" sheetId="36" r:id="rId13"/>
    <sheet name="Tendencias" sheetId="39" r:id="rId14"/>
    <sheet name="ER 2017" sheetId="29" state="hidden" r:id="rId15"/>
    <sheet name="ER Act" sheetId="33" r:id="rId16"/>
    <sheet name="ER Ppto" sheetId="32" r:id="rId17"/>
    <sheet name="ER AA" sheetId="41" r:id="rId18"/>
    <sheet name="Trimestre" sheetId="43" r:id="rId19"/>
    <sheet name="Ventas" sheetId="40" r:id="rId20"/>
  </sheets>
  <functionGroups builtInGroupCount="18"/>
  <externalReferences>
    <externalReference r:id="rId21"/>
    <externalReference r:id="rId22"/>
    <externalReference r:id="rId23"/>
    <externalReference r:id="rId24"/>
  </externalReferences>
  <definedNames>
    <definedName name="_xlnm._FilterDatabase" localSheetId="9" hidden="1">ER!$BF$45:$BP$47</definedName>
    <definedName name="_xlnm._FilterDatabase" localSheetId="18" hidden="1">Trimestre!$AD$7:$AN$12</definedName>
    <definedName name="Actual" localSheetId="1">[1]IMPRESIONES!$E$18</definedName>
    <definedName name="Actual" localSheetId="18">[1]IMPRESIONES!$E$18</definedName>
    <definedName name="Actual">[2]IMPRESIONES!$E$18</definedName>
    <definedName name="AlimEU_802_599">BDLT!$B$9:$Q$20</definedName>
    <definedName name="AlimEU_802_600">BDER!$B$8</definedName>
    <definedName name="AlimEU_802_601">BDPP!$B$40</definedName>
    <definedName name="AlimEU_802_605">BDFE!$B$8</definedName>
    <definedName name="AlimEU_802_610">BDBG!$B$11</definedName>
    <definedName name="AlimEU_804_600">BDER!$B$38</definedName>
    <definedName name="AlimEU_804_601">BDPP!$B$69</definedName>
    <definedName name="AlimEU_804_605">BDFE!$I$8</definedName>
    <definedName name="AlimEU_804_610">BDBG!$O$11</definedName>
    <definedName name="AlimEU_805_600">BDER!$B$68</definedName>
    <definedName name="AlimEU_805_601">BDPP!$B$98</definedName>
    <definedName name="AlimEU_805_605">BDFE!$P$8</definedName>
    <definedName name="AlimEU_805_610">BDBG!$AB$11</definedName>
    <definedName name="AlimEU_807_600">BDER!$B$158</definedName>
    <definedName name="AlimEU_807_601">BDPP!$B$185</definedName>
    <definedName name="AlimEU_807_605">BDFE!$AK$8</definedName>
    <definedName name="AlimEU_807_610">BDBG!$BO$11</definedName>
    <definedName name="AlimEU_811_600">BDER!$B$98</definedName>
    <definedName name="AlimEU_811_601">BDPP!$B$127</definedName>
    <definedName name="AlimEU_811_605">BDFE!$W$8</definedName>
    <definedName name="AlimEU_811_610">BDBG!$AO$11</definedName>
    <definedName name="AlimEU_813_600">BDER!$B$128</definedName>
    <definedName name="AlimEU_813_601">BDPP!$B$155</definedName>
    <definedName name="AlimEU_813_605">BDFE!$AD$8</definedName>
    <definedName name="AlimEU_813_610">BDBG!$BB$11</definedName>
    <definedName name="AÑO">[3]Conexiones!$A$1</definedName>
    <definedName name="Archico_xlsm">[3]Inicio!#REF!</definedName>
    <definedName name="_xlnm.Print_Area" localSheetId="5">BDBG!$B$7:$M$65</definedName>
    <definedName name="_xlnm.Print_Area" localSheetId="2">BDER!$A$3:$BQ$3</definedName>
    <definedName name="_xlnm.Print_Area" localSheetId="3">BDFE!$A$2:$AB$77</definedName>
    <definedName name="_xlnm.Print_Area" localSheetId="12">Cost!$A$1:$H$41</definedName>
    <definedName name="_xlnm.Print_Area" localSheetId="9">ER!$N$4:$AB$38</definedName>
    <definedName name="_xlnm.Print_Area" localSheetId="11">'Fed (2)'!$C$2:$S$43</definedName>
    <definedName name="_xlnm.Print_Area" localSheetId="13">Tendencias!$A$3:$N$69</definedName>
    <definedName name="BG_Div">BG!$AM$7:$AR$59</definedName>
    <definedName name="BG_X_Emp">BG!$AS$7:$AZ$59</definedName>
    <definedName name="Costo_Div_Rango">Cost!$L$2:$W$15</definedName>
    <definedName name="DIF_BG_ACT">BG!$AN$60</definedName>
    <definedName name="DIF_ER_ACT">'ER Act'!$AD$10</definedName>
    <definedName name="DIF_FE_ACT">FE!$R$63</definedName>
    <definedName name="ER_A_Div">ER!$AD$7:$AN$31</definedName>
    <definedName name="ER_A_PDC">ER!$AD$112:$AN$136</definedName>
    <definedName name="ER_A_PDS">ER!$AD$77:$AN$101</definedName>
    <definedName name="ER_A_PZG">ER!$AD$185:$AN$209</definedName>
    <definedName name="ER_A_PZS">ER!$AD$147:$AN$171</definedName>
    <definedName name="ER_A_RE">ER!$AD$221:$AN$245</definedName>
    <definedName name="ER_A_SW">ER!$AD$42:$AN$66</definedName>
    <definedName name="ER_EMPR_M_P">ER!$BS$42:$CC$72</definedName>
    <definedName name="ER_M_Div">ER!$B$7:$L$31</definedName>
    <definedName name="ER_M_P_CHS">ER!$BF$260:$BP$284</definedName>
    <definedName name="ER_M_P_DIV">ER!$BF$7:$BP$31</definedName>
    <definedName name="ER_M_P_PDC">ER!$BF$112:$BP$136</definedName>
    <definedName name="ER_M_P_PDS">ER!$BF$77:$BP$101</definedName>
    <definedName name="ER_M_P_PJS">ER!$BF$298:$BP$322</definedName>
    <definedName name="ER_M_P_PZD">ER!$BF$147:$BP$171</definedName>
    <definedName name="ER_M_P_PZG">ER!$BF$185:$BP$209</definedName>
    <definedName name="ER_M_P_RE">ER!$BF$221:$BP$245</definedName>
    <definedName name="ER_M_P_SW">ER!$BF$42:$BP$66</definedName>
    <definedName name="ER_M_PDC">ER!$B$112:$L$136</definedName>
    <definedName name="ER_M_PDS">ER!$B$77:$L$101</definedName>
    <definedName name="ER_M_PZG">ER!$B$185:$L$209</definedName>
    <definedName name="ER_M_PZS">ER!$B$147:$L$171</definedName>
    <definedName name="ER_M_RE">ER!$B$221:$L$245</definedName>
    <definedName name="ER_M_SW">ER!$B$42:$L$66</definedName>
    <definedName name="ER_T_CHS">Trimestre!$B$247:$L$269</definedName>
    <definedName name="ER_T_DIV">Trimestre!$B$9:$L$31</definedName>
    <definedName name="ER_T_P_CHS">Trimestre!$AD$247:$AN$269</definedName>
    <definedName name="ER_T_P_DIV">Trimestre!$AD$9:$AN$31</definedName>
    <definedName name="ER_T_P_PDC">Trimestre!$AD$108:$AN$130</definedName>
    <definedName name="ER_T_P_PDS">Trimestre!$AD$74:$AN$96</definedName>
    <definedName name="ER_T_P_PJS">Trimestre!$AD$282:$AN$304</definedName>
    <definedName name="ER_T_P_PZG">Trimestre!$AD$177:$AN$199</definedName>
    <definedName name="ER_T_P_PZS">Trimestre!$AD$142:$AN$164</definedName>
    <definedName name="ER_T_P_RE">Trimestre!$AD$211:$AN$233</definedName>
    <definedName name="ER_T_P_SW">Trimestre!$AD$42:$AN$64</definedName>
    <definedName name="ER_T_PDC">Trimestre!$B$108:$L$130</definedName>
    <definedName name="ER_T_PDS">Trimestre!$B$74:$L$96</definedName>
    <definedName name="ER_T_PJS">Trimestre!$B$282:$L$304</definedName>
    <definedName name="ER_T_PZG">Trimestre!$B$177:$L$199</definedName>
    <definedName name="ER_T_PZS">Trimestre!$B$142:$L$164</definedName>
    <definedName name="ER_T_RE">Trimestre!$B$211:$L$233</definedName>
    <definedName name="ER_T_SW">Trimestre!$B$42:$L$64</definedName>
    <definedName name="ER_X_EMP_A">ER!$AP$7:$BD$37</definedName>
    <definedName name="ER_X_EMP_M">ER!$N$7:$AB$37</definedName>
    <definedName name="ER_X_EMP_M_P">ER!$BS$7:$CG$37</definedName>
    <definedName name="ER_X_EMP_T">Trimestre!$N$9:$AB$37</definedName>
    <definedName name="ER_X_EMP_T_P">Trimestre!$AP$9:$BD$37</definedName>
    <definedName name="ER_X_EMPR_T">Trimestre!$N$42:$X$70</definedName>
    <definedName name="ER_X_EMPR_T_P">Trimestre!$AP$42:$AZ$70</definedName>
    <definedName name="Fecha_Archivo">[3]Configuraciones!$E$11</definedName>
    <definedName name="Fecha_Pasivos_Eu">[3]Configuraciones!#REF!</definedName>
    <definedName name="Fecha_Pasivos_Eu_Actual">[3]Configuraciones!$D$5</definedName>
    <definedName name="Fecha_ProyeccionT">Trimestre!$AE$6</definedName>
    <definedName name="Fecha_Trimestre">Trimestre!$C$6</definedName>
    <definedName name="Formulas_Tendencias">Tendencias!$P$3</definedName>
    <definedName name="Gasto_Div_Rango">Cost!$L$17:$W$35</definedName>
    <definedName name="Inicio_Compañia">Inicio!$K$7</definedName>
    <definedName name="Inicio_Contraseña">[4]INICIO!#REF!</definedName>
    <definedName name="Inicio_Diferencias">Inicio!$E$16</definedName>
    <definedName name="Inicio_Reporte">Inicio!$K$8</definedName>
    <definedName name="Inicio_Servidor">[4]INICIO!#REF!</definedName>
    <definedName name="Inicio_Usuario">[4]INICIO!#REF!</definedName>
    <definedName name="L_Reportes_Ejecutivos">Inicio!$L$9</definedName>
    <definedName name="Lista_Empresas_Reportes">Inicio!$K$9</definedName>
    <definedName name="Lista_ER_AA_Empresas">'ER AA'!$B$10</definedName>
    <definedName name="Lista_ER_Mes_Empresas" localSheetId="17">'ER AA'!$B$7</definedName>
    <definedName name="Lista_ER_Mes_Empresas">'ER Act'!$B$7</definedName>
    <definedName name="Lista_ER_Ppto_Empresas">'ER Ppto'!$B$6</definedName>
    <definedName name="Lista_hojas">Inicio!$L$8</definedName>
    <definedName name="Lista_Tendencias">Tendencias!$A$6</definedName>
    <definedName name="MES">[3]Conexiones!$A$2</definedName>
    <definedName name="MES_CIERRE" localSheetId="1">[4]INICIO!$C$12</definedName>
    <definedName name="MES_CIERRE">Inicio!$D$7</definedName>
    <definedName name="msginfo">Inicio!$K$5</definedName>
    <definedName name="Presentacion">Inicio!$D$8</definedName>
    <definedName name="Rep_Aux">[4]INICIO!#REF!</definedName>
    <definedName name="Rep_Aux_AA">[4]INICIO!#REF!</definedName>
    <definedName name="Rep_Aux_Act">[4]INICIO!#REF!</definedName>
    <definedName name="Rep_SA">[4]INICIO!#REF!</definedName>
    <definedName name="T_A_Div">Tendencias!$A$7:$M$12</definedName>
    <definedName name="T_A_PDC">Tendencias!$A$33:$M$38</definedName>
    <definedName name="T_A_PDS">Tendencias!$A$46:$M$51</definedName>
    <definedName name="T_A_PZG">Tendencias!$A$85:$M$90</definedName>
    <definedName name="T_A_PZS">Tendencias!$A$59:$M$64</definedName>
    <definedName name="T_A_RE">Tendencias!$A$72:$M$77</definedName>
    <definedName name="T_A_SW">Tendencias!$A$20:$M$25</definedName>
    <definedName name="TI">[3]Hoja4!$A$1</definedName>
    <definedName name="_xlnm.Print_Titles" localSheetId="7">BG!$C:$C,BG!$3:$7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36" l="1"/>
  <c r="D11" i="5" l="1"/>
  <c r="D9" i="5"/>
  <c r="M8" i="39" l="1"/>
  <c r="AG9" i="40"/>
  <c r="AH9" i="5"/>
  <c r="Y1" i="32" l="1"/>
  <c r="W1" i="32"/>
  <c r="U1" i="32"/>
  <c r="S1" i="32"/>
  <c r="Q1" i="32"/>
  <c r="O1" i="32"/>
  <c r="M1" i="32"/>
  <c r="K1" i="32"/>
  <c r="I1" i="32"/>
  <c r="G1" i="32"/>
  <c r="E1" i="32"/>
  <c r="C1" i="32"/>
  <c r="Y1" i="33"/>
  <c r="W1" i="33"/>
  <c r="U1" i="33"/>
  <c r="M1" i="33"/>
  <c r="K1" i="33"/>
  <c r="I1" i="33"/>
  <c r="G1" i="33"/>
  <c r="Y1" i="41"/>
  <c r="W1" i="41"/>
  <c r="U1" i="41"/>
  <c r="S1" i="41"/>
  <c r="K1" i="41"/>
  <c r="I1" i="41"/>
  <c r="G1" i="41"/>
  <c r="E1" i="41"/>
  <c r="C1" i="41"/>
  <c r="Q1" i="41"/>
  <c r="O1" i="41"/>
  <c r="M1" i="41"/>
  <c r="S1" i="33"/>
  <c r="Q1" i="33"/>
  <c r="O1" i="33"/>
  <c r="E1" i="33"/>
  <c r="C1" i="33"/>
  <c r="O1" i="42"/>
  <c r="N1" i="42"/>
  <c r="M1" i="42"/>
  <c r="L1" i="42"/>
  <c r="K1" i="42"/>
  <c r="J1" i="42"/>
  <c r="I1" i="42"/>
  <c r="H1" i="42"/>
  <c r="G1" i="42"/>
  <c r="F1" i="42"/>
  <c r="E1" i="42"/>
  <c r="D1" i="42"/>
  <c r="AE154" i="2" l="1"/>
  <c r="BA35" i="2"/>
  <c r="Y35" i="2" l="1"/>
  <c r="AE86" i="2" l="1"/>
  <c r="AE84" i="2"/>
  <c r="AE249" i="2" l="1"/>
  <c r="AE175" i="2"/>
  <c r="AE140" i="2"/>
  <c r="AE70" i="2"/>
  <c r="C249" i="2"/>
  <c r="C140" i="2"/>
  <c r="C105" i="2"/>
  <c r="C70" i="2"/>
  <c r="C35" i="2" l="1"/>
  <c r="AS35" i="2"/>
  <c r="AE105" i="2" s="1"/>
  <c r="AA35" i="2"/>
  <c r="BK323" i="2" l="1"/>
  <c r="BI323" i="2"/>
  <c r="BG320" i="2"/>
  <c r="BG319" i="2"/>
  <c r="BG314" i="2"/>
  <c r="BG313" i="2"/>
  <c r="BG312" i="2"/>
  <c r="BG307" i="2"/>
  <c r="BG306" i="2"/>
  <c r="BG262" i="2"/>
  <c r="BH262" i="2" s="1"/>
  <c r="BH277" i="2" l="1"/>
  <c r="BG35" i="2" l="1"/>
  <c r="BG9" i="2"/>
  <c r="BG41" i="2"/>
  <c r="D12" i="42" l="1"/>
  <c r="E12" i="42"/>
  <c r="F12" i="42"/>
  <c r="G12" i="42"/>
  <c r="H12" i="42"/>
  <c r="I12" i="42"/>
  <c r="J12" i="42"/>
  <c r="K12" i="42"/>
  <c r="L12" i="42"/>
  <c r="M12" i="42"/>
  <c r="N12" i="42"/>
  <c r="O12" i="42"/>
  <c r="P12" i="42"/>
  <c r="D13" i="42"/>
  <c r="E13" i="42"/>
  <c r="F13" i="42"/>
  <c r="G13" i="42"/>
  <c r="R13" i="42" s="1"/>
  <c r="H13" i="42"/>
  <c r="I13" i="42"/>
  <c r="J13" i="42"/>
  <c r="K13" i="42"/>
  <c r="L13" i="42"/>
  <c r="M13" i="42"/>
  <c r="N13" i="42"/>
  <c r="O13" i="42"/>
  <c r="P13" i="42"/>
  <c r="D14" i="42"/>
  <c r="E14" i="42"/>
  <c r="F14" i="42"/>
  <c r="G14" i="42"/>
  <c r="R14" i="42" s="1"/>
  <c r="H14" i="42"/>
  <c r="I14" i="42"/>
  <c r="J14" i="42"/>
  <c r="K14" i="42"/>
  <c r="L14" i="42"/>
  <c r="M14" i="42"/>
  <c r="N14" i="42"/>
  <c r="O14" i="42"/>
  <c r="P14" i="42"/>
  <c r="D15" i="42"/>
  <c r="E15" i="42"/>
  <c r="F15" i="42"/>
  <c r="G15" i="42"/>
  <c r="R15" i="42" s="1"/>
  <c r="H15" i="42"/>
  <c r="I15" i="42"/>
  <c r="J15" i="42"/>
  <c r="K15" i="42"/>
  <c r="L15" i="42"/>
  <c r="M15" i="42"/>
  <c r="N15" i="42"/>
  <c r="O15" i="42"/>
  <c r="P15" i="42"/>
  <c r="D16" i="42"/>
  <c r="E16" i="42"/>
  <c r="F16" i="42"/>
  <c r="G16" i="42"/>
  <c r="R16" i="42" s="1"/>
  <c r="H16" i="42"/>
  <c r="I16" i="42"/>
  <c r="J16" i="42"/>
  <c r="K16" i="42"/>
  <c r="L16" i="42"/>
  <c r="M16" i="42"/>
  <c r="N16" i="42"/>
  <c r="O16" i="42"/>
  <c r="P16" i="42"/>
  <c r="D17" i="42"/>
  <c r="E17" i="42"/>
  <c r="F17" i="42"/>
  <c r="G17" i="42"/>
  <c r="R17" i="42" s="1"/>
  <c r="H17" i="42"/>
  <c r="I17" i="42"/>
  <c r="J17" i="42"/>
  <c r="K17" i="42"/>
  <c r="L17" i="42"/>
  <c r="M17" i="42"/>
  <c r="N17" i="42"/>
  <c r="O17" i="42"/>
  <c r="P17" i="42"/>
  <c r="D18" i="42"/>
  <c r="E18" i="42"/>
  <c r="F18" i="42"/>
  <c r="G18" i="42"/>
  <c r="R18" i="42" s="1"/>
  <c r="H18" i="42"/>
  <c r="I18" i="42"/>
  <c r="J18" i="42"/>
  <c r="K18" i="42"/>
  <c r="L18" i="42"/>
  <c r="M18" i="42"/>
  <c r="N18" i="42"/>
  <c r="O18" i="42"/>
  <c r="P18" i="42"/>
  <c r="D19" i="42"/>
  <c r="E19" i="42"/>
  <c r="F19" i="42"/>
  <c r="G19" i="42"/>
  <c r="R19" i="42" s="1"/>
  <c r="H19" i="42"/>
  <c r="I19" i="42"/>
  <c r="J19" i="42"/>
  <c r="K19" i="42"/>
  <c r="L19" i="42"/>
  <c r="M19" i="42"/>
  <c r="N19" i="42"/>
  <c r="O19" i="42"/>
  <c r="P19" i="42"/>
  <c r="D20" i="42"/>
  <c r="E20" i="42"/>
  <c r="F20" i="42"/>
  <c r="G20" i="42"/>
  <c r="R20" i="42" s="1"/>
  <c r="H20" i="42"/>
  <c r="I20" i="42"/>
  <c r="J20" i="42"/>
  <c r="K20" i="42"/>
  <c r="L20" i="42"/>
  <c r="M20" i="42"/>
  <c r="N20" i="42"/>
  <c r="O20" i="42"/>
  <c r="P20" i="42"/>
  <c r="D21" i="42"/>
  <c r="E21" i="42"/>
  <c r="F21" i="42"/>
  <c r="G21" i="42"/>
  <c r="R21" i="42" s="1"/>
  <c r="H21" i="42"/>
  <c r="I21" i="42"/>
  <c r="J21" i="42"/>
  <c r="K21" i="42"/>
  <c r="L21" i="42"/>
  <c r="M21" i="42"/>
  <c r="N21" i="42"/>
  <c r="O21" i="42"/>
  <c r="P21" i="42"/>
  <c r="D22" i="42"/>
  <c r="E22" i="42"/>
  <c r="F22" i="42"/>
  <c r="G22" i="42"/>
  <c r="R22" i="42" s="1"/>
  <c r="H22" i="42"/>
  <c r="I22" i="42"/>
  <c r="J22" i="42"/>
  <c r="K22" i="42"/>
  <c r="L22" i="42"/>
  <c r="M22" i="42"/>
  <c r="N22" i="42"/>
  <c r="O22" i="42"/>
  <c r="P22" i="42"/>
  <c r="D23" i="42"/>
  <c r="E23" i="42"/>
  <c r="F23" i="42"/>
  <c r="G23" i="42"/>
  <c r="R23" i="42" s="1"/>
  <c r="H23" i="42"/>
  <c r="I23" i="42"/>
  <c r="J23" i="42"/>
  <c r="K23" i="42"/>
  <c r="L23" i="42"/>
  <c r="M23" i="42"/>
  <c r="N23" i="42"/>
  <c r="O23" i="42"/>
  <c r="P23" i="42"/>
  <c r="D24" i="42"/>
  <c r="E24" i="42"/>
  <c r="F24" i="42"/>
  <c r="G24" i="42"/>
  <c r="R24" i="42" s="1"/>
  <c r="H24" i="42"/>
  <c r="I24" i="42"/>
  <c r="J24" i="42"/>
  <c r="K24" i="42"/>
  <c r="L24" i="42"/>
  <c r="M24" i="42"/>
  <c r="N24" i="42"/>
  <c r="O24" i="42"/>
  <c r="P24" i="42"/>
  <c r="D25" i="42"/>
  <c r="E25" i="42"/>
  <c r="F25" i="42"/>
  <c r="G25" i="42"/>
  <c r="R25" i="42" s="1"/>
  <c r="H25" i="42"/>
  <c r="I25" i="42"/>
  <c r="J25" i="42"/>
  <c r="K25" i="42"/>
  <c r="L25" i="42"/>
  <c r="M25" i="42"/>
  <c r="N25" i="42"/>
  <c r="O25" i="42"/>
  <c r="P25" i="42"/>
  <c r="D26" i="42"/>
  <c r="E26" i="42"/>
  <c r="F26" i="42"/>
  <c r="G26" i="42"/>
  <c r="R26" i="42" s="1"/>
  <c r="H26" i="42"/>
  <c r="I26" i="42"/>
  <c r="J26" i="42"/>
  <c r="K26" i="42"/>
  <c r="L26" i="42"/>
  <c r="M26" i="42"/>
  <c r="N26" i="42"/>
  <c r="O26" i="42"/>
  <c r="P26" i="42"/>
  <c r="D27" i="42"/>
  <c r="E27" i="42"/>
  <c r="F27" i="42"/>
  <c r="G27" i="42"/>
  <c r="R27" i="42" s="1"/>
  <c r="H27" i="42"/>
  <c r="I27" i="42"/>
  <c r="J27" i="42"/>
  <c r="K27" i="42"/>
  <c r="L27" i="42"/>
  <c r="M27" i="42"/>
  <c r="N27" i="42"/>
  <c r="O27" i="42"/>
  <c r="P27" i="42"/>
  <c r="D28" i="42"/>
  <c r="E28" i="42"/>
  <c r="F28" i="42"/>
  <c r="G28" i="42"/>
  <c r="R28" i="42" s="1"/>
  <c r="H28" i="42"/>
  <c r="I28" i="42"/>
  <c r="J28" i="42"/>
  <c r="K28" i="42"/>
  <c r="L28" i="42"/>
  <c r="M28" i="42"/>
  <c r="N28" i="42"/>
  <c r="O28" i="42"/>
  <c r="P28" i="42"/>
  <c r="D29" i="42"/>
  <c r="E29" i="42"/>
  <c r="F29" i="42"/>
  <c r="G29" i="42"/>
  <c r="R29" i="42" s="1"/>
  <c r="H29" i="42"/>
  <c r="I29" i="42"/>
  <c r="J29" i="42"/>
  <c r="K29" i="42"/>
  <c r="L29" i="42"/>
  <c r="M29" i="42"/>
  <c r="N29" i="42"/>
  <c r="O29" i="42"/>
  <c r="P29" i="42"/>
  <c r="D30" i="42"/>
  <c r="E30" i="42"/>
  <c r="F30" i="42"/>
  <c r="G30" i="42"/>
  <c r="R30" i="42" s="1"/>
  <c r="H30" i="42"/>
  <c r="I30" i="42"/>
  <c r="J30" i="42"/>
  <c r="K30" i="42"/>
  <c r="L30" i="42"/>
  <c r="M30" i="42"/>
  <c r="N30" i="42"/>
  <c r="O30" i="42"/>
  <c r="P30" i="42"/>
  <c r="D31" i="42"/>
  <c r="E31" i="42"/>
  <c r="F31" i="42"/>
  <c r="G31" i="42"/>
  <c r="R31" i="42" s="1"/>
  <c r="H31" i="42"/>
  <c r="I31" i="42"/>
  <c r="J31" i="42"/>
  <c r="K31" i="42"/>
  <c r="L31" i="42"/>
  <c r="M31" i="42"/>
  <c r="N31" i="42"/>
  <c r="O31" i="42"/>
  <c r="P31" i="42"/>
  <c r="D32" i="42"/>
  <c r="E32" i="42"/>
  <c r="F32" i="42"/>
  <c r="G32" i="42"/>
  <c r="R32" i="42" s="1"/>
  <c r="H32" i="42"/>
  <c r="I32" i="42"/>
  <c r="J32" i="42"/>
  <c r="K32" i="42"/>
  <c r="L32" i="42"/>
  <c r="M32" i="42"/>
  <c r="N32" i="42"/>
  <c r="O32" i="42"/>
  <c r="P32" i="42"/>
  <c r="D33" i="42"/>
  <c r="E33" i="42"/>
  <c r="F33" i="42"/>
  <c r="G33" i="42"/>
  <c r="R33" i="42" s="1"/>
  <c r="H33" i="42"/>
  <c r="I33" i="42"/>
  <c r="J33" i="42"/>
  <c r="K33" i="42"/>
  <c r="L33" i="42"/>
  <c r="M33" i="42"/>
  <c r="N33" i="42"/>
  <c r="O33" i="42"/>
  <c r="P33" i="42"/>
  <c r="AE3" i="40"/>
  <c r="AE7" i="40"/>
  <c r="AE8" i="40"/>
  <c r="AE9" i="40"/>
  <c r="AE10" i="40"/>
  <c r="AE11" i="40"/>
  <c r="AE12" i="40"/>
  <c r="AE13" i="40"/>
  <c r="AE14" i="40"/>
  <c r="AE16" i="40"/>
  <c r="AE17" i="40"/>
  <c r="AE18" i="40"/>
  <c r="AE19" i="40"/>
  <c r="AE20" i="40"/>
  <c r="AE21" i="40"/>
  <c r="AE22" i="40"/>
  <c r="AE23" i="40"/>
  <c r="AE24" i="40"/>
  <c r="AE26" i="40"/>
  <c r="R12" i="42" l="1"/>
  <c r="AE192" i="2"/>
  <c r="AE193" i="2"/>
  <c r="AE115" i="2"/>
  <c r="AE114" i="2"/>
  <c r="AE70" i="43" l="1"/>
  <c r="AG127" i="43"/>
  <c r="AG115" i="43"/>
  <c r="AG93" i="43"/>
  <c r="AG190" i="43"/>
  <c r="AG178" i="43"/>
  <c r="AG75" i="43"/>
  <c r="AG189" i="43"/>
  <c r="AG161" i="43"/>
  <c r="AG162" i="43"/>
  <c r="AG155" i="43"/>
  <c r="AG88" i="43"/>
  <c r="AG213" i="43"/>
  <c r="AG197" i="43"/>
  <c r="AG109" i="43"/>
  <c r="AG86" i="43"/>
  <c r="AG121" i="43"/>
  <c r="AG149" i="43"/>
  <c r="AG113" i="43"/>
  <c r="AG81" i="43"/>
  <c r="AG143" i="43"/>
  <c r="AG231" i="43"/>
  <c r="AG122" i="43"/>
  <c r="AG230" i="43"/>
  <c r="AG79" i="43"/>
  <c r="AG216" i="43"/>
  <c r="AG191" i="43"/>
  <c r="AG183" i="43"/>
  <c r="AG218" i="43"/>
  <c r="AG223" i="43"/>
  <c r="AG87" i="43"/>
  <c r="AG156" i="43"/>
  <c r="AG179" i="43"/>
  <c r="AG76" i="43"/>
  <c r="AG196" i="43"/>
  <c r="AG120" i="43"/>
  <c r="AG154" i="43"/>
  <c r="AG147" i="43"/>
  <c r="AG224" i="43"/>
  <c r="AG80" i="43"/>
  <c r="AG182" i="43"/>
  <c r="AG184" i="43"/>
  <c r="AG144" i="43"/>
  <c r="AG212" i="43"/>
  <c r="AG217" i="43"/>
  <c r="AG225" i="43"/>
  <c r="AG114" i="43"/>
  <c r="AG110" i="43"/>
  <c r="AG148" i="43"/>
  <c r="AG94" i="43"/>
  <c r="AG128" i="43"/>
  <c r="AG82" i="43" l="1"/>
  <c r="AG158" i="43"/>
  <c r="AG77" i="43"/>
  <c r="AG185" i="43"/>
  <c r="AG227" i="43"/>
  <c r="AG180" i="43"/>
  <c r="AG193" i="43"/>
  <c r="AG90" i="43"/>
  <c r="AG219" i="43"/>
  <c r="AG124" i="43"/>
  <c r="AG214" i="43"/>
  <c r="AG145" i="43"/>
  <c r="AG116" i="43"/>
  <c r="AG111" i="43"/>
  <c r="AG150" i="43"/>
  <c r="AG220" i="43" l="1"/>
  <c r="AG233" i="43" s="1"/>
  <c r="AG83" i="43"/>
  <c r="AG96" i="43" s="1"/>
  <c r="AG151" i="43"/>
  <c r="AG164" i="43" s="1"/>
  <c r="AG117" i="43"/>
  <c r="AG186" i="43"/>
  <c r="AG228" i="43" l="1"/>
  <c r="AG232" i="43" s="1"/>
  <c r="AG91" i="43"/>
  <c r="AG95" i="43" s="1"/>
  <c r="AG159" i="43"/>
  <c r="AG163" i="43" s="1"/>
  <c r="AG194" i="43"/>
  <c r="AG198" i="43" s="1"/>
  <c r="AG199" i="43"/>
  <c r="AG125" i="43"/>
  <c r="AG129" i="43" s="1"/>
  <c r="AG130" i="43"/>
  <c r="AI191" i="43"/>
  <c r="AI165" i="43"/>
  <c r="AI75" i="43"/>
  <c r="BK229" i="2"/>
  <c r="AI76" i="43"/>
  <c r="BI79" i="2"/>
  <c r="BK121" i="2"/>
  <c r="BI90" i="2"/>
  <c r="AI109" i="43"/>
  <c r="AI88" i="43"/>
  <c r="BI120" i="2"/>
  <c r="BK201" i="2"/>
  <c r="BK114" i="2"/>
  <c r="AI161" i="43"/>
  <c r="BI121" i="2"/>
  <c r="BK206" i="2"/>
  <c r="BK85" i="2"/>
  <c r="BI91" i="2"/>
  <c r="BI207" i="2"/>
  <c r="BK98" i="2"/>
  <c r="AI212" i="43"/>
  <c r="BI230" i="2"/>
  <c r="BI154" i="2"/>
  <c r="BI229" i="2"/>
  <c r="AI178" i="43"/>
  <c r="BI206" i="2"/>
  <c r="BK91" i="2"/>
  <c r="BI187" i="2"/>
  <c r="BK200" i="2"/>
  <c r="AI230" i="43"/>
  <c r="BK125" i="2"/>
  <c r="AI80" i="43"/>
  <c r="BI198" i="2"/>
  <c r="BK86" i="2"/>
  <c r="BK235" i="2"/>
  <c r="AI197" i="43"/>
  <c r="AI218" i="43"/>
  <c r="AI98" i="43"/>
  <c r="BK199" i="2"/>
  <c r="AI115" i="43"/>
  <c r="BI126" i="2"/>
  <c r="BI134" i="2"/>
  <c r="BK161" i="2"/>
  <c r="BI80" i="2"/>
  <c r="AI156" i="43"/>
  <c r="AI87" i="43"/>
  <c r="BK236" i="2"/>
  <c r="BI194" i="2"/>
  <c r="BI236" i="2"/>
  <c r="BK155" i="2"/>
  <c r="BI155" i="2"/>
  <c r="BK162" i="2"/>
  <c r="BI128" i="2"/>
  <c r="AI162" i="43"/>
  <c r="BI156" i="2"/>
  <c r="BI92" i="2"/>
  <c r="BK237" i="2"/>
  <c r="AI234" i="43"/>
  <c r="AI166" i="43"/>
  <c r="BI114" i="2"/>
  <c r="BK127" i="2"/>
  <c r="AI223" i="43"/>
  <c r="BK187" i="2"/>
  <c r="AI132" i="43"/>
  <c r="BK79" i="2"/>
  <c r="AI94" i="43"/>
  <c r="BI86" i="2"/>
  <c r="AI184" i="43"/>
  <c r="AI183" i="43"/>
  <c r="AI114" i="43"/>
  <c r="BK134" i="2"/>
  <c r="AI201" i="43"/>
  <c r="BK120" i="2"/>
  <c r="BI201" i="2"/>
  <c r="BI133" i="2"/>
  <c r="BI228" i="2"/>
  <c r="AI144" i="43"/>
  <c r="AI225" i="43"/>
  <c r="BK188" i="2"/>
  <c r="AI81" i="43"/>
  <c r="BI188" i="2"/>
  <c r="BI119" i="2"/>
  <c r="AI97" i="43"/>
  <c r="AI148" i="43"/>
  <c r="BK192" i="2"/>
  <c r="BI224" i="2"/>
  <c r="BK243" i="2"/>
  <c r="BI99" i="2"/>
  <c r="AI196" i="43"/>
  <c r="AI121" i="43"/>
  <c r="BI115" i="2"/>
  <c r="AI200" i="43"/>
  <c r="BK169" i="2"/>
  <c r="BK160" i="2"/>
  <c r="AI217" i="43"/>
  <c r="BK198" i="2"/>
  <c r="BK194" i="2"/>
  <c r="BK90" i="2"/>
  <c r="BI84" i="2"/>
  <c r="BK163" i="2"/>
  <c r="BK119" i="2"/>
  <c r="BK133" i="2"/>
  <c r="AI128" i="43"/>
  <c r="AI113" i="43"/>
  <c r="BI149" i="2"/>
  <c r="BK149" i="2"/>
  <c r="AI122" i="43"/>
  <c r="BK93" i="2"/>
  <c r="AI147" i="43"/>
  <c r="BI169" i="2"/>
  <c r="BK99" i="2"/>
  <c r="BI162" i="2"/>
  <c r="AI86" i="43"/>
  <c r="BI98" i="2"/>
  <c r="AI154" i="43"/>
  <c r="BI200" i="2"/>
  <c r="BK126" i="2"/>
  <c r="BK234" i="2"/>
  <c r="AI231" i="43"/>
  <c r="AI179" i="43"/>
  <c r="BI127" i="2"/>
  <c r="BK230" i="2"/>
  <c r="AI93" i="43"/>
  <c r="BK168" i="2"/>
  <c r="AI110" i="43"/>
  <c r="AI127" i="43"/>
  <c r="BI85" i="2"/>
  <c r="AI79" i="43"/>
  <c r="BI193" i="2"/>
  <c r="BK84" i="2"/>
  <c r="AI235" i="43"/>
  <c r="BI150" i="2"/>
  <c r="BI237" i="2"/>
  <c r="BK224" i="2"/>
  <c r="BK115" i="2"/>
  <c r="BI242" i="2"/>
  <c r="AI189" i="43"/>
  <c r="BK128" i="2"/>
  <c r="BI234" i="2"/>
  <c r="BK223" i="2"/>
  <c r="BK154" i="2"/>
  <c r="BK80" i="2"/>
  <c r="AI143" i="43"/>
  <c r="AI131" i="43"/>
  <c r="AI213" i="43"/>
  <c r="BK228" i="2"/>
  <c r="AI182" i="43"/>
  <c r="BI161" i="2"/>
  <c r="BK242" i="2"/>
  <c r="BI192" i="2"/>
  <c r="BI163" i="2"/>
  <c r="AI149" i="43"/>
  <c r="BK92" i="2"/>
  <c r="AI120" i="43"/>
  <c r="BI199" i="2"/>
  <c r="BK193" i="2"/>
  <c r="BI93" i="2"/>
  <c r="AI155" i="43"/>
  <c r="BI160" i="2"/>
  <c r="BI223" i="2"/>
  <c r="BI243" i="2"/>
  <c r="BK207" i="2"/>
  <c r="BI235" i="2"/>
  <c r="BK156" i="2"/>
  <c r="BI125" i="2"/>
  <c r="BK150" i="2"/>
  <c r="AI224" i="43"/>
  <c r="AI190" i="43"/>
  <c r="AI216" i="43"/>
  <c r="BI168" i="2"/>
  <c r="AI214" i="43" l="1"/>
  <c r="AI116" i="43"/>
  <c r="AI90" i="43"/>
  <c r="AI193" i="43"/>
  <c r="AI77" i="43"/>
  <c r="AI111" i="43"/>
  <c r="AI180" i="43"/>
  <c r="AI158" i="43"/>
  <c r="AI227" i="43"/>
  <c r="AI219" i="43"/>
  <c r="AI145" i="43"/>
  <c r="AI124" i="43"/>
  <c r="AI185" i="43"/>
  <c r="AI82" i="43"/>
  <c r="AI150" i="43"/>
  <c r="BK307" i="2"/>
  <c r="BK313" i="2"/>
  <c r="BK314" i="2"/>
  <c r="BK301" i="2"/>
  <c r="BK300" i="2"/>
  <c r="BK305" i="2"/>
  <c r="BK312" i="2"/>
  <c r="BK319" i="2"/>
  <c r="BK306" i="2"/>
  <c r="BK320" i="2"/>
  <c r="BI312" i="2"/>
  <c r="BI305" i="2"/>
  <c r="BI319" i="2"/>
  <c r="BI307" i="2"/>
  <c r="BI313" i="2"/>
  <c r="BI300" i="2"/>
  <c r="BI301" i="2"/>
  <c r="BI314" i="2"/>
  <c r="BI320" i="2"/>
  <c r="BI306" i="2"/>
  <c r="BO237" i="2"/>
  <c r="BO236" i="2"/>
  <c r="BO235" i="2"/>
  <c r="BO229" i="2"/>
  <c r="BN229" i="2"/>
  <c r="BN230" i="2"/>
  <c r="BM229" i="2"/>
  <c r="BI9" i="2"/>
  <c r="C130" i="32"/>
  <c r="C129" i="32"/>
  <c r="C126" i="32"/>
  <c r="C125" i="32"/>
  <c r="C120" i="32"/>
  <c r="C119" i="32"/>
  <c r="C118" i="32"/>
  <c r="C114" i="32"/>
  <c r="C113" i="32"/>
  <c r="G143" i="43"/>
  <c r="C235" i="43"/>
  <c r="G154" i="43"/>
  <c r="G79" i="43"/>
  <c r="E121" i="43"/>
  <c r="G155" i="43"/>
  <c r="E86" i="43"/>
  <c r="E88" i="43"/>
  <c r="G100" i="43"/>
  <c r="AI134" i="43"/>
  <c r="E234" i="43"/>
  <c r="G144" i="43"/>
  <c r="E115" i="43"/>
  <c r="E131" i="43"/>
  <c r="C197" i="43"/>
  <c r="C122" i="43"/>
  <c r="C189" i="43"/>
  <c r="G134" i="43"/>
  <c r="C212" i="43"/>
  <c r="E235" i="43"/>
  <c r="C127" i="43"/>
  <c r="G109" i="43"/>
  <c r="G223" i="43"/>
  <c r="E200" i="43"/>
  <c r="C115" i="43"/>
  <c r="G235" i="43"/>
  <c r="AI237" i="43"/>
  <c r="C183" i="43"/>
  <c r="E80" i="43"/>
  <c r="G94" i="43"/>
  <c r="C230" i="43"/>
  <c r="C75" i="43"/>
  <c r="C218" i="43"/>
  <c r="C217" i="43"/>
  <c r="E156" i="43"/>
  <c r="E149" i="43"/>
  <c r="C87" i="43"/>
  <c r="AI168" i="43"/>
  <c r="G166" i="43"/>
  <c r="E218" i="43"/>
  <c r="E113" i="43"/>
  <c r="E79" i="43"/>
  <c r="G98" i="43"/>
  <c r="E120" i="43"/>
  <c r="E97" i="43"/>
  <c r="G161" i="43"/>
  <c r="G122" i="43"/>
  <c r="G93" i="43"/>
  <c r="G156" i="43"/>
  <c r="C88" i="43"/>
  <c r="E75" i="43"/>
  <c r="E190" i="43"/>
  <c r="C179" i="43"/>
  <c r="C100" i="43"/>
  <c r="G110" i="43"/>
  <c r="E189" i="43"/>
  <c r="E178" i="43"/>
  <c r="E191" i="43"/>
  <c r="C178" i="43"/>
  <c r="C196" i="43"/>
  <c r="G179" i="43"/>
  <c r="E148" i="43"/>
  <c r="G197" i="43"/>
  <c r="G115" i="43"/>
  <c r="G87" i="43"/>
  <c r="E166" i="43"/>
  <c r="C190" i="43"/>
  <c r="G162" i="43"/>
  <c r="E225" i="43"/>
  <c r="C143" i="43"/>
  <c r="G234" i="43"/>
  <c r="C225" i="43"/>
  <c r="G201" i="43"/>
  <c r="G147" i="43"/>
  <c r="E93" i="43"/>
  <c r="G168" i="43"/>
  <c r="C113" i="43"/>
  <c r="G225" i="43"/>
  <c r="G88" i="43"/>
  <c r="C97" i="43"/>
  <c r="G97" i="43"/>
  <c r="E161" i="43"/>
  <c r="C201" i="43"/>
  <c r="AI203" i="43"/>
  <c r="C81" i="43"/>
  <c r="C144" i="43"/>
  <c r="G218" i="43"/>
  <c r="G200" i="43"/>
  <c r="G149" i="43"/>
  <c r="AI100" i="43"/>
  <c r="G183" i="43"/>
  <c r="G230" i="43"/>
  <c r="E144" i="43"/>
  <c r="G76" i="43"/>
  <c r="E213" i="43"/>
  <c r="G75" i="43"/>
  <c r="E94" i="43"/>
  <c r="C162" i="43"/>
  <c r="C149" i="43"/>
  <c r="E110" i="43"/>
  <c r="E237" i="43"/>
  <c r="C80" i="43"/>
  <c r="G120" i="43"/>
  <c r="E223" i="43"/>
  <c r="E203" i="43"/>
  <c r="E128" i="43"/>
  <c r="G190" i="43"/>
  <c r="E197" i="43"/>
  <c r="E231" i="43"/>
  <c r="G217" i="43"/>
  <c r="C166" i="43"/>
  <c r="C131" i="43"/>
  <c r="G213" i="43"/>
  <c r="C165" i="43"/>
  <c r="E81" i="43"/>
  <c r="E98" i="43"/>
  <c r="E184" i="43"/>
  <c r="G224" i="43"/>
  <c r="G132" i="43"/>
  <c r="C134" i="43"/>
  <c r="G196" i="43"/>
  <c r="G127" i="43"/>
  <c r="E127" i="43"/>
  <c r="C148" i="43"/>
  <c r="C155" i="43"/>
  <c r="E87" i="43"/>
  <c r="E168" i="43"/>
  <c r="E217" i="43"/>
  <c r="G178" i="43"/>
  <c r="C191" i="43"/>
  <c r="E216" i="43"/>
  <c r="C94" i="43"/>
  <c r="E162" i="43"/>
  <c r="G121" i="43"/>
  <c r="E134" i="43"/>
  <c r="C231" i="43"/>
  <c r="C121" i="43"/>
  <c r="E147" i="43"/>
  <c r="G237" i="43"/>
  <c r="C224" i="43"/>
  <c r="C98" i="43"/>
  <c r="C114" i="43"/>
  <c r="C203" i="43"/>
  <c r="G184" i="43"/>
  <c r="C184" i="43"/>
  <c r="E183" i="43"/>
  <c r="G189" i="43"/>
  <c r="G113" i="43"/>
  <c r="C79" i="43"/>
  <c r="G80" i="43"/>
  <c r="E143" i="43"/>
  <c r="E230" i="43"/>
  <c r="C110" i="43"/>
  <c r="C234" i="43"/>
  <c r="C213" i="43"/>
  <c r="C216" i="43"/>
  <c r="E224" i="43"/>
  <c r="E100" i="43"/>
  <c r="C93" i="43"/>
  <c r="E201" i="43"/>
  <c r="G148" i="43"/>
  <c r="C237" i="43"/>
  <c r="C156" i="43"/>
  <c r="E154" i="43"/>
  <c r="C76" i="43"/>
  <c r="C120" i="43"/>
  <c r="E196" i="43"/>
  <c r="C154" i="43"/>
  <c r="E182" i="43"/>
  <c r="G165" i="43"/>
  <c r="G131" i="43"/>
  <c r="E212" i="43"/>
  <c r="E165" i="43"/>
  <c r="E132" i="43"/>
  <c r="G203" i="43"/>
  <c r="G191" i="43"/>
  <c r="G114" i="43"/>
  <c r="C132" i="43"/>
  <c r="C128" i="43"/>
  <c r="E109" i="43"/>
  <c r="E155" i="43"/>
  <c r="C200" i="43"/>
  <c r="C109" i="43"/>
  <c r="C147" i="43"/>
  <c r="G128" i="43"/>
  <c r="C182" i="43"/>
  <c r="G182" i="43"/>
  <c r="G231" i="43"/>
  <c r="E114" i="43"/>
  <c r="E76" i="43"/>
  <c r="C86" i="43"/>
  <c r="E179" i="43"/>
  <c r="G81" i="43"/>
  <c r="C161" i="43"/>
  <c r="E122" i="43"/>
  <c r="G86" i="43"/>
  <c r="C223" i="43"/>
  <c r="G212" i="43"/>
  <c r="G216" i="43"/>
  <c r="C168" i="43"/>
  <c r="C121" i="32" l="1"/>
  <c r="AI117" i="43"/>
  <c r="AI130" i="43" s="1"/>
  <c r="AI151" i="43"/>
  <c r="AI186" i="43"/>
  <c r="AI83" i="43"/>
  <c r="AI220" i="43"/>
  <c r="BK308" i="2"/>
  <c r="BL308" i="2" s="1"/>
  <c r="BL323" i="2"/>
  <c r="BL319" i="2"/>
  <c r="BL315" i="2"/>
  <c r="BL311" i="2"/>
  <c r="BL307" i="2"/>
  <c r="BL314" i="2"/>
  <c r="BL306" i="2"/>
  <c r="BL326" i="2"/>
  <c r="BL318" i="2"/>
  <c r="BL310" i="2"/>
  <c r="BL313" i="2"/>
  <c r="BL305" i="2"/>
  <c r="BL301" i="2"/>
  <c r="BL320" i="2"/>
  <c r="BL312" i="2"/>
  <c r="BL304" i="2"/>
  <c r="BL300" i="2"/>
  <c r="BJ323" i="2"/>
  <c r="BJ319" i="2"/>
  <c r="BJ315" i="2"/>
  <c r="BJ311" i="2"/>
  <c r="BJ307" i="2"/>
  <c r="BJ312" i="2"/>
  <c r="BJ304" i="2"/>
  <c r="BJ326" i="2"/>
  <c r="BJ318" i="2"/>
  <c r="BJ314" i="2"/>
  <c r="BJ310" i="2"/>
  <c r="BJ306" i="2"/>
  <c r="BJ305" i="2"/>
  <c r="BJ320" i="2"/>
  <c r="BJ300" i="2"/>
  <c r="BJ313" i="2"/>
  <c r="BJ301" i="2"/>
  <c r="BI316" i="2"/>
  <c r="BJ316" i="2" s="1"/>
  <c r="BK316" i="2"/>
  <c r="BL316" i="2" s="1"/>
  <c r="BI308" i="2"/>
  <c r="BJ308" i="2" s="1"/>
  <c r="C116" i="32"/>
  <c r="C122" i="32" l="1"/>
  <c r="C134" i="32" s="1"/>
  <c r="C135" i="32" s="1"/>
  <c r="AI125" i="43"/>
  <c r="AI129" i="43" s="1"/>
  <c r="AI133" i="43" s="1"/>
  <c r="AI233" i="43"/>
  <c r="AI228" i="43"/>
  <c r="AI232" i="43" s="1"/>
  <c r="AI236" i="43" s="1"/>
  <c r="AI199" i="43"/>
  <c r="AI194" i="43"/>
  <c r="AI198" i="43" s="1"/>
  <c r="AI202" i="43" s="1"/>
  <c r="AI96" i="43"/>
  <c r="AI91" i="43"/>
  <c r="AI95" i="43" s="1"/>
  <c r="AI99" i="43" s="1"/>
  <c r="AI164" i="43"/>
  <c r="AI159" i="43"/>
  <c r="AI163" i="43" s="1"/>
  <c r="AI167" i="43" s="1"/>
  <c r="F70" i="32"/>
  <c r="G213" i="2"/>
  <c r="G175" i="2"/>
  <c r="G33" i="2" l="1"/>
  <c r="G32" i="2"/>
  <c r="E33" i="2"/>
  <c r="E32" i="2"/>
  <c r="C33" i="2"/>
  <c r="C32" i="2"/>
  <c r="E234" i="32"/>
  <c r="E236" i="32" s="1"/>
  <c r="C234" i="32"/>
  <c r="C236" i="32" s="1"/>
  <c r="C201" i="32"/>
  <c r="C203" i="32" s="1"/>
  <c r="E201" i="32"/>
  <c r="E203" i="32" s="1"/>
  <c r="E170" i="32"/>
  <c r="E172" i="32" s="1"/>
  <c r="C170" i="32"/>
  <c r="C172" i="32" s="1"/>
  <c r="C138" i="32"/>
  <c r="C140" i="32" s="1"/>
  <c r="E138" i="32"/>
  <c r="E140" i="32" s="1"/>
  <c r="E102" i="32"/>
  <c r="E104" i="32" s="1"/>
  <c r="C102" i="32"/>
  <c r="C104" i="32" s="1"/>
  <c r="C69" i="32"/>
  <c r="C71" i="32" s="1"/>
  <c r="E69" i="32"/>
  <c r="E71" i="32" s="1"/>
  <c r="D55" i="25" l="1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0" i="25"/>
  <c r="D29" i="25"/>
  <c r="D28" i="25"/>
  <c r="D27" i="25"/>
  <c r="D26" i="25"/>
  <c r="D25" i="25"/>
  <c r="D24" i="25"/>
  <c r="D20" i="25"/>
  <c r="D18" i="25"/>
  <c r="D17" i="25"/>
  <c r="D16" i="25"/>
  <c r="D15" i="25"/>
  <c r="D14" i="25"/>
  <c r="D12" i="25"/>
  <c r="D11" i="25"/>
  <c r="D10" i="25"/>
  <c r="D9" i="25"/>
  <c r="D21" i="25" l="1"/>
  <c r="D31" i="25"/>
  <c r="C204" i="41"/>
  <c r="H204" i="41"/>
  <c r="J204" i="41"/>
  <c r="L204" i="41"/>
  <c r="P204" i="41"/>
  <c r="Q204" i="41"/>
  <c r="R204" i="41" s="1"/>
  <c r="S204" i="41"/>
  <c r="T204" i="41" s="1"/>
  <c r="U204" i="41"/>
  <c r="V204" i="41" s="1"/>
  <c r="W204" i="41"/>
  <c r="X204" i="41" s="1"/>
  <c r="Y204" i="41"/>
  <c r="Z204" i="41" s="1"/>
  <c r="N204" i="41"/>
  <c r="D204" i="41"/>
  <c r="F204" i="41"/>
  <c r="AD57" i="5"/>
  <c r="AD56" i="5"/>
  <c r="AD55" i="5"/>
  <c r="AD54" i="5"/>
  <c r="AD52" i="5"/>
  <c r="AD49" i="5"/>
  <c r="AD48" i="5"/>
  <c r="AD46" i="5"/>
  <c r="AD45" i="5"/>
  <c r="AD44" i="5"/>
  <c r="AD41" i="5"/>
  <c r="AD40" i="5"/>
  <c r="AD39" i="5"/>
  <c r="AD38" i="5"/>
  <c r="AD37" i="5"/>
  <c r="AD34" i="5"/>
  <c r="AD33" i="5"/>
  <c r="AD32" i="5"/>
  <c r="AD31" i="5"/>
  <c r="AD30" i="5"/>
  <c r="AD29" i="5"/>
  <c r="AD28" i="5"/>
  <c r="AD26" i="5"/>
  <c r="AD25" i="5"/>
  <c r="AD24" i="5"/>
  <c r="AD23" i="5"/>
  <c r="AD22" i="5"/>
  <c r="AD21" i="5"/>
  <c r="AD20" i="5"/>
  <c r="AD19" i="5"/>
  <c r="AD18" i="5"/>
  <c r="AD16" i="5"/>
  <c r="AD15" i="5"/>
  <c r="AD14" i="5"/>
  <c r="AD13" i="5"/>
  <c r="AD12" i="5"/>
  <c r="AD11" i="5"/>
  <c r="AD10" i="5"/>
  <c r="AD9" i="5"/>
  <c r="AB34" i="5"/>
  <c r="AI57" i="5"/>
  <c r="AI56" i="5"/>
  <c r="AI55" i="5"/>
  <c r="AI54" i="5"/>
  <c r="AI53" i="5"/>
  <c r="AI52" i="5"/>
  <c r="AI49" i="5"/>
  <c r="AI46" i="5"/>
  <c r="AI45" i="5"/>
  <c r="AI44" i="5"/>
  <c r="AI41" i="5"/>
  <c r="AI40" i="5"/>
  <c r="AI39" i="5"/>
  <c r="AI38" i="5"/>
  <c r="AI37" i="5"/>
  <c r="AI34" i="5"/>
  <c r="AI32" i="5" s="1"/>
  <c r="AI33" i="5"/>
  <c r="AI30" i="5"/>
  <c r="AI29" i="5"/>
  <c r="AI28" i="5"/>
  <c r="AI25" i="5"/>
  <c r="AI24" i="5"/>
  <c r="AI23" i="5"/>
  <c r="AI22" i="5"/>
  <c r="AI21" i="5"/>
  <c r="AI20" i="5"/>
  <c r="AI19" i="5"/>
  <c r="AI18" i="5"/>
  <c r="AI15" i="5"/>
  <c r="AI14" i="5"/>
  <c r="AI13" i="5"/>
  <c r="AI12" i="5"/>
  <c r="AI11" i="5"/>
  <c r="AI10" i="5"/>
  <c r="AI9" i="5"/>
  <c r="AI47" i="5" l="1"/>
  <c r="AI31" i="5"/>
  <c r="AI26" i="5"/>
  <c r="AI58" i="5"/>
  <c r="AD58" i="5"/>
  <c r="AI16" i="5"/>
  <c r="AI42" i="5"/>
  <c r="AD35" i="5"/>
  <c r="AD42" i="5"/>
  <c r="AD47" i="5"/>
  <c r="AC57" i="5"/>
  <c r="AC56" i="5"/>
  <c r="AC55" i="5"/>
  <c r="AC54" i="5"/>
  <c r="AC52" i="5"/>
  <c r="AC49" i="5"/>
  <c r="AC48" i="5"/>
  <c r="AC46" i="5"/>
  <c r="AC45" i="5"/>
  <c r="AC44" i="5"/>
  <c r="AC41" i="5"/>
  <c r="AC40" i="5"/>
  <c r="AC39" i="5"/>
  <c r="AC38" i="5"/>
  <c r="AC37" i="5"/>
  <c r="AC34" i="5"/>
  <c r="AC33" i="5"/>
  <c r="AC32" i="5"/>
  <c r="AC31" i="5"/>
  <c r="AC30" i="5"/>
  <c r="AC29" i="5"/>
  <c r="AC28" i="5"/>
  <c r="AC26" i="5"/>
  <c r="AC25" i="5"/>
  <c r="AC24" i="5"/>
  <c r="AC23" i="5"/>
  <c r="AC22" i="5"/>
  <c r="AC21" i="5"/>
  <c r="AC20" i="5"/>
  <c r="AC19" i="5"/>
  <c r="AC18" i="5"/>
  <c r="AC16" i="5"/>
  <c r="AC15" i="5"/>
  <c r="AC14" i="5"/>
  <c r="AC13" i="5"/>
  <c r="AC12" i="5"/>
  <c r="AC11" i="5"/>
  <c r="AC10" i="5"/>
  <c r="AC9" i="5"/>
  <c r="W57" i="5"/>
  <c r="W56" i="5"/>
  <c r="W55" i="5"/>
  <c r="W54" i="5"/>
  <c r="W53" i="5"/>
  <c r="W52" i="5"/>
  <c r="W49" i="5"/>
  <c r="W46" i="5"/>
  <c r="W45" i="5"/>
  <c r="W44" i="5"/>
  <c r="W41" i="5"/>
  <c r="W40" i="5"/>
  <c r="W39" i="5"/>
  <c r="W38" i="5"/>
  <c r="W37" i="5"/>
  <c r="W34" i="5"/>
  <c r="W32" i="5" s="1"/>
  <c r="W33" i="5"/>
  <c r="W30" i="5"/>
  <c r="W29" i="5"/>
  <c r="W28" i="5"/>
  <c r="W25" i="5"/>
  <c r="W24" i="5"/>
  <c r="W23" i="5"/>
  <c r="W22" i="5"/>
  <c r="W21" i="5"/>
  <c r="W20" i="5"/>
  <c r="W19" i="5"/>
  <c r="W18" i="5"/>
  <c r="W15" i="5"/>
  <c r="W14" i="5"/>
  <c r="W13" i="5"/>
  <c r="W12" i="5"/>
  <c r="W11" i="5"/>
  <c r="W10" i="5"/>
  <c r="W9" i="5"/>
  <c r="Q57" i="5"/>
  <c r="Q56" i="5"/>
  <c r="Q55" i="5"/>
  <c r="Q54" i="5"/>
  <c r="Q53" i="5"/>
  <c r="Q52" i="5"/>
  <c r="Q49" i="5"/>
  <c r="Q46" i="5"/>
  <c r="Q45" i="5"/>
  <c r="Q44" i="5"/>
  <c r="Q41" i="5"/>
  <c r="Q40" i="5"/>
  <c r="Q39" i="5"/>
  <c r="Q38" i="5"/>
  <c r="Q37" i="5"/>
  <c r="Q34" i="5"/>
  <c r="Q32" i="5" s="1"/>
  <c r="Q33" i="5"/>
  <c r="Q30" i="5"/>
  <c r="Q29" i="5"/>
  <c r="Q28" i="5"/>
  <c r="Q25" i="5"/>
  <c r="Q24" i="5"/>
  <c r="Q23" i="5"/>
  <c r="Q22" i="5"/>
  <c r="Q21" i="5"/>
  <c r="Q20" i="5"/>
  <c r="Q19" i="5"/>
  <c r="Q18" i="5"/>
  <c r="Q15" i="5"/>
  <c r="Q14" i="5"/>
  <c r="Q13" i="5"/>
  <c r="Q12" i="5"/>
  <c r="Q11" i="5"/>
  <c r="Q10" i="5"/>
  <c r="Q9" i="5"/>
  <c r="K57" i="5"/>
  <c r="K56" i="5"/>
  <c r="K55" i="5"/>
  <c r="K54" i="5"/>
  <c r="K53" i="5"/>
  <c r="K52" i="5"/>
  <c r="K49" i="5"/>
  <c r="K46" i="5"/>
  <c r="K45" i="5"/>
  <c r="K44" i="5"/>
  <c r="K41" i="5"/>
  <c r="K40" i="5"/>
  <c r="K39" i="5"/>
  <c r="K38" i="5"/>
  <c r="K37" i="5"/>
  <c r="K34" i="5"/>
  <c r="K32" i="5" s="1"/>
  <c r="K33" i="5"/>
  <c r="K30" i="5"/>
  <c r="K29" i="5"/>
  <c r="K28" i="5"/>
  <c r="K25" i="5"/>
  <c r="K24" i="5"/>
  <c r="K23" i="5"/>
  <c r="K22" i="5"/>
  <c r="K21" i="5"/>
  <c r="K20" i="5"/>
  <c r="K19" i="5"/>
  <c r="K18" i="5"/>
  <c r="K15" i="5"/>
  <c r="K14" i="5"/>
  <c r="K13" i="5"/>
  <c r="K12" i="5"/>
  <c r="K11" i="5"/>
  <c r="K10" i="5"/>
  <c r="K9" i="5"/>
  <c r="E57" i="5"/>
  <c r="E56" i="5"/>
  <c r="E55" i="5"/>
  <c r="E54" i="5"/>
  <c r="E53" i="5"/>
  <c r="E52" i="5"/>
  <c r="E49" i="5"/>
  <c r="E46" i="5"/>
  <c r="E45" i="5"/>
  <c r="E44" i="5"/>
  <c r="E41" i="5"/>
  <c r="E40" i="5"/>
  <c r="E39" i="5"/>
  <c r="E38" i="5"/>
  <c r="E37" i="5"/>
  <c r="E34" i="5"/>
  <c r="E32" i="5" s="1"/>
  <c r="E33" i="5"/>
  <c r="E30" i="5"/>
  <c r="E29" i="5"/>
  <c r="E28" i="5"/>
  <c r="E25" i="5"/>
  <c r="E24" i="5"/>
  <c r="E23" i="5"/>
  <c r="E22" i="5"/>
  <c r="E21" i="5"/>
  <c r="E20" i="5"/>
  <c r="E19" i="5"/>
  <c r="E18" i="5"/>
  <c r="E15" i="5"/>
  <c r="E14" i="5"/>
  <c r="E13" i="5"/>
  <c r="E12" i="5"/>
  <c r="E11" i="5"/>
  <c r="E10" i="5"/>
  <c r="E9" i="5"/>
  <c r="F57" i="5"/>
  <c r="F56" i="5"/>
  <c r="F55" i="5"/>
  <c r="F54" i="5"/>
  <c r="F53" i="5"/>
  <c r="F52" i="5"/>
  <c r="F49" i="5"/>
  <c r="F46" i="5"/>
  <c r="F45" i="5"/>
  <c r="F44" i="5"/>
  <c r="F41" i="5"/>
  <c r="F40" i="5"/>
  <c r="F39" i="5"/>
  <c r="F38" i="5"/>
  <c r="F37" i="5"/>
  <c r="F34" i="5"/>
  <c r="F32" i="5" s="1"/>
  <c r="F33" i="5"/>
  <c r="F30" i="5"/>
  <c r="F29" i="5"/>
  <c r="F28" i="5"/>
  <c r="F25" i="5"/>
  <c r="F24" i="5"/>
  <c r="F23" i="5"/>
  <c r="F22" i="5"/>
  <c r="F21" i="5"/>
  <c r="F20" i="5"/>
  <c r="F19" i="5"/>
  <c r="F18" i="5"/>
  <c r="F15" i="5"/>
  <c r="F14" i="5"/>
  <c r="F13" i="5"/>
  <c r="F12" i="5"/>
  <c r="F11" i="5"/>
  <c r="F10" i="5"/>
  <c r="F9" i="5"/>
  <c r="AI50" i="5" l="1"/>
  <c r="K31" i="5"/>
  <c r="AC47" i="5"/>
  <c r="AI35" i="5"/>
  <c r="K47" i="5"/>
  <c r="AD50" i="5"/>
  <c r="K58" i="5"/>
  <c r="AI59" i="5"/>
  <c r="W31" i="5"/>
  <c r="F58" i="5"/>
  <c r="E58" i="5"/>
  <c r="F47" i="5"/>
  <c r="W16" i="5"/>
  <c r="W58" i="5"/>
  <c r="AC35" i="5"/>
  <c r="AD59" i="5"/>
  <c r="AD60" i="5" s="1"/>
  <c r="Q58" i="5"/>
  <c r="Q31" i="5"/>
  <c r="F31" i="5"/>
  <c r="E31" i="5"/>
  <c r="E47" i="5"/>
  <c r="F16" i="5"/>
  <c r="F42" i="5"/>
  <c r="W42" i="5"/>
  <c r="E42" i="5"/>
  <c r="AC42" i="5"/>
  <c r="K16" i="5"/>
  <c r="K42" i="5"/>
  <c r="Q16" i="5"/>
  <c r="Q26" i="5"/>
  <c r="Q42" i="5"/>
  <c r="Q47" i="5"/>
  <c r="E16" i="5"/>
  <c r="K26" i="5"/>
  <c r="F26" i="5"/>
  <c r="W47" i="5"/>
  <c r="AC58" i="5"/>
  <c r="W26" i="5"/>
  <c r="E26" i="5"/>
  <c r="C72" i="33"/>
  <c r="Q72" i="33"/>
  <c r="S72" i="33"/>
  <c r="U72" i="33"/>
  <c r="W72" i="33"/>
  <c r="Y72" i="33"/>
  <c r="AD211" i="33"/>
  <c r="AD220" i="33"/>
  <c r="AD224" i="33"/>
  <c r="AD154" i="33"/>
  <c r="AD158" i="33"/>
  <c r="AD125" i="33"/>
  <c r="AD59" i="33"/>
  <c r="AA38" i="32"/>
  <c r="AA37" i="32"/>
  <c r="AA39" i="32" s="1"/>
  <c r="AA36" i="32"/>
  <c r="AA35" i="32"/>
  <c r="AA34" i="32"/>
  <c r="Y38" i="32"/>
  <c r="Y37" i="32"/>
  <c r="Y39" i="32" s="1"/>
  <c r="Y36" i="32"/>
  <c r="Y35" i="32"/>
  <c r="Y34" i="32"/>
  <c r="W38" i="32"/>
  <c r="W37" i="32"/>
  <c r="W39" i="32" s="1"/>
  <c r="W36" i="32"/>
  <c r="W35" i="32"/>
  <c r="W34" i="32"/>
  <c r="U38" i="32"/>
  <c r="U37" i="32"/>
  <c r="U39" i="32" s="1"/>
  <c r="U36" i="32"/>
  <c r="U35" i="32"/>
  <c r="U34" i="32"/>
  <c r="S38" i="32"/>
  <c r="S37" i="32"/>
  <c r="S39" i="32" s="1"/>
  <c r="S36" i="32"/>
  <c r="S35" i="32"/>
  <c r="S34" i="32"/>
  <c r="Q38" i="32"/>
  <c r="Q37" i="32"/>
  <c r="Q39" i="32" s="1"/>
  <c r="Q36" i="32"/>
  <c r="Q35" i="32"/>
  <c r="Q34" i="32"/>
  <c r="O38" i="32"/>
  <c r="O37" i="32"/>
  <c r="O36" i="32"/>
  <c r="O35" i="32"/>
  <c r="O34" i="32"/>
  <c r="M38" i="32"/>
  <c r="M37" i="32"/>
  <c r="M36" i="32"/>
  <c r="M35" i="32"/>
  <c r="M34" i="32"/>
  <c r="K38" i="32"/>
  <c r="K37" i="32"/>
  <c r="K36" i="32"/>
  <c r="K35" i="32"/>
  <c r="K34" i="32"/>
  <c r="I38" i="32"/>
  <c r="I37" i="32"/>
  <c r="I36" i="32"/>
  <c r="I35" i="32"/>
  <c r="I34" i="32"/>
  <c r="G38" i="32"/>
  <c r="G37" i="32"/>
  <c r="G36" i="32"/>
  <c r="G35" i="32"/>
  <c r="G34" i="32"/>
  <c r="E38" i="32"/>
  <c r="E37" i="32"/>
  <c r="E36" i="32"/>
  <c r="E35" i="32"/>
  <c r="E34" i="32"/>
  <c r="C38" i="32"/>
  <c r="C37" i="32"/>
  <c r="C36" i="32"/>
  <c r="C35" i="32"/>
  <c r="C34" i="32"/>
  <c r="AA236" i="33"/>
  <c r="AA235" i="33"/>
  <c r="AA234" i="33"/>
  <c r="AA233" i="33"/>
  <c r="AD233" i="33" s="1"/>
  <c r="AA232" i="33"/>
  <c r="AD232" i="33" s="1"/>
  <c r="AA203" i="33"/>
  <c r="AA202" i="33"/>
  <c r="AD202" i="33" s="1"/>
  <c r="AA201" i="33"/>
  <c r="AA200" i="33"/>
  <c r="AD200" i="33" s="1"/>
  <c r="AA199" i="33"/>
  <c r="AD199" i="33" s="1"/>
  <c r="AA198" i="33"/>
  <c r="AA170" i="33"/>
  <c r="AA169" i="33"/>
  <c r="AD169" i="33" s="1"/>
  <c r="AA168" i="33"/>
  <c r="AA167" i="33"/>
  <c r="AD167" i="33" s="1"/>
  <c r="AA166" i="33"/>
  <c r="AD166" i="33" s="1"/>
  <c r="AA137" i="33"/>
  <c r="AA136" i="33"/>
  <c r="AA135" i="33"/>
  <c r="AA134" i="33"/>
  <c r="AD134" i="33" s="1"/>
  <c r="AA133" i="33"/>
  <c r="AD133" i="33" s="1"/>
  <c r="AA104" i="33"/>
  <c r="AA103" i="33"/>
  <c r="AA102" i="33"/>
  <c r="AA101" i="33"/>
  <c r="AD101" i="33" s="1"/>
  <c r="AA100" i="33"/>
  <c r="AD100" i="33" s="1"/>
  <c r="AA99" i="33"/>
  <c r="AA98" i="33"/>
  <c r="AA97" i="33"/>
  <c r="AA71" i="33"/>
  <c r="AA70" i="33"/>
  <c r="AA69" i="33"/>
  <c r="AA68" i="33"/>
  <c r="AD68" i="33" s="1"/>
  <c r="AA67" i="33"/>
  <c r="AD67" i="33" s="1"/>
  <c r="Y38" i="33"/>
  <c r="Y37" i="33"/>
  <c r="Y39" i="33" s="1"/>
  <c r="Y36" i="33"/>
  <c r="Y35" i="33"/>
  <c r="Y34" i="33"/>
  <c r="Y33" i="33"/>
  <c r="Y32" i="33"/>
  <c r="Y31" i="33"/>
  <c r="Y30" i="33"/>
  <c r="W38" i="33"/>
  <c r="W37" i="33"/>
  <c r="W39" i="33" s="1"/>
  <c r="W36" i="33"/>
  <c r="W35" i="33"/>
  <c r="W34" i="33"/>
  <c r="W33" i="33"/>
  <c r="W32" i="33"/>
  <c r="W31" i="33"/>
  <c r="W30" i="33"/>
  <c r="U38" i="33"/>
  <c r="U37" i="33"/>
  <c r="U39" i="33" s="1"/>
  <c r="U36" i="33"/>
  <c r="U35" i="33"/>
  <c r="U34" i="33"/>
  <c r="U33" i="33"/>
  <c r="U32" i="33"/>
  <c r="U31" i="33"/>
  <c r="U30" i="33"/>
  <c r="S38" i="33"/>
  <c r="S37" i="33"/>
  <c r="S39" i="33" s="1"/>
  <c r="S36" i="33"/>
  <c r="S35" i="33"/>
  <c r="S34" i="33"/>
  <c r="S33" i="33"/>
  <c r="S32" i="33"/>
  <c r="S31" i="33"/>
  <c r="S30" i="33"/>
  <c r="Q38" i="33"/>
  <c r="Q37" i="33"/>
  <c r="Q39" i="33" s="1"/>
  <c r="Q36" i="33"/>
  <c r="Q35" i="33"/>
  <c r="Q34" i="33"/>
  <c r="Q33" i="33"/>
  <c r="Q32" i="33"/>
  <c r="Q31" i="33"/>
  <c r="Q30" i="33"/>
  <c r="O38" i="33"/>
  <c r="O37" i="33"/>
  <c r="O36" i="33"/>
  <c r="O35" i="33"/>
  <c r="O34" i="33"/>
  <c r="O33" i="33"/>
  <c r="O32" i="33"/>
  <c r="O31" i="33"/>
  <c r="O30" i="33"/>
  <c r="M38" i="33"/>
  <c r="M37" i="33"/>
  <c r="M36" i="33"/>
  <c r="M35" i="33"/>
  <c r="M34" i="33"/>
  <c r="M33" i="33"/>
  <c r="M32" i="33"/>
  <c r="M31" i="33"/>
  <c r="M30" i="33"/>
  <c r="K38" i="33"/>
  <c r="K37" i="33"/>
  <c r="K36" i="33"/>
  <c r="K35" i="33"/>
  <c r="K34" i="33"/>
  <c r="K33" i="33"/>
  <c r="K32" i="33"/>
  <c r="K31" i="33"/>
  <c r="K30" i="33"/>
  <c r="I38" i="33"/>
  <c r="I37" i="33"/>
  <c r="I36" i="33"/>
  <c r="I35" i="33"/>
  <c r="I34" i="33"/>
  <c r="I33" i="33"/>
  <c r="I32" i="33"/>
  <c r="I31" i="33"/>
  <c r="I30" i="33"/>
  <c r="G38" i="33"/>
  <c r="G37" i="33"/>
  <c r="G36" i="33"/>
  <c r="G35" i="33"/>
  <c r="G34" i="33"/>
  <c r="G33" i="33"/>
  <c r="G32" i="33"/>
  <c r="G31" i="33"/>
  <c r="G30" i="33"/>
  <c r="E38" i="33"/>
  <c r="E37" i="33"/>
  <c r="E36" i="33"/>
  <c r="E35" i="33"/>
  <c r="E34" i="33"/>
  <c r="E33" i="33"/>
  <c r="E32" i="33"/>
  <c r="E31" i="33"/>
  <c r="E30" i="33"/>
  <c r="C38" i="33"/>
  <c r="C37" i="33"/>
  <c r="C36" i="33"/>
  <c r="C35" i="33"/>
  <c r="C34" i="33"/>
  <c r="C33" i="33"/>
  <c r="C32" i="33"/>
  <c r="C31" i="33"/>
  <c r="AC50" i="5" l="1"/>
  <c r="O39" i="32"/>
  <c r="O39" i="33"/>
  <c r="E59" i="5"/>
  <c r="E50" i="5"/>
  <c r="F50" i="5"/>
  <c r="W35" i="5"/>
  <c r="M39" i="32"/>
  <c r="M39" i="33"/>
  <c r="Q50" i="5"/>
  <c r="K50" i="5"/>
  <c r="K39" i="32"/>
  <c r="K39" i="33"/>
  <c r="K59" i="5"/>
  <c r="E39" i="32"/>
  <c r="F59" i="5"/>
  <c r="I39" i="33"/>
  <c r="I39" i="32"/>
  <c r="K35" i="5"/>
  <c r="AA37" i="33"/>
  <c r="AA38" i="33"/>
  <c r="C39" i="33"/>
  <c r="C39" i="32"/>
  <c r="E35" i="5"/>
  <c r="F131" i="43"/>
  <c r="F127" i="43"/>
  <c r="F122" i="43"/>
  <c r="F113" i="43"/>
  <c r="F134" i="43"/>
  <c r="F121" i="43"/>
  <c r="F120" i="43"/>
  <c r="F115" i="43"/>
  <c r="F110" i="43"/>
  <c r="F132" i="43"/>
  <c r="F128" i="43"/>
  <c r="F114" i="43"/>
  <c r="F109" i="43"/>
  <c r="G39" i="32"/>
  <c r="G39" i="33"/>
  <c r="W59" i="5"/>
  <c r="W60" i="5" s="1"/>
  <c r="AC59" i="5"/>
  <c r="AC60" i="5" s="1"/>
  <c r="Q59" i="5"/>
  <c r="F35" i="5"/>
  <c r="W50" i="5"/>
  <c r="Q35" i="5"/>
  <c r="AA72" i="33"/>
  <c r="AA105" i="33"/>
  <c r="AA237" i="33"/>
  <c r="AA138" i="33"/>
  <c r="AA171" i="33"/>
  <c r="AA204" i="33"/>
  <c r="E39" i="33"/>
  <c r="AA34" i="33"/>
  <c r="AD34" i="33" s="1"/>
  <c r="AA35" i="33"/>
  <c r="AD35" i="33" s="1"/>
  <c r="AA36" i="33"/>
  <c r="Q60" i="5" l="1"/>
  <c r="AA39" i="33"/>
  <c r="BX70" i="2" l="1"/>
  <c r="BX72" i="2" s="1"/>
  <c r="BX68" i="2"/>
  <c r="BX67" i="2"/>
  <c r="BV55" i="2"/>
  <c r="BX55" i="2"/>
  <c r="AW68" i="43"/>
  <c r="AU68" i="43"/>
  <c r="AV68" i="43" s="1"/>
  <c r="AS68" i="43"/>
  <c r="AQ68" i="43"/>
  <c r="AW66" i="43"/>
  <c r="AX66" i="43" s="1"/>
  <c r="AU66" i="43"/>
  <c r="AV66" i="43" s="1"/>
  <c r="AS66" i="43"/>
  <c r="AT66" i="43" s="1"/>
  <c r="AQ66" i="43"/>
  <c r="AR66" i="43" s="1"/>
  <c r="AW65" i="43"/>
  <c r="AX65" i="43" s="1"/>
  <c r="AU65" i="43"/>
  <c r="AV65" i="43" s="1"/>
  <c r="AS65" i="43"/>
  <c r="AT65" i="43" s="1"/>
  <c r="AQ65" i="43"/>
  <c r="AR65" i="43" s="1"/>
  <c r="U68" i="43"/>
  <c r="BG6" i="2"/>
  <c r="BK33" i="2"/>
  <c r="BK32" i="2"/>
  <c r="BI33" i="2"/>
  <c r="BI32" i="2"/>
  <c r="BG33" i="2"/>
  <c r="BG32" i="2"/>
  <c r="B246" i="43"/>
  <c r="B281" i="43" s="1"/>
  <c r="AG306" i="43"/>
  <c r="AL306" i="43" s="1"/>
  <c r="AG305" i="43"/>
  <c r="AL305" i="43" s="1"/>
  <c r="AE306" i="43"/>
  <c r="AE305" i="43"/>
  <c r="AE302" i="43"/>
  <c r="AE301" i="43"/>
  <c r="AE296" i="43"/>
  <c r="AE295" i="43"/>
  <c r="AE294" i="43"/>
  <c r="AE289" i="43"/>
  <c r="AE288" i="43"/>
  <c r="AE283" i="43"/>
  <c r="AF306" i="43"/>
  <c r="AF305" i="43"/>
  <c r="AG271" i="43"/>
  <c r="AG270" i="43"/>
  <c r="AE273" i="43"/>
  <c r="AF273" i="43" s="1"/>
  <c r="AE271" i="43"/>
  <c r="AF271" i="43" s="1"/>
  <c r="AE270" i="43"/>
  <c r="AE267" i="43"/>
  <c r="AE266" i="43"/>
  <c r="AE261" i="43"/>
  <c r="AE260" i="43"/>
  <c r="AE259" i="43"/>
  <c r="AE254" i="43"/>
  <c r="AE253" i="43"/>
  <c r="AE248" i="43"/>
  <c r="AL271" i="43"/>
  <c r="AL270" i="43"/>
  <c r="AF270" i="43"/>
  <c r="H10" i="36"/>
  <c r="H9" i="36"/>
  <c r="H8" i="36"/>
  <c r="AF301" i="43" l="1"/>
  <c r="AF294" i="43"/>
  <c r="AF248" i="43"/>
  <c r="AF289" i="43"/>
  <c r="AF283" i="43"/>
  <c r="AF288" i="43"/>
  <c r="AS70" i="43"/>
  <c r="AT68" i="43"/>
  <c r="U70" i="43"/>
  <c r="V68" i="43"/>
  <c r="AW70" i="43"/>
  <c r="AX68" i="43"/>
  <c r="AK270" i="43"/>
  <c r="AK271" i="43"/>
  <c r="AQ70" i="43"/>
  <c r="AR68" i="43"/>
  <c r="F144" i="43"/>
  <c r="F143" i="43"/>
  <c r="F168" i="43"/>
  <c r="F149" i="43"/>
  <c r="F165" i="43"/>
  <c r="F155" i="43"/>
  <c r="F148" i="43"/>
  <c r="F154" i="43"/>
  <c r="F156" i="43"/>
  <c r="F162" i="43"/>
  <c r="F161" i="43"/>
  <c r="F166" i="43"/>
  <c r="F147" i="43"/>
  <c r="F100" i="43"/>
  <c r="F97" i="43"/>
  <c r="F75" i="43"/>
  <c r="F93" i="43"/>
  <c r="F86" i="43"/>
  <c r="F81" i="43"/>
  <c r="F87" i="43"/>
  <c r="F88" i="43"/>
  <c r="F98" i="43"/>
  <c r="F79" i="43"/>
  <c r="F94" i="43"/>
  <c r="F80" i="43"/>
  <c r="F76" i="43"/>
  <c r="F203" i="43"/>
  <c r="F182" i="43"/>
  <c r="F190" i="43"/>
  <c r="F200" i="43"/>
  <c r="F184" i="43"/>
  <c r="F201" i="43"/>
  <c r="F197" i="43"/>
  <c r="F196" i="43"/>
  <c r="F179" i="43"/>
  <c r="F189" i="43"/>
  <c r="F191" i="43"/>
  <c r="F183" i="43"/>
  <c r="F178" i="43"/>
  <c r="AF266" i="43"/>
  <c r="AY65" i="43"/>
  <c r="AZ65" i="43" s="1"/>
  <c r="AY68" i="43"/>
  <c r="AF267" i="43"/>
  <c r="AK306" i="43"/>
  <c r="AY66" i="43"/>
  <c r="AZ66" i="43" s="1"/>
  <c r="AF260" i="43"/>
  <c r="AE263" i="43"/>
  <c r="AF263" i="43" s="1"/>
  <c r="AU70" i="43"/>
  <c r="AF261" i="43"/>
  <c r="AF254" i="43"/>
  <c r="AF259" i="43"/>
  <c r="AF253" i="43"/>
  <c r="AE298" i="43"/>
  <c r="AF298" i="43" s="1"/>
  <c r="AF302" i="43"/>
  <c r="AF295" i="43"/>
  <c r="AK305" i="43"/>
  <c r="AF296" i="43"/>
  <c r="AY70" i="43" l="1"/>
  <c r="AZ68" i="43"/>
  <c r="AH120" i="43"/>
  <c r="AH122" i="43"/>
  <c r="AH132" i="43"/>
  <c r="AH113" i="43"/>
  <c r="AH115" i="43"/>
  <c r="AH121" i="43"/>
  <c r="AH128" i="43"/>
  <c r="AH131" i="43"/>
  <c r="AH127" i="43"/>
  <c r="AH109" i="43"/>
  <c r="AH110" i="43"/>
  <c r="AH114" i="43"/>
  <c r="AH143" i="43"/>
  <c r="AH154" i="43"/>
  <c r="AH165" i="43"/>
  <c r="AH147" i="43"/>
  <c r="AH148" i="43"/>
  <c r="AH156" i="43"/>
  <c r="AH144" i="43"/>
  <c r="AH149" i="43"/>
  <c r="AH162" i="43"/>
  <c r="AH161" i="43"/>
  <c r="AH166" i="43"/>
  <c r="AH155" i="43"/>
  <c r="AJ93" i="43"/>
  <c r="AJ75" i="43"/>
  <c r="AJ86" i="43"/>
  <c r="AJ87" i="43"/>
  <c r="AJ81" i="43"/>
  <c r="AJ100" i="43"/>
  <c r="AJ80" i="43"/>
  <c r="AJ79" i="43"/>
  <c r="AJ76" i="43"/>
  <c r="AJ88" i="43"/>
  <c r="AJ97" i="43"/>
  <c r="AJ94" i="43"/>
  <c r="AJ98" i="43"/>
  <c r="H121" i="43"/>
  <c r="H131" i="43"/>
  <c r="H115" i="43"/>
  <c r="H122" i="43"/>
  <c r="H113" i="43"/>
  <c r="H120" i="43"/>
  <c r="H134" i="43"/>
  <c r="H128" i="43"/>
  <c r="H127" i="43"/>
  <c r="H110" i="43"/>
  <c r="H132" i="43"/>
  <c r="H109" i="43"/>
  <c r="H114" i="43"/>
  <c r="AJ184" i="43"/>
  <c r="AJ197" i="43"/>
  <c r="AJ182" i="43"/>
  <c r="AJ190" i="43"/>
  <c r="AJ200" i="43"/>
  <c r="AJ203" i="43"/>
  <c r="AJ191" i="43"/>
  <c r="AJ189" i="43"/>
  <c r="AJ178" i="43"/>
  <c r="AJ196" i="43"/>
  <c r="AJ179" i="43"/>
  <c r="AJ183" i="43"/>
  <c r="AJ201" i="43"/>
  <c r="H179" i="43"/>
  <c r="H201" i="43"/>
  <c r="H197" i="43"/>
  <c r="H183" i="43"/>
  <c r="H196" i="43"/>
  <c r="H200" i="43"/>
  <c r="H189" i="43"/>
  <c r="H182" i="43"/>
  <c r="H184" i="43"/>
  <c r="H203" i="43"/>
  <c r="H191" i="43"/>
  <c r="H190" i="43"/>
  <c r="H178" i="43"/>
  <c r="AJ132" i="43"/>
  <c r="AJ131" i="43"/>
  <c r="AJ127" i="43"/>
  <c r="AJ134" i="43"/>
  <c r="AJ121" i="43"/>
  <c r="AJ115" i="43"/>
  <c r="AJ128" i="43"/>
  <c r="AJ110" i="43"/>
  <c r="AJ109" i="43"/>
  <c r="AJ114" i="43"/>
  <c r="AJ122" i="43"/>
  <c r="AJ120" i="43"/>
  <c r="AJ113" i="43"/>
  <c r="AJ155" i="43"/>
  <c r="AJ148" i="43"/>
  <c r="AJ149" i="43"/>
  <c r="AJ154" i="43"/>
  <c r="AJ147" i="43"/>
  <c r="AJ143" i="43"/>
  <c r="AJ165" i="43"/>
  <c r="AJ168" i="43"/>
  <c r="AJ156" i="43"/>
  <c r="AJ166" i="43"/>
  <c r="AJ161" i="43"/>
  <c r="AJ162" i="43"/>
  <c r="AJ144" i="43"/>
  <c r="H81" i="43"/>
  <c r="H94" i="43"/>
  <c r="H97" i="43"/>
  <c r="H100" i="43"/>
  <c r="H88" i="43"/>
  <c r="H79" i="43"/>
  <c r="H86" i="43"/>
  <c r="H76" i="43"/>
  <c r="H98" i="43"/>
  <c r="H75" i="43"/>
  <c r="H80" i="43"/>
  <c r="H87" i="43"/>
  <c r="H93" i="43"/>
  <c r="AH178" i="43"/>
  <c r="AH197" i="43"/>
  <c r="AH200" i="43"/>
  <c r="AH190" i="43"/>
  <c r="AH179" i="43"/>
  <c r="AH201" i="43"/>
  <c r="AH182" i="43"/>
  <c r="AH184" i="43"/>
  <c r="AH196" i="43"/>
  <c r="AH183" i="43"/>
  <c r="AH191" i="43"/>
  <c r="AH189" i="43"/>
  <c r="AJ225" i="43"/>
  <c r="AJ216" i="43"/>
  <c r="AJ217" i="43"/>
  <c r="AJ237" i="43"/>
  <c r="AJ223" i="43"/>
  <c r="AJ234" i="43"/>
  <c r="AJ212" i="43"/>
  <c r="AJ218" i="43"/>
  <c r="AJ224" i="43"/>
  <c r="AJ235" i="43"/>
  <c r="AJ230" i="43"/>
  <c r="AJ231" i="43"/>
  <c r="AJ213" i="43"/>
  <c r="H147" i="43"/>
  <c r="H165" i="43"/>
  <c r="H155" i="43"/>
  <c r="H168" i="43"/>
  <c r="H162" i="43"/>
  <c r="H166" i="43"/>
  <c r="H143" i="43"/>
  <c r="H149" i="43"/>
  <c r="H156" i="43"/>
  <c r="H148" i="43"/>
  <c r="H154" i="43"/>
  <c r="H161" i="43"/>
  <c r="H144" i="43"/>
  <c r="AH223" i="43"/>
  <c r="AH306" i="43"/>
  <c r="AH212" i="43"/>
  <c r="AH230" i="43"/>
  <c r="AH213" i="43"/>
  <c r="AH217" i="43"/>
  <c r="AH225" i="43"/>
  <c r="AH270" i="43"/>
  <c r="AH305" i="43"/>
  <c r="AH235" i="43"/>
  <c r="AH271" i="43"/>
  <c r="AH234" i="43"/>
  <c r="AH224" i="43"/>
  <c r="AH231" i="43"/>
  <c r="AH218" i="43"/>
  <c r="AH216" i="43"/>
  <c r="AH94" i="43"/>
  <c r="AH81" i="43"/>
  <c r="AH75" i="43"/>
  <c r="AH86" i="43"/>
  <c r="AH87" i="43"/>
  <c r="AH98" i="43"/>
  <c r="AH97" i="43"/>
  <c r="AH76" i="43"/>
  <c r="AH93" i="43"/>
  <c r="AH79" i="43"/>
  <c r="AH88" i="43"/>
  <c r="AH80" i="43"/>
  <c r="AA69" i="41"/>
  <c r="AA133" i="41"/>
  <c r="AA137" i="41"/>
  <c r="AA104" i="41"/>
  <c r="AA199" i="41"/>
  <c r="AA203" i="41"/>
  <c r="AA169" i="41"/>
  <c r="AA232" i="41"/>
  <c r="AA236" i="41"/>
  <c r="AA70" i="41"/>
  <c r="AA134" i="41"/>
  <c r="AA138" i="41"/>
  <c r="AA105" i="41"/>
  <c r="AA200" i="41"/>
  <c r="AA170" i="41"/>
  <c r="AA233" i="41"/>
  <c r="AA237" i="41"/>
  <c r="AA67" i="41"/>
  <c r="AA71" i="41"/>
  <c r="AA135" i="41"/>
  <c r="AA102" i="41"/>
  <c r="AA106" i="41"/>
  <c r="AA201" i="41"/>
  <c r="AA167" i="41"/>
  <c r="AA171" i="41"/>
  <c r="AA234" i="41"/>
  <c r="AA68" i="41"/>
  <c r="AA136" i="41"/>
  <c r="AA103" i="41"/>
  <c r="AA107" i="41"/>
  <c r="AA202" i="41"/>
  <c r="AA168" i="41"/>
  <c r="AA172" i="41"/>
  <c r="AA235" i="41"/>
  <c r="C72" i="41"/>
  <c r="AA72" i="41" s="1"/>
  <c r="AI271" i="43"/>
  <c r="AJ271" i="43" s="1"/>
  <c r="AI273" i="43"/>
  <c r="AJ273" i="43" s="1"/>
  <c r="AI267" i="43"/>
  <c r="AI302" i="43"/>
  <c r="AI305" i="43"/>
  <c r="AJ305" i="43" s="1"/>
  <c r="AI270" i="43"/>
  <c r="AJ270" i="43" s="1"/>
  <c r="AI306" i="43"/>
  <c r="AJ306" i="43" s="1"/>
  <c r="AG33" i="43"/>
  <c r="AG32" i="43"/>
  <c r="AE33" i="43"/>
  <c r="AA204" i="41" l="1"/>
  <c r="AA37" i="41"/>
  <c r="AN302" i="43"/>
  <c r="AM302" i="43"/>
  <c r="AN306" i="43"/>
  <c r="AM306" i="43"/>
  <c r="AN270" i="43"/>
  <c r="AM270" i="43"/>
  <c r="AN273" i="43"/>
  <c r="AM273" i="43"/>
  <c r="AN267" i="43"/>
  <c r="AM267" i="43"/>
  <c r="AN305" i="43"/>
  <c r="AM305" i="43"/>
  <c r="AN271" i="43"/>
  <c r="AM271" i="43"/>
  <c r="CD33" i="2"/>
  <c r="BZ68" i="2" s="1"/>
  <c r="CD32" i="2"/>
  <c r="BZ67" i="2" s="1"/>
  <c r="CB37" i="2"/>
  <c r="BX33" i="2"/>
  <c r="BX32" i="2"/>
  <c r="BV33" i="2"/>
  <c r="BV32" i="2"/>
  <c r="BT68" i="2"/>
  <c r="BT67" i="2"/>
  <c r="BG213" i="2"/>
  <c r="BI213" i="2" s="1"/>
  <c r="BG175" i="2"/>
  <c r="BO175" i="2" s="1"/>
  <c r="AA38" i="41"/>
  <c r="AA36" i="41"/>
  <c r="AA35" i="41"/>
  <c r="AA34" i="41"/>
  <c r="Y38" i="41"/>
  <c r="Y37" i="41"/>
  <c r="Y36" i="41"/>
  <c r="Y35" i="41"/>
  <c r="Y34" i="41"/>
  <c r="Y33" i="41"/>
  <c r="W38" i="41"/>
  <c r="W37" i="41"/>
  <c r="W36" i="41"/>
  <c r="W35" i="41"/>
  <c r="W34" i="41"/>
  <c r="W33" i="41"/>
  <c r="U38" i="41"/>
  <c r="U37" i="41"/>
  <c r="U36" i="41"/>
  <c r="U35" i="41"/>
  <c r="U34" i="41"/>
  <c r="U33" i="41"/>
  <c r="S38" i="41"/>
  <c r="S37" i="41"/>
  <c r="S36" i="41"/>
  <c r="S35" i="41"/>
  <c r="S34" i="41"/>
  <c r="S33" i="41"/>
  <c r="Q38" i="41"/>
  <c r="Q37" i="41"/>
  <c r="Q36" i="41"/>
  <c r="Q35" i="41"/>
  <c r="Q34" i="41"/>
  <c r="Q33" i="41"/>
  <c r="O38" i="41"/>
  <c r="O37" i="41"/>
  <c r="O36" i="41"/>
  <c r="O35" i="41"/>
  <c r="O34" i="41"/>
  <c r="O33" i="41"/>
  <c r="M38" i="41"/>
  <c r="M37" i="41"/>
  <c r="M36" i="41"/>
  <c r="M35" i="41"/>
  <c r="M34" i="41"/>
  <c r="M33" i="41"/>
  <c r="K38" i="41"/>
  <c r="K37" i="41"/>
  <c r="K36" i="41"/>
  <c r="K35" i="41"/>
  <c r="K34" i="41"/>
  <c r="K33" i="41"/>
  <c r="I38" i="41"/>
  <c r="I37" i="41"/>
  <c r="I36" i="41"/>
  <c r="I35" i="41"/>
  <c r="I34" i="41"/>
  <c r="I33" i="41"/>
  <c r="E38" i="41"/>
  <c r="E37" i="41"/>
  <c r="E36" i="41"/>
  <c r="E35" i="41"/>
  <c r="E34" i="41"/>
  <c r="E33" i="41"/>
  <c r="G38" i="41"/>
  <c r="G37" i="41"/>
  <c r="G36" i="41"/>
  <c r="G35" i="41"/>
  <c r="G34" i="41"/>
  <c r="G33" i="41"/>
  <c r="C38" i="41"/>
  <c r="C37" i="41"/>
  <c r="C36" i="41"/>
  <c r="C35" i="41"/>
  <c r="C34" i="41"/>
  <c r="C33" i="41"/>
  <c r="E215" i="2"/>
  <c r="BG323" i="2"/>
  <c r="BK286" i="2"/>
  <c r="BP286" i="2" s="1"/>
  <c r="BK285" i="2"/>
  <c r="BP285" i="2" s="1"/>
  <c r="BI286" i="2"/>
  <c r="BN286" i="2" s="1"/>
  <c r="BI285" i="2"/>
  <c r="BN285" i="2" s="1"/>
  <c r="BG286" i="2"/>
  <c r="BH286" i="2" s="1"/>
  <c r="BG285" i="2"/>
  <c r="BH285" i="2" s="1"/>
  <c r="BG282" i="2"/>
  <c r="BH282" i="2" s="1"/>
  <c r="BG281" i="2"/>
  <c r="BH281" i="2" s="1"/>
  <c r="BI328" i="2"/>
  <c r="BG328" i="2"/>
  <c r="BN326" i="2"/>
  <c r="BK328" i="2"/>
  <c r="BM326" i="2"/>
  <c r="BP323" i="2"/>
  <c r="BN323" i="2"/>
  <c r="BK288" i="2"/>
  <c r="BK290" i="2" s="1"/>
  <c r="BK249" i="2"/>
  <c r="BK251" i="2" s="1"/>
  <c r="BP247" i="2"/>
  <c r="BO247" i="2"/>
  <c r="BN247" i="2"/>
  <c r="BM247" i="2"/>
  <c r="BP246" i="2"/>
  <c r="BO246" i="2"/>
  <c r="BN246" i="2"/>
  <c r="BM246" i="2"/>
  <c r="BK215" i="2"/>
  <c r="BP213" i="2"/>
  <c r="BP211" i="2"/>
  <c r="BO211" i="2"/>
  <c r="BN211" i="2"/>
  <c r="BM211" i="2"/>
  <c r="BP210" i="2"/>
  <c r="BO210" i="2"/>
  <c r="BN210" i="2"/>
  <c r="BM210" i="2"/>
  <c r="BK177" i="2"/>
  <c r="BI177" i="2"/>
  <c r="BG177" i="2"/>
  <c r="BP175" i="2"/>
  <c r="BN175" i="2"/>
  <c r="BP173" i="2"/>
  <c r="BO173" i="2"/>
  <c r="BN173" i="2"/>
  <c r="BM173" i="2"/>
  <c r="BP172" i="2"/>
  <c r="BO172" i="2"/>
  <c r="BN172" i="2"/>
  <c r="BM172" i="2"/>
  <c r="BK140" i="2"/>
  <c r="BK142" i="2" s="1"/>
  <c r="BP138" i="2"/>
  <c r="BO138" i="2"/>
  <c r="BN138" i="2"/>
  <c r="BM138" i="2"/>
  <c r="BP137" i="2"/>
  <c r="BO137" i="2"/>
  <c r="BN137" i="2"/>
  <c r="BM137" i="2"/>
  <c r="BK105" i="2"/>
  <c r="BK107" i="2" s="1"/>
  <c r="BP103" i="2"/>
  <c r="BO103" i="2"/>
  <c r="BN103" i="2"/>
  <c r="BM103" i="2"/>
  <c r="BP102" i="2"/>
  <c r="BO102" i="2"/>
  <c r="BN102" i="2"/>
  <c r="BM102" i="2"/>
  <c r="BK72" i="2"/>
  <c r="BK35" i="2"/>
  <c r="BK37" i="2" s="1"/>
  <c r="BP33" i="2"/>
  <c r="BO33" i="2"/>
  <c r="BN33" i="2"/>
  <c r="BM33" i="2"/>
  <c r="BP32" i="2"/>
  <c r="BO32" i="2"/>
  <c r="BN32" i="2"/>
  <c r="BM32" i="2"/>
  <c r="AI249" i="2"/>
  <c r="AD235" i="33"/>
  <c r="G249" i="2"/>
  <c r="AN247" i="2"/>
  <c r="AM247" i="2"/>
  <c r="AL247" i="2"/>
  <c r="AK247" i="2"/>
  <c r="L247" i="2"/>
  <c r="K247" i="2"/>
  <c r="J247" i="2"/>
  <c r="I247" i="2"/>
  <c r="AN246" i="2"/>
  <c r="AM246" i="2"/>
  <c r="AL246" i="2"/>
  <c r="AK246" i="2"/>
  <c r="L246" i="2"/>
  <c r="K246" i="2"/>
  <c r="J246" i="2"/>
  <c r="I246" i="2"/>
  <c r="AI215" i="2"/>
  <c r="AG215" i="2"/>
  <c r="AE215" i="2"/>
  <c r="AD171" i="33" s="1"/>
  <c r="C215" i="2"/>
  <c r="AN213" i="2"/>
  <c r="AM213" i="2"/>
  <c r="AL213" i="2"/>
  <c r="AK213" i="2"/>
  <c r="L213" i="2"/>
  <c r="K213" i="2"/>
  <c r="J213" i="2"/>
  <c r="I213" i="2"/>
  <c r="AN211" i="2"/>
  <c r="AM211" i="2"/>
  <c r="AL211" i="2"/>
  <c r="AK211" i="2"/>
  <c r="L211" i="2"/>
  <c r="K211" i="2"/>
  <c r="J211" i="2"/>
  <c r="I211" i="2"/>
  <c r="AN210" i="2"/>
  <c r="AM210" i="2"/>
  <c r="AL210" i="2"/>
  <c r="AK210" i="2"/>
  <c r="L210" i="2"/>
  <c r="K210" i="2"/>
  <c r="J210" i="2"/>
  <c r="I210" i="2"/>
  <c r="AE177" i="2"/>
  <c r="AD204" i="33" s="1"/>
  <c r="I175" i="2"/>
  <c r="AG177" i="2"/>
  <c r="E177" i="2"/>
  <c r="AL175" i="2"/>
  <c r="AN175" i="2"/>
  <c r="L175" i="2"/>
  <c r="J175" i="2"/>
  <c r="AN173" i="2"/>
  <c r="AM173" i="2"/>
  <c r="AL173" i="2"/>
  <c r="AK173" i="2"/>
  <c r="L173" i="2"/>
  <c r="K173" i="2"/>
  <c r="J173" i="2"/>
  <c r="I173" i="2"/>
  <c r="AN172" i="2"/>
  <c r="AM172" i="2"/>
  <c r="AL172" i="2"/>
  <c r="AK172" i="2"/>
  <c r="L172" i="2"/>
  <c r="K172" i="2"/>
  <c r="J172" i="2"/>
  <c r="I172" i="2"/>
  <c r="AI140" i="2"/>
  <c r="AD103" i="33"/>
  <c r="G140" i="2"/>
  <c r="AN138" i="2"/>
  <c r="AM138" i="2"/>
  <c r="AL138" i="2"/>
  <c r="AK138" i="2"/>
  <c r="L138" i="2"/>
  <c r="K138" i="2"/>
  <c r="J138" i="2"/>
  <c r="I138" i="2"/>
  <c r="AN137" i="2"/>
  <c r="AM137" i="2"/>
  <c r="AL137" i="2"/>
  <c r="AK137" i="2"/>
  <c r="L137" i="2"/>
  <c r="K137" i="2"/>
  <c r="J137" i="2"/>
  <c r="I137" i="2"/>
  <c r="AI105" i="2"/>
  <c r="G105" i="2"/>
  <c r="AN103" i="2"/>
  <c r="AM103" i="2"/>
  <c r="AL103" i="2"/>
  <c r="AK103" i="2"/>
  <c r="L103" i="2"/>
  <c r="K103" i="2"/>
  <c r="J103" i="2"/>
  <c r="I103" i="2"/>
  <c r="AN102" i="2"/>
  <c r="AM102" i="2"/>
  <c r="AL102" i="2"/>
  <c r="AK102" i="2"/>
  <c r="L102" i="2"/>
  <c r="K102" i="2"/>
  <c r="J102" i="2"/>
  <c r="I102" i="2"/>
  <c r="AI70" i="2"/>
  <c r="AG70" i="2"/>
  <c r="AN68" i="2"/>
  <c r="AM68" i="2"/>
  <c r="AL68" i="2"/>
  <c r="AK68" i="2"/>
  <c r="L68" i="2"/>
  <c r="K68" i="2"/>
  <c r="J68" i="2"/>
  <c r="I68" i="2"/>
  <c r="AN67" i="2"/>
  <c r="AM67" i="2"/>
  <c r="AL67" i="2"/>
  <c r="AK67" i="2"/>
  <c r="L67" i="2"/>
  <c r="K67" i="2"/>
  <c r="J67" i="2"/>
  <c r="I67" i="2"/>
  <c r="AN33" i="2"/>
  <c r="AM33" i="2"/>
  <c r="AL33" i="2"/>
  <c r="AK33" i="2"/>
  <c r="AN32" i="2"/>
  <c r="AM32" i="2"/>
  <c r="AL32" i="2"/>
  <c r="AK32" i="2"/>
  <c r="L33" i="2"/>
  <c r="K33" i="2"/>
  <c r="J33" i="2"/>
  <c r="I33" i="2"/>
  <c r="L32" i="2"/>
  <c r="K32" i="2"/>
  <c r="J32" i="2"/>
  <c r="I32" i="2"/>
  <c r="G35" i="2" l="1"/>
  <c r="AI35" i="2"/>
  <c r="AD136" i="33"/>
  <c r="AE35" i="2"/>
  <c r="AN35" i="2" s="1"/>
  <c r="C39" i="41"/>
  <c r="K39" i="41"/>
  <c r="O39" i="41"/>
  <c r="S39" i="41"/>
  <c r="W39" i="41"/>
  <c r="BG215" i="2"/>
  <c r="K249" i="2"/>
  <c r="BO213" i="2"/>
  <c r="BM323" i="2"/>
  <c r="BV67" i="2"/>
  <c r="CB67" i="2" s="1"/>
  <c r="BM175" i="2"/>
  <c r="G39" i="41"/>
  <c r="I39" i="41"/>
  <c r="M39" i="41"/>
  <c r="Q39" i="41"/>
  <c r="U39" i="41"/>
  <c r="Y39" i="41"/>
  <c r="E105" i="2"/>
  <c r="J105" i="2" s="1"/>
  <c r="AG249" i="2"/>
  <c r="AL249" i="2" s="1"/>
  <c r="BI35" i="2"/>
  <c r="BN35" i="2" s="1"/>
  <c r="BT70" i="2"/>
  <c r="BV35" i="2"/>
  <c r="E70" i="2"/>
  <c r="E140" i="2"/>
  <c r="I140" i="2" s="1"/>
  <c r="BP249" i="2"/>
  <c r="BP288" i="2"/>
  <c r="AG140" i="2"/>
  <c r="BV68" i="2"/>
  <c r="CB68" i="2" s="1"/>
  <c r="BI105" i="2"/>
  <c r="BG288" i="2"/>
  <c r="AD70" i="33"/>
  <c r="BO323" i="2"/>
  <c r="AG105" i="2"/>
  <c r="AK105" i="2" s="1"/>
  <c r="E249" i="2"/>
  <c r="AA39" i="41"/>
  <c r="E39" i="41"/>
  <c r="E302" i="43"/>
  <c r="E271" i="43"/>
  <c r="G273" i="43"/>
  <c r="E305" i="43"/>
  <c r="G306" i="43"/>
  <c r="G267" i="43"/>
  <c r="G305" i="43"/>
  <c r="G302" i="43"/>
  <c r="G271" i="43"/>
  <c r="E306" i="43"/>
  <c r="G270" i="43"/>
  <c r="E270" i="43"/>
  <c r="E273" i="43"/>
  <c r="E267" i="43"/>
  <c r="BM213" i="2"/>
  <c r="BI215" i="2"/>
  <c r="BN213" i="2"/>
  <c r="AL70" i="2"/>
  <c r="BM285" i="2"/>
  <c r="BO285" i="2"/>
  <c r="BO326" i="2"/>
  <c r="BP326" i="2"/>
  <c r="BP105" i="2"/>
  <c r="AM249" i="2"/>
  <c r="BO249" i="2"/>
  <c r="BP140" i="2"/>
  <c r="BO105" i="2"/>
  <c r="BP35" i="2"/>
  <c r="BO35" i="2"/>
  <c r="AN249" i="2"/>
  <c r="L249" i="2"/>
  <c r="AK175" i="2"/>
  <c r="K175" i="2"/>
  <c r="C177" i="2"/>
  <c r="AM175" i="2"/>
  <c r="AI177" i="2"/>
  <c r="AN140" i="2"/>
  <c r="L140" i="2"/>
  <c r="K140" i="2"/>
  <c r="AM140" i="2"/>
  <c r="L105" i="2"/>
  <c r="K35" i="2"/>
  <c r="AN105" i="2"/>
  <c r="L70" i="2"/>
  <c r="K105" i="2"/>
  <c r="AM105" i="2"/>
  <c r="AN70" i="2"/>
  <c r="AK70" i="2"/>
  <c r="K70" i="2"/>
  <c r="AM70" i="2"/>
  <c r="L35" i="2"/>
  <c r="BN288" i="2" l="1"/>
  <c r="BH288" i="2"/>
  <c r="AK249" i="2"/>
  <c r="BO140" i="2"/>
  <c r="I105" i="2"/>
  <c r="AG35" i="2"/>
  <c r="AK35" i="2" s="1"/>
  <c r="I70" i="2"/>
  <c r="E35" i="2"/>
  <c r="L267" i="43"/>
  <c r="H267" i="43"/>
  <c r="L270" i="43"/>
  <c r="H270" i="43"/>
  <c r="L271" i="43"/>
  <c r="H271" i="43"/>
  <c r="L305" i="43"/>
  <c r="H305" i="43"/>
  <c r="L306" i="43"/>
  <c r="H306" i="43"/>
  <c r="L302" i="43"/>
  <c r="H302" i="43"/>
  <c r="J306" i="43"/>
  <c r="F306" i="43"/>
  <c r="J302" i="43"/>
  <c r="F302" i="43"/>
  <c r="J305" i="43"/>
  <c r="F305" i="43"/>
  <c r="J267" i="43"/>
  <c r="F267" i="43"/>
  <c r="J271" i="43"/>
  <c r="F271" i="43"/>
  <c r="J270" i="43"/>
  <c r="F270" i="43"/>
  <c r="BM35" i="2"/>
  <c r="J249" i="2"/>
  <c r="AL140" i="2"/>
  <c r="AK140" i="2"/>
  <c r="AL105" i="2"/>
  <c r="I249" i="2"/>
  <c r="AD37" i="33"/>
  <c r="BN105" i="2"/>
  <c r="BM105" i="2"/>
  <c r="J70" i="2"/>
  <c r="AM35" i="2"/>
  <c r="BX35" i="2"/>
  <c r="BV70" i="2" s="1"/>
  <c r="BI140" i="2"/>
  <c r="BN140" i="2" s="1"/>
  <c r="J140" i="2"/>
  <c r="CD35" i="2"/>
  <c r="BZ70" i="2" s="1"/>
  <c r="BI249" i="2"/>
  <c r="BN249" i="2" s="1"/>
  <c r="BM286" i="2"/>
  <c r="BO286" i="2"/>
  <c r="CF35" i="2" l="1"/>
  <c r="AL35" i="2"/>
  <c r="J35" i="2"/>
  <c r="I35" i="2"/>
  <c r="BM140" i="2"/>
  <c r="CB70" i="2"/>
  <c r="BM249" i="2"/>
  <c r="BM288" i="2"/>
  <c r="BO288" i="2"/>
  <c r="AG69" i="40" l="1"/>
  <c r="AE69" i="40"/>
  <c r="O69" i="40"/>
  <c r="AH68" i="40"/>
  <c r="AG68" i="40"/>
  <c r="AG67" i="40"/>
  <c r="AE67" i="40"/>
  <c r="O67" i="40"/>
  <c r="AH66" i="40"/>
  <c r="AG66" i="40"/>
  <c r="AH65" i="40"/>
  <c r="AG65" i="40"/>
  <c r="AG64" i="40"/>
  <c r="AE64" i="40"/>
  <c r="O64" i="40"/>
  <c r="AH63" i="40"/>
  <c r="AG63" i="40"/>
  <c r="AH62" i="40"/>
  <c r="AG62" i="40"/>
  <c r="AG61" i="40"/>
  <c r="AE61" i="40"/>
  <c r="O61" i="40"/>
  <c r="AG60" i="40"/>
  <c r="AE60" i="40"/>
  <c r="O60" i="40"/>
  <c r="AG59" i="40"/>
  <c r="AE59" i="40"/>
  <c r="O59" i="40"/>
  <c r="AG58" i="40"/>
  <c r="AE58" i="40"/>
  <c r="O58" i="40"/>
  <c r="AG57" i="40"/>
  <c r="AE57" i="40"/>
  <c r="O57" i="40"/>
  <c r="AG56" i="40"/>
  <c r="AE56" i="40"/>
  <c r="O56" i="40"/>
  <c r="AH55" i="40"/>
  <c r="AG55" i="40"/>
  <c r="AH54" i="40"/>
  <c r="AG54" i="40"/>
  <c r="AG53" i="40"/>
  <c r="AE53" i="40"/>
  <c r="O53" i="40"/>
  <c r="AG52" i="40"/>
  <c r="AE52" i="40"/>
  <c r="O52" i="40"/>
  <c r="AG51" i="40"/>
  <c r="AE51" i="40"/>
  <c r="O51" i="40"/>
  <c r="AG50" i="40"/>
  <c r="AE50" i="40"/>
  <c r="O50" i="40"/>
  <c r="AG49" i="40"/>
  <c r="AE49" i="40"/>
  <c r="O49" i="40"/>
  <c r="AG48" i="40"/>
  <c r="AE48" i="40"/>
  <c r="O48" i="40"/>
  <c r="AH47" i="40"/>
  <c r="AG47" i="40"/>
  <c r="AH46" i="40"/>
  <c r="AG46" i="40"/>
  <c r="AG45" i="40"/>
  <c r="AE45" i="40"/>
  <c r="O45" i="40"/>
  <c r="AG44" i="40"/>
  <c r="AE44" i="40"/>
  <c r="O44" i="40"/>
  <c r="AG43" i="40"/>
  <c r="AE43" i="40"/>
  <c r="O43" i="40"/>
  <c r="AG42" i="40"/>
  <c r="AE42" i="40"/>
  <c r="O42" i="40"/>
  <c r="AG41" i="40"/>
  <c r="AE41" i="40"/>
  <c r="O41" i="40"/>
  <c r="AG40" i="40"/>
  <c r="AE40" i="40"/>
  <c r="O40" i="40"/>
  <c r="AG39" i="40"/>
  <c r="AE39" i="40"/>
  <c r="O39" i="40"/>
  <c r="AG38" i="40"/>
  <c r="AE38" i="40"/>
  <c r="O38" i="40"/>
  <c r="AG37" i="40"/>
  <c r="AE37" i="40"/>
  <c r="O37" i="40"/>
  <c r="AH36" i="40"/>
  <c r="AG36" i="40"/>
  <c r="AH35" i="40"/>
  <c r="AG35" i="40"/>
  <c r="AG34" i="40"/>
  <c r="AE34" i="40"/>
  <c r="O34" i="40"/>
  <c r="AG33" i="40"/>
  <c r="AE33" i="40"/>
  <c r="O33" i="40"/>
  <c r="AG32" i="40"/>
  <c r="AE32" i="40"/>
  <c r="O32" i="40"/>
  <c r="AG31" i="40"/>
  <c r="AE31" i="40"/>
  <c r="O31" i="40"/>
  <c r="AG30" i="40"/>
  <c r="AE30" i="40"/>
  <c r="O30" i="40"/>
  <c r="AG29" i="40"/>
  <c r="AE29" i="40"/>
  <c r="O29" i="40"/>
  <c r="AH28" i="40"/>
  <c r="AG28" i="40"/>
  <c r="AH27" i="40"/>
  <c r="AG27" i="40"/>
  <c r="AG26" i="40"/>
  <c r="O26" i="40"/>
  <c r="AH25" i="40"/>
  <c r="AG25" i="40"/>
  <c r="AG24" i="40"/>
  <c r="O24" i="40"/>
  <c r="AG23" i="40"/>
  <c r="O23" i="40"/>
  <c r="AG22" i="40"/>
  <c r="O22" i="40"/>
  <c r="AG21" i="40"/>
  <c r="O21" i="40"/>
  <c r="AG20" i="40"/>
  <c r="O20" i="40"/>
  <c r="AG19" i="40"/>
  <c r="O19" i="40"/>
  <c r="AG18" i="40"/>
  <c r="O18" i="40"/>
  <c r="AG17" i="40"/>
  <c r="O17" i="40"/>
  <c r="AG16" i="40"/>
  <c r="O16" i="40"/>
  <c r="AH15" i="40"/>
  <c r="AG15" i="40"/>
  <c r="AG14" i="40"/>
  <c r="O14" i="40"/>
  <c r="AG13" i="40"/>
  <c r="O13" i="40"/>
  <c r="AG12" i="40"/>
  <c r="O12" i="40"/>
  <c r="AG11" i="40"/>
  <c r="O11" i="40"/>
  <c r="AG10" i="40"/>
  <c r="O10" i="40"/>
  <c r="O9" i="40"/>
  <c r="AG8" i="40"/>
  <c r="O8" i="40"/>
  <c r="AG7" i="40"/>
  <c r="O7" i="40"/>
  <c r="AG3" i="40"/>
  <c r="O3" i="40"/>
  <c r="Q2" i="40"/>
  <c r="A2" i="40"/>
  <c r="AA206" i="29"/>
  <c r="Z206" i="29"/>
  <c r="V206" i="29"/>
  <c r="T206" i="29"/>
  <c r="R206" i="29"/>
  <c r="P206" i="29"/>
  <c r="N206" i="29"/>
  <c r="L206" i="29"/>
  <c r="J206" i="29"/>
  <c r="H206" i="29"/>
  <c r="F206" i="29"/>
  <c r="D206" i="29"/>
  <c r="AA205" i="29"/>
  <c r="Z205" i="29"/>
  <c r="V205" i="29"/>
  <c r="T205" i="29"/>
  <c r="R205" i="29"/>
  <c r="P205" i="29"/>
  <c r="N205" i="29"/>
  <c r="L205" i="29"/>
  <c r="J205" i="29"/>
  <c r="H205" i="29"/>
  <c r="F205" i="29"/>
  <c r="D205" i="29"/>
  <c r="AA204" i="29"/>
  <c r="Z204" i="29"/>
  <c r="V204" i="29"/>
  <c r="T204" i="29"/>
  <c r="R204" i="29"/>
  <c r="P204" i="29"/>
  <c r="N204" i="29"/>
  <c r="L204" i="29"/>
  <c r="J204" i="29"/>
  <c r="H204" i="29"/>
  <c r="F204" i="29"/>
  <c r="D204" i="29"/>
  <c r="AA203" i="29"/>
  <c r="Z203" i="29"/>
  <c r="V203" i="29"/>
  <c r="T203" i="29"/>
  <c r="R203" i="29"/>
  <c r="P203" i="29"/>
  <c r="N203" i="29"/>
  <c r="L203" i="29"/>
  <c r="J203" i="29"/>
  <c r="H203" i="29"/>
  <c r="F203" i="29"/>
  <c r="D203" i="29"/>
  <c r="AA201" i="29"/>
  <c r="Z201" i="29"/>
  <c r="V201" i="29"/>
  <c r="T201" i="29"/>
  <c r="R201" i="29"/>
  <c r="P201" i="29"/>
  <c r="N201" i="29"/>
  <c r="L201" i="29"/>
  <c r="J201" i="29"/>
  <c r="H201" i="29"/>
  <c r="F201" i="29"/>
  <c r="D201" i="29"/>
  <c r="AA200" i="29"/>
  <c r="Z200" i="29"/>
  <c r="V200" i="29"/>
  <c r="T200" i="29"/>
  <c r="R200" i="29"/>
  <c r="P200" i="29"/>
  <c r="N200" i="29"/>
  <c r="L200" i="29"/>
  <c r="J200" i="29"/>
  <c r="H200" i="29"/>
  <c r="F200" i="29"/>
  <c r="D200" i="29"/>
  <c r="AA199" i="29"/>
  <c r="AA198" i="29"/>
  <c r="Z198" i="29"/>
  <c r="V198" i="29"/>
  <c r="T198" i="29"/>
  <c r="R198" i="29"/>
  <c r="P198" i="29"/>
  <c r="N198" i="29"/>
  <c r="L198" i="29"/>
  <c r="J198" i="29"/>
  <c r="H198" i="29"/>
  <c r="F198" i="29"/>
  <c r="D198" i="29"/>
  <c r="AA197" i="29"/>
  <c r="Z197" i="29"/>
  <c r="V197" i="29"/>
  <c r="T197" i="29"/>
  <c r="R197" i="29"/>
  <c r="P197" i="29"/>
  <c r="N197" i="29"/>
  <c r="L197" i="29"/>
  <c r="J197" i="29"/>
  <c r="H197" i="29"/>
  <c r="F197" i="29"/>
  <c r="D197" i="29"/>
  <c r="AA196" i="29"/>
  <c r="Z196" i="29"/>
  <c r="V196" i="29"/>
  <c r="T196" i="29"/>
  <c r="R196" i="29"/>
  <c r="P196" i="29"/>
  <c r="N196" i="29"/>
  <c r="L196" i="29"/>
  <c r="J196" i="29"/>
  <c r="H196" i="29"/>
  <c r="F196" i="29"/>
  <c r="D196" i="29"/>
  <c r="AA195" i="29"/>
  <c r="AA193" i="29"/>
  <c r="Z193" i="29"/>
  <c r="V193" i="29"/>
  <c r="T193" i="29"/>
  <c r="R193" i="29"/>
  <c r="P193" i="29"/>
  <c r="N193" i="29"/>
  <c r="L193" i="29"/>
  <c r="J193" i="29"/>
  <c r="H193" i="29"/>
  <c r="F193" i="29"/>
  <c r="D193" i="29"/>
  <c r="AA192" i="29"/>
  <c r="Z192" i="29"/>
  <c r="V192" i="29"/>
  <c r="T192" i="29"/>
  <c r="R192" i="29"/>
  <c r="P192" i="29"/>
  <c r="N192" i="29"/>
  <c r="L192" i="29"/>
  <c r="J192" i="29"/>
  <c r="H192" i="29"/>
  <c r="F192" i="29"/>
  <c r="D192" i="29"/>
  <c r="AA191" i="29"/>
  <c r="Z191" i="29"/>
  <c r="V191" i="29"/>
  <c r="T191" i="29"/>
  <c r="R191" i="29"/>
  <c r="P191" i="29"/>
  <c r="N191" i="29"/>
  <c r="L191" i="29"/>
  <c r="J191" i="29"/>
  <c r="H191" i="29"/>
  <c r="F191" i="29"/>
  <c r="D191" i="29"/>
  <c r="AA190" i="29"/>
  <c r="Z190" i="29"/>
  <c r="V190" i="29"/>
  <c r="T190" i="29"/>
  <c r="R190" i="29"/>
  <c r="P190" i="29"/>
  <c r="N190" i="29"/>
  <c r="L190" i="29"/>
  <c r="J190" i="29"/>
  <c r="H190" i="29"/>
  <c r="F190" i="29"/>
  <c r="D190" i="29"/>
  <c r="AA189" i="29"/>
  <c r="Z189" i="29"/>
  <c r="V189" i="29"/>
  <c r="T189" i="29"/>
  <c r="R189" i="29"/>
  <c r="P189" i="29"/>
  <c r="N189" i="29"/>
  <c r="L189" i="29"/>
  <c r="J189" i="29"/>
  <c r="H189" i="29"/>
  <c r="F189" i="29"/>
  <c r="D189" i="29"/>
  <c r="AA187" i="29"/>
  <c r="Z187" i="29"/>
  <c r="V187" i="29"/>
  <c r="T187" i="29"/>
  <c r="R187" i="29"/>
  <c r="P187" i="29"/>
  <c r="N187" i="29"/>
  <c r="L187" i="29"/>
  <c r="J187" i="29"/>
  <c r="H187" i="29"/>
  <c r="F187" i="29"/>
  <c r="D187" i="29"/>
  <c r="AA185" i="29"/>
  <c r="Z185" i="29"/>
  <c r="V185" i="29"/>
  <c r="T185" i="29"/>
  <c r="R185" i="29"/>
  <c r="P185" i="29"/>
  <c r="N185" i="29"/>
  <c r="L185" i="29"/>
  <c r="J185" i="29"/>
  <c r="H185" i="29"/>
  <c r="F185" i="29"/>
  <c r="D185" i="29"/>
  <c r="AA184" i="29"/>
  <c r="AB204" i="29" s="1"/>
  <c r="Z184" i="29"/>
  <c r="V184" i="29"/>
  <c r="T184" i="29"/>
  <c r="R184" i="29"/>
  <c r="P184" i="29"/>
  <c r="N184" i="29"/>
  <c r="L184" i="29"/>
  <c r="J184" i="29"/>
  <c r="H184" i="29"/>
  <c r="F184" i="29"/>
  <c r="D184" i="29"/>
  <c r="Z176" i="29"/>
  <c r="V176" i="29"/>
  <c r="T176" i="29"/>
  <c r="R176" i="29"/>
  <c r="P176" i="29"/>
  <c r="N176" i="29"/>
  <c r="L176" i="29"/>
  <c r="J176" i="29"/>
  <c r="H176" i="29"/>
  <c r="F176" i="29"/>
  <c r="D176" i="29"/>
  <c r="Z175" i="29"/>
  <c r="V175" i="29"/>
  <c r="T175" i="29"/>
  <c r="R175" i="29"/>
  <c r="P175" i="29"/>
  <c r="N175" i="29"/>
  <c r="L175" i="29"/>
  <c r="J175" i="29"/>
  <c r="H175" i="29"/>
  <c r="F175" i="29"/>
  <c r="D175" i="29"/>
  <c r="Z174" i="29"/>
  <c r="V174" i="29"/>
  <c r="T174" i="29"/>
  <c r="R174" i="29"/>
  <c r="P174" i="29"/>
  <c r="N174" i="29"/>
  <c r="L174" i="29"/>
  <c r="J174" i="29"/>
  <c r="H174" i="29"/>
  <c r="F174" i="29"/>
  <c r="D174" i="29"/>
  <c r="Z173" i="29"/>
  <c r="V173" i="29"/>
  <c r="T173" i="29"/>
  <c r="R173" i="29"/>
  <c r="P173" i="29"/>
  <c r="N173" i="29"/>
  <c r="L173" i="29"/>
  <c r="J173" i="29"/>
  <c r="H173" i="29"/>
  <c r="F173" i="29"/>
  <c r="D173" i="29"/>
  <c r="Z171" i="29"/>
  <c r="V171" i="29"/>
  <c r="T171" i="29"/>
  <c r="R171" i="29"/>
  <c r="P171" i="29"/>
  <c r="N171" i="29"/>
  <c r="L171" i="29"/>
  <c r="J171" i="29"/>
  <c r="H171" i="29"/>
  <c r="F171" i="29"/>
  <c r="D171" i="29"/>
  <c r="Z170" i="29"/>
  <c r="V170" i="29"/>
  <c r="T170" i="29"/>
  <c r="R170" i="29"/>
  <c r="P170" i="29"/>
  <c r="N170" i="29"/>
  <c r="L170" i="29"/>
  <c r="J170" i="29"/>
  <c r="H170" i="29"/>
  <c r="F170" i="29"/>
  <c r="D170" i="29"/>
  <c r="Z169" i="29"/>
  <c r="V169" i="29"/>
  <c r="T169" i="29"/>
  <c r="R169" i="29"/>
  <c r="P169" i="29"/>
  <c r="N169" i="29"/>
  <c r="L169" i="29"/>
  <c r="J169" i="29"/>
  <c r="H169" i="29"/>
  <c r="F169" i="29"/>
  <c r="D169" i="29"/>
  <c r="Z168" i="29"/>
  <c r="V168" i="29"/>
  <c r="T168" i="29"/>
  <c r="R168" i="29"/>
  <c r="P168" i="29"/>
  <c r="N168" i="29"/>
  <c r="L168" i="29"/>
  <c r="J168" i="29"/>
  <c r="H168" i="29"/>
  <c r="F168" i="29"/>
  <c r="D168" i="29"/>
  <c r="Z167" i="29"/>
  <c r="V167" i="29"/>
  <c r="T167" i="29"/>
  <c r="R167" i="29"/>
  <c r="P167" i="29"/>
  <c r="N167" i="29"/>
  <c r="L167" i="29"/>
  <c r="J167" i="29"/>
  <c r="H167" i="29"/>
  <c r="F167" i="29"/>
  <c r="D167" i="29"/>
  <c r="Z166" i="29"/>
  <c r="V166" i="29"/>
  <c r="T166" i="29"/>
  <c r="R166" i="29"/>
  <c r="P166" i="29"/>
  <c r="N166" i="29"/>
  <c r="L166" i="29"/>
  <c r="J166" i="29"/>
  <c r="H166" i="29"/>
  <c r="F166" i="29"/>
  <c r="D166" i="29"/>
  <c r="Z165" i="29"/>
  <c r="V165" i="29"/>
  <c r="T165" i="29"/>
  <c r="R165" i="29"/>
  <c r="P165" i="29"/>
  <c r="N165" i="29"/>
  <c r="L165" i="29"/>
  <c r="J165" i="29"/>
  <c r="H165" i="29"/>
  <c r="F165" i="29"/>
  <c r="D165" i="29"/>
  <c r="Z163" i="29"/>
  <c r="V163" i="29"/>
  <c r="T163" i="29"/>
  <c r="R163" i="29"/>
  <c r="P163" i="29"/>
  <c r="N163" i="29"/>
  <c r="L163" i="29"/>
  <c r="J163" i="29"/>
  <c r="H163" i="29"/>
  <c r="F163" i="29"/>
  <c r="D163" i="29"/>
  <c r="Z162" i="29"/>
  <c r="V162" i="29"/>
  <c r="T162" i="29"/>
  <c r="R162" i="29"/>
  <c r="P162" i="29"/>
  <c r="N162" i="29"/>
  <c r="L162" i="29"/>
  <c r="J162" i="29"/>
  <c r="H162" i="29"/>
  <c r="F162" i="29"/>
  <c r="D162" i="29"/>
  <c r="Z161" i="29"/>
  <c r="V161" i="29"/>
  <c r="T161" i="29"/>
  <c r="R161" i="29"/>
  <c r="P161" i="29"/>
  <c r="N161" i="29"/>
  <c r="L161" i="29"/>
  <c r="J161" i="29"/>
  <c r="H161" i="29"/>
  <c r="F161" i="29"/>
  <c r="D161" i="29"/>
  <c r="Z160" i="29"/>
  <c r="V160" i="29"/>
  <c r="T160" i="29"/>
  <c r="R160" i="29"/>
  <c r="P160" i="29"/>
  <c r="N160" i="29"/>
  <c r="L160" i="29"/>
  <c r="J160" i="29"/>
  <c r="H160" i="29"/>
  <c r="F160" i="29"/>
  <c r="D160" i="29"/>
  <c r="Z159" i="29"/>
  <c r="V159" i="29"/>
  <c r="T159" i="29"/>
  <c r="R159" i="29"/>
  <c r="P159" i="29"/>
  <c r="N159" i="29"/>
  <c r="L159" i="29"/>
  <c r="J159" i="29"/>
  <c r="H159" i="29"/>
  <c r="F159" i="29"/>
  <c r="D159" i="29"/>
  <c r="Z157" i="29"/>
  <c r="V157" i="29"/>
  <c r="T157" i="29"/>
  <c r="R157" i="29"/>
  <c r="P157" i="29"/>
  <c r="N157" i="29"/>
  <c r="L157" i="29"/>
  <c r="J157" i="29"/>
  <c r="H157" i="29"/>
  <c r="F157" i="29"/>
  <c r="D157" i="29"/>
  <c r="Z155" i="29"/>
  <c r="V155" i="29"/>
  <c r="T155" i="29"/>
  <c r="R155" i="29"/>
  <c r="P155" i="29"/>
  <c r="N155" i="29"/>
  <c r="L155" i="29"/>
  <c r="J155" i="29"/>
  <c r="H155" i="29"/>
  <c r="F155" i="29"/>
  <c r="D155" i="29"/>
  <c r="Z154" i="29"/>
  <c r="V154" i="29"/>
  <c r="T154" i="29"/>
  <c r="R154" i="29"/>
  <c r="P154" i="29"/>
  <c r="N154" i="29"/>
  <c r="L154" i="29"/>
  <c r="J154" i="29"/>
  <c r="H154" i="29"/>
  <c r="F154" i="29"/>
  <c r="D154" i="29"/>
  <c r="AA147" i="29"/>
  <c r="Z147" i="29"/>
  <c r="V147" i="29"/>
  <c r="T147" i="29"/>
  <c r="R147" i="29"/>
  <c r="P147" i="29"/>
  <c r="N147" i="29"/>
  <c r="L147" i="29"/>
  <c r="J147" i="29"/>
  <c r="F147" i="29"/>
  <c r="D147" i="29"/>
  <c r="AA146" i="29"/>
  <c r="Z146" i="29"/>
  <c r="V146" i="29"/>
  <c r="T146" i="29"/>
  <c r="R146" i="29"/>
  <c r="P146" i="29"/>
  <c r="N146" i="29"/>
  <c r="L146" i="29"/>
  <c r="J146" i="29"/>
  <c r="F146" i="29"/>
  <c r="D146" i="29"/>
  <c r="AA145" i="29"/>
  <c r="Z145" i="29"/>
  <c r="V145" i="29"/>
  <c r="T145" i="29"/>
  <c r="R145" i="29"/>
  <c r="P145" i="29"/>
  <c r="N145" i="29"/>
  <c r="L145" i="29"/>
  <c r="J145" i="29"/>
  <c r="F145" i="29"/>
  <c r="D145" i="29"/>
  <c r="AA144" i="29"/>
  <c r="Z144" i="29"/>
  <c r="V144" i="29"/>
  <c r="T144" i="29"/>
  <c r="R144" i="29"/>
  <c r="P144" i="29"/>
  <c r="N144" i="29"/>
  <c r="L144" i="29"/>
  <c r="J144" i="29"/>
  <c r="F144" i="29"/>
  <c r="D144" i="29"/>
  <c r="AA142" i="29"/>
  <c r="Z142" i="29"/>
  <c r="V142" i="29"/>
  <c r="T142" i="29"/>
  <c r="R142" i="29"/>
  <c r="P142" i="29"/>
  <c r="N142" i="29"/>
  <c r="L142" i="29"/>
  <c r="J142" i="29"/>
  <c r="F142" i="29"/>
  <c r="D142" i="29"/>
  <c r="AA141" i="29"/>
  <c r="Z141" i="29"/>
  <c r="V141" i="29"/>
  <c r="T141" i="29"/>
  <c r="R141" i="29"/>
  <c r="P141" i="29"/>
  <c r="N141" i="29"/>
  <c r="L141" i="29"/>
  <c r="J141" i="29"/>
  <c r="F141" i="29"/>
  <c r="D141" i="29"/>
  <c r="AA140" i="29"/>
  <c r="Z140" i="29"/>
  <c r="V140" i="29"/>
  <c r="T140" i="29"/>
  <c r="R140" i="29"/>
  <c r="P140" i="29"/>
  <c r="N140" i="29"/>
  <c r="L140" i="29"/>
  <c r="J140" i="29"/>
  <c r="F140" i="29"/>
  <c r="D140" i="29"/>
  <c r="AA139" i="29"/>
  <c r="Z139" i="29"/>
  <c r="V139" i="29"/>
  <c r="T139" i="29"/>
  <c r="R139" i="29"/>
  <c r="P139" i="29"/>
  <c r="N139" i="29"/>
  <c r="L139" i="29"/>
  <c r="J139" i="29"/>
  <c r="F139" i="29"/>
  <c r="D139" i="29"/>
  <c r="AA138" i="29"/>
  <c r="Z138" i="29"/>
  <c r="V138" i="29"/>
  <c r="T138" i="29"/>
  <c r="R138" i="29"/>
  <c r="P138" i="29"/>
  <c r="N138" i="29"/>
  <c r="L138" i="29"/>
  <c r="J138" i="29"/>
  <c r="F138" i="29"/>
  <c r="D138" i="29"/>
  <c r="AA137" i="29"/>
  <c r="Z137" i="29"/>
  <c r="V137" i="29"/>
  <c r="T137" i="29"/>
  <c r="R137" i="29"/>
  <c r="P137" i="29"/>
  <c r="N137" i="29"/>
  <c r="L137" i="29"/>
  <c r="J137" i="29"/>
  <c r="F137" i="29"/>
  <c r="D137" i="29"/>
  <c r="AA136" i="29"/>
  <c r="Z136" i="29"/>
  <c r="V136" i="29"/>
  <c r="T136" i="29"/>
  <c r="R136" i="29"/>
  <c r="P136" i="29"/>
  <c r="N136" i="29"/>
  <c r="L136" i="29"/>
  <c r="J136" i="29"/>
  <c r="F136" i="29"/>
  <c r="D136" i="29"/>
  <c r="AA134" i="29"/>
  <c r="Z134" i="29"/>
  <c r="V134" i="29"/>
  <c r="T134" i="29"/>
  <c r="R134" i="29"/>
  <c r="P134" i="29"/>
  <c r="N134" i="29"/>
  <c r="L134" i="29"/>
  <c r="J134" i="29"/>
  <c r="F134" i="29"/>
  <c r="D134" i="29"/>
  <c r="AA133" i="29"/>
  <c r="Z133" i="29"/>
  <c r="V133" i="29"/>
  <c r="T133" i="29"/>
  <c r="R133" i="29"/>
  <c r="P133" i="29"/>
  <c r="N133" i="29"/>
  <c r="L133" i="29"/>
  <c r="J133" i="29"/>
  <c r="F133" i="29"/>
  <c r="D133" i="29"/>
  <c r="AA132" i="29"/>
  <c r="Z132" i="29"/>
  <c r="V132" i="29"/>
  <c r="T132" i="29"/>
  <c r="R132" i="29"/>
  <c r="P132" i="29"/>
  <c r="N132" i="29"/>
  <c r="L132" i="29"/>
  <c r="J132" i="29"/>
  <c r="F132" i="29"/>
  <c r="D132" i="29"/>
  <c r="AA131" i="29"/>
  <c r="Z131" i="29"/>
  <c r="V131" i="29"/>
  <c r="T131" i="29"/>
  <c r="R131" i="29"/>
  <c r="P131" i="29"/>
  <c r="N131" i="29"/>
  <c r="L131" i="29"/>
  <c r="J131" i="29"/>
  <c r="F131" i="29"/>
  <c r="D131" i="29"/>
  <c r="AA130" i="29"/>
  <c r="Z130" i="29"/>
  <c r="V130" i="29"/>
  <c r="T130" i="29"/>
  <c r="R130" i="29"/>
  <c r="P130" i="29"/>
  <c r="N130" i="29"/>
  <c r="L130" i="29"/>
  <c r="J130" i="29"/>
  <c r="F130" i="29"/>
  <c r="D130" i="29"/>
  <c r="AA128" i="29"/>
  <c r="Z128" i="29"/>
  <c r="V128" i="29"/>
  <c r="T128" i="29"/>
  <c r="R128" i="29"/>
  <c r="P128" i="29"/>
  <c r="N128" i="29"/>
  <c r="L128" i="29"/>
  <c r="J128" i="29"/>
  <c r="F128" i="29"/>
  <c r="D128" i="29"/>
  <c r="AA126" i="29"/>
  <c r="Z126" i="29"/>
  <c r="V126" i="29"/>
  <c r="T126" i="29"/>
  <c r="R126" i="29"/>
  <c r="P126" i="29"/>
  <c r="N126" i="29"/>
  <c r="L126" i="29"/>
  <c r="J126" i="29"/>
  <c r="F126" i="29"/>
  <c r="D126" i="29"/>
  <c r="AA125" i="29"/>
  <c r="Z125" i="29"/>
  <c r="V125" i="29"/>
  <c r="T125" i="29"/>
  <c r="R125" i="29"/>
  <c r="P125" i="29"/>
  <c r="N125" i="29"/>
  <c r="L125" i="29"/>
  <c r="J125" i="29"/>
  <c r="F125" i="29"/>
  <c r="D125" i="29"/>
  <c r="AA118" i="29"/>
  <c r="Z118" i="29"/>
  <c r="V118" i="29"/>
  <c r="T118" i="29"/>
  <c r="R118" i="29"/>
  <c r="P118" i="29"/>
  <c r="N118" i="29"/>
  <c r="L118" i="29"/>
  <c r="J118" i="29"/>
  <c r="H118" i="29"/>
  <c r="F118" i="29"/>
  <c r="D118" i="29"/>
  <c r="AA117" i="29"/>
  <c r="Z117" i="29"/>
  <c r="V117" i="29"/>
  <c r="T117" i="29"/>
  <c r="R117" i="29"/>
  <c r="P117" i="29"/>
  <c r="N117" i="29"/>
  <c r="L117" i="29"/>
  <c r="J117" i="29"/>
  <c r="H117" i="29"/>
  <c r="F117" i="29"/>
  <c r="D117" i="29"/>
  <c r="AA116" i="29"/>
  <c r="Z116" i="29"/>
  <c r="V116" i="29"/>
  <c r="T116" i="29"/>
  <c r="R116" i="29"/>
  <c r="P116" i="29"/>
  <c r="N116" i="29"/>
  <c r="L116" i="29"/>
  <c r="J116" i="29"/>
  <c r="H116" i="29"/>
  <c r="F116" i="29"/>
  <c r="D116" i="29"/>
  <c r="AA115" i="29"/>
  <c r="Z115" i="29"/>
  <c r="V115" i="29"/>
  <c r="T115" i="29"/>
  <c r="R115" i="29"/>
  <c r="P115" i="29"/>
  <c r="N115" i="29"/>
  <c r="L115" i="29"/>
  <c r="J115" i="29"/>
  <c r="H115" i="29"/>
  <c r="F115" i="29"/>
  <c r="D115" i="29"/>
  <c r="AA113" i="29"/>
  <c r="Z113" i="29"/>
  <c r="V113" i="29"/>
  <c r="T113" i="29"/>
  <c r="R113" i="29"/>
  <c r="P113" i="29"/>
  <c r="N113" i="29"/>
  <c r="L113" i="29"/>
  <c r="J113" i="29"/>
  <c r="H113" i="29"/>
  <c r="F113" i="29"/>
  <c r="D113" i="29"/>
  <c r="AA112" i="29"/>
  <c r="Z112" i="29"/>
  <c r="V112" i="29"/>
  <c r="T112" i="29"/>
  <c r="R112" i="29"/>
  <c r="P112" i="29"/>
  <c r="N112" i="29"/>
  <c r="L112" i="29"/>
  <c r="J112" i="29"/>
  <c r="H112" i="29"/>
  <c r="F112" i="29"/>
  <c r="D112" i="29"/>
  <c r="AA111" i="29"/>
  <c r="Z111" i="29"/>
  <c r="V111" i="29"/>
  <c r="T111" i="29"/>
  <c r="R111" i="29"/>
  <c r="P111" i="29"/>
  <c r="N111" i="29"/>
  <c r="L111" i="29"/>
  <c r="J111" i="29"/>
  <c r="H111" i="29"/>
  <c r="F111" i="29"/>
  <c r="D111" i="29"/>
  <c r="AA110" i="29"/>
  <c r="Z110" i="29"/>
  <c r="V110" i="29"/>
  <c r="T110" i="29"/>
  <c r="R110" i="29"/>
  <c r="P110" i="29"/>
  <c r="N110" i="29"/>
  <c r="L110" i="29"/>
  <c r="J110" i="29"/>
  <c r="H110" i="29"/>
  <c r="F110" i="29"/>
  <c r="D110" i="29"/>
  <c r="AA109" i="29"/>
  <c r="Z109" i="29"/>
  <c r="V109" i="29"/>
  <c r="T109" i="29"/>
  <c r="R109" i="29"/>
  <c r="P109" i="29"/>
  <c r="N109" i="29"/>
  <c r="L109" i="29"/>
  <c r="J109" i="29"/>
  <c r="H109" i="29"/>
  <c r="F109" i="29"/>
  <c r="D109" i="29"/>
  <c r="AA108" i="29"/>
  <c r="Z108" i="29"/>
  <c r="V108" i="29"/>
  <c r="T108" i="29"/>
  <c r="R108" i="29"/>
  <c r="P108" i="29"/>
  <c r="N108" i="29"/>
  <c r="L108" i="29"/>
  <c r="J108" i="29"/>
  <c r="H108" i="29"/>
  <c r="F108" i="29"/>
  <c r="D108" i="29"/>
  <c r="AA107" i="29"/>
  <c r="Z107" i="29"/>
  <c r="V107" i="29"/>
  <c r="T107" i="29"/>
  <c r="R107" i="29"/>
  <c r="P107" i="29"/>
  <c r="N107" i="29"/>
  <c r="L107" i="29"/>
  <c r="J107" i="29"/>
  <c r="H107" i="29"/>
  <c r="F107" i="29"/>
  <c r="D107" i="29"/>
  <c r="AA105" i="29"/>
  <c r="Z105" i="29"/>
  <c r="V105" i="29"/>
  <c r="T105" i="29"/>
  <c r="R105" i="29"/>
  <c r="P105" i="29"/>
  <c r="N105" i="29"/>
  <c r="L105" i="29"/>
  <c r="J105" i="29"/>
  <c r="H105" i="29"/>
  <c r="F105" i="29"/>
  <c r="D105" i="29"/>
  <c r="AA104" i="29"/>
  <c r="Z104" i="29"/>
  <c r="V104" i="29"/>
  <c r="T104" i="29"/>
  <c r="R104" i="29"/>
  <c r="P104" i="29"/>
  <c r="N104" i="29"/>
  <c r="L104" i="29"/>
  <c r="J104" i="29"/>
  <c r="H104" i="29"/>
  <c r="F104" i="29"/>
  <c r="D104" i="29"/>
  <c r="AA103" i="29"/>
  <c r="Z103" i="29"/>
  <c r="V103" i="29"/>
  <c r="T103" i="29"/>
  <c r="R103" i="29"/>
  <c r="P103" i="29"/>
  <c r="N103" i="29"/>
  <c r="L103" i="29"/>
  <c r="J103" i="29"/>
  <c r="H103" i="29"/>
  <c r="F103" i="29"/>
  <c r="D103" i="29"/>
  <c r="AA102" i="29"/>
  <c r="Z102" i="29"/>
  <c r="V102" i="29"/>
  <c r="T102" i="29"/>
  <c r="R102" i="29"/>
  <c r="P102" i="29"/>
  <c r="N102" i="29"/>
  <c r="L102" i="29"/>
  <c r="J102" i="29"/>
  <c r="H102" i="29"/>
  <c r="F102" i="29"/>
  <c r="D102" i="29"/>
  <c r="AA101" i="29"/>
  <c r="Z101" i="29"/>
  <c r="V101" i="29"/>
  <c r="T101" i="29"/>
  <c r="R101" i="29"/>
  <c r="P101" i="29"/>
  <c r="N101" i="29"/>
  <c r="L101" i="29"/>
  <c r="J101" i="29"/>
  <c r="H101" i="29"/>
  <c r="F101" i="29"/>
  <c r="D101" i="29"/>
  <c r="AA99" i="29"/>
  <c r="Z99" i="29"/>
  <c r="V99" i="29"/>
  <c r="T99" i="29"/>
  <c r="R99" i="29"/>
  <c r="P99" i="29"/>
  <c r="N99" i="29"/>
  <c r="L99" i="29"/>
  <c r="J99" i="29"/>
  <c r="H99" i="29"/>
  <c r="F99" i="29"/>
  <c r="D99" i="29"/>
  <c r="AA97" i="29"/>
  <c r="Z97" i="29"/>
  <c r="V97" i="29"/>
  <c r="T97" i="29"/>
  <c r="R97" i="29"/>
  <c r="P97" i="29"/>
  <c r="N97" i="29"/>
  <c r="L97" i="29"/>
  <c r="J97" i="29"/>
  <c r="H97" i="29"/>
  <c r="F97" i="29"/>
  <c r="D97" i="29"/>
  <c r="AA96" i="29"/>
  <c r="AB115" i="29" s="1"/>
  <c r="Z96" i="29"/>
  <c r="V96" i="29"/>
  <c r="T96" i="29"/>
  <c r="R96" i="29"/>
  <c r="P96" i="29"/>
  <c r="N96" i="29"/>
  <c r="L96" i="29"/>
  <c r="J96" i="29"/>
  <c r="H96" i="29"/>
  <c r="F96" i="29"/>
  <c r="D96" i="29"/>
  <c r="Y95" i="29"/>
  <c r="W95" i="29"/>
  <c r="U95" i="29"/>
  <c r="S95" i="29"/>
  <c r="Q95" i="29"/>
  <c r="O95" i="29"/>
  <c r="M95" i="29"/>
  <c r="K95" i="29"/>
  <c r="I95" i="29"/>
  <c r="G95" i="29"/>
  <c r="E95" i="29"/>
  <c r="C95" i="29"/>
  <c r="AA89" i="29"/>
  <c r="Z89" i="29"/>
  <c r="V89" i="29"/>
  <c r="T89" i="29"/>
  <c r="R89" i="29"/>
  <c r="P89" i="29"/>
  <c r="N89" i="29"/>
  <c r="L89" i="29"/>
  <c r="J89" i="29"/>
  <c r="H89" i="29"/>
  <c r="F89" i="29"/>
  <c r="D89" i="29"/>
  <c r="AA88" i="29"/>
  <c r="Z88" i="29"/>
  <c r="V88" i="29"/>
  <c r="T88" i="29"/>
  <c r="R88" i="29"/>
  <c r="P88" i="29"/>
  <c r="N88" i="29"/>
  <c r="L88" i="29"/>
  <c r="J88" i="29"/>
  <c r="H88" i="29"/>
  <c r="F88" i="29"/>
  <c r="D88" i="29"/>
  <c r="AA87" i="29"/>
  <c r="Z87" i="29"/>
  <c r="V87" i="29"/>
  <c r="T87" i="29"/>
  <c r="R87" i="29"/>
  <c r="P87" i="29"/>
  <c r="N87" i="29"/>
  <c r="L87" i="29"/>
  <c r="J87" i="29"/>
  <c r="H87" i="29"/>
  <c r="F87" i="29"/>
  <c r="D87" i="29"/>
  <c r="AA86" i="29"/>
  <c r="Z86" i="29"/>
  <c r="V86" i="29"/>
  <c r="T86" i="29"/>
  <c r="R86" i="29"/>
  <c r="P86" i="29"/>
  <c r="N86" i="29"/>
  <c r="L86" i="29"/>
  <c r="J86" i="29"/>
  <c r="H86" i="29"/>
  <c r="F86" i="29"/>
  <c r="D86" i="29"/>
  <c r="AA84" i="29"/>
  <c r="Z84" i="29"/>
  <c r="V84" i="29"/>
  <c r="T84" i="29"/>
  <c r="R84" i="29"/>
  <c r="P84" i="29"/>
  <c r="N84" i="29"/>
  <c r="L84" i="29"/>
  <c r="J84" i="29"/>
  <c r="H84" i="29"/>
  <c r="F84" i="29"/>
  <c r="D84" i="29"/>
  <c r="AA83" i="29"/>
  <c r="Z83" i="29"/>
  <c r="V83" i="29"/>
  <c r="T83" i="29"/>
  <c r="R83" i="29"/>
  <c r="P83" i="29"/>
  <c r="N83" i="29"/>
  <c r="L83" i="29"/>
  <c r="J83" i="29"/>
  <c r="H83" i="29"/>
  <c r="F83" i="29"/>
  <c r="D83" i="29"/>
  <c r="AA82" i="29"/>
  <c r="Z82" i="29"/>
  <c r="V82" i="29"/>
  <c r="T82" i="29"/>
  <c r="R82" i="29"/>
  <c r="P82" i="29"/>
  <c r="N82" i="29"/>
  <c r="L82" i="29"/>
  <c r="J82" i="29"/>
  <c r="H82" i="29"/>
  <c r="F82" i="29"/>
  <c r="D82" i="29"/>
  <c r="AA81" i="29"/>
  <c r="Z81" i="29"/>
  <c r="V81" i="29"/>
  <c r="T81" i="29"/>
  <c r="R81" i="29"/>
  <c r="P81" i="29"/>
  <c r="N81" i="29"/>
  <c r="L81" i="29"/>
  <c r="J81" i="29"/>
  <c r="H81" i="29"/>
  <c r="F81" i="29"/>
  <c r="D81" i="29"/>
  <c r="AA80" i="29"/>
  <c r="Z80" i="29"/>
  <c r="V80" i="29"/>
  <c r="T80" i="29"/>
  <c r="R80" i="29"/>
  <c r="P80" i="29"/>
  <c r="N80" i="29"/>
  <c r="L80" i="29"/>
  <c r="J80" i="29"/>
  <c r="H80" i="29"/>
  <c r="F80" i="29"/>
  <c r="D80" i="29"/>
  <c r="AA79" i="29"/>
  <c r="Z79" i="29"/>
  <c r="V79" i="29"/>
  <c r="T79" i="29"/>
  <c r="R79" i="29"/>
  <c r="P79" i="29"/>
  <c r="N79" i="29"/>
  <c r="L79" i="29"/>
  <c r="J79" i="29"/>
  <c r="H79" i="29"/>
  <c r="F79" i="29"/>
  <c r="D79" i="29"/>
  <c r="AA78" i="29"/>
  <c r="Z78" i="29"/>
  <c r="V78" i="29"/>
  <c r="T78" i="29"/>
  <c r="R78" i="29"/>
  <c r="P78" i="29"/>
  <c r="N78" i="29"/>
  <c r="L78" i="29"/>
  <c r="J78" i="29"/>
  <c r="H78" i="29"/>
  <c r="F78" i="29"/>
  <c r="D78" i="29"/>
  <c r="AA76" i="29"/>
  <c r="Z76" i="29"/>
  <c r="V76" i="29"/>
  <c r="T76" i="29"/>
  <c r="R76" i="29"/>
  <c r="P76" i="29"/>
  <c r="N76" i="29"/>
  <c r="L76" i="29"/>
  <c r="J76" i="29"/>
  <c r="H76" i="29"/>
  <c r="F76" i="29"/>
  <c r="D76" i="29"/>
  <c r="AA75" i="29"/>
  <c r="Z75" i="29"/>
  <c r="V75" i="29"/>
  <c r="T75" i="29"/>
  <c r="R75" i="29"/>
  <c r="P75" i="29"/>
  <c r="N75" i="29"/>
  <c r="L75" i="29"/>
  <c r="J75" i="29"/>
  <c r="H75" i="29"/>
  <c r="F75" i="29"/>
  <c r="D75" i="29"/>
  <c r="AA74" i="29"/>
  <c r="Z74" i="29"/>
  <c r="V74" i="29"/>
  <c r="T74" i="29"/>
  <c r="R74" i="29"/>
  <c r="P74" i="29"/>
  <c r="N74" i="29"/>
  <c r="L74" i="29"/>
  <c r="J74" i="29"/>
  <c r="H74" i="29"/>
  <c r="F74" i="29"/>
  <c r="D74" i="29"/>
  <c r="AA73" i="29"/>
  <c r="Z73" i="29"/>
  <c r="V73" i="29"/>
  <c r="T73" i="29"/>
  <c r="R73" i="29"/>
  <c r="P73" i="29"/>
  <c r="N73" i="29"/>
  <c r="L73" i="29"/>
  <c r="J73" i="29"/>
  <c r="H73" i="29"/>
  <c r="F73" i="29"/>
  <c r="D73" i="29"/>
  <c r="AA72" i="29"/>
  <c r="Z72" i="29"/>
  <c r="V72" i="29"/>
  <c r="T72" i="29"/>
  <c r="R72" i="29"/>
  <c r="P72" i="29"/>
  <c r="N72" i="29"/>
  <c r="L72" i="29"/>
  <c r="J72" i="29"/>
  <c r="H72" i="29"/>
  <c r="F72" i="29"/>
  <c r="D72" i="29"/>
  <c r="AA70" i="29"/>
  <c r="Z70" i="29"/>
  <c r="V70" i="29"/>
  <c r="T70" i="29"/>
  <c r="R70" i="29"/>
  <c r="P70" i="29"/>
  <c r="N70" i="29"/>
  <c r="L70" i="29"/>
  <c r="J70" i="29"/>
  <c r="H70" i="29"/>
  <c r="F70" i="29"/>
  <c r="D70" i="29"/>
  <c r="AA68" i="29"/>
  <c r="Z68" i="29"/>
  <c r="V68" i="29"/>
  <c r="T68" i="29"/>
  <c r="R68" i="29"/>
  <c r="P68" i="29"/>
  <c r="N68" i="29"/>
  <c r="L68" i="29"/>
  <c r="J68" i="29"/>
  <c r="H68" i="29"/>
  <c r="F68" i="29"/>
  <c r="D68" i="29"/>
  <c r="AA67" i="29"/>
  <c r="AB89" i="29" s="1"/>
  <c r="Z67" i="29"/>
  <c r="V67" i="29"/>
  <c r="T67" i="29"/>
  <c r="R67" i="29"/>
  <c r="P67" i="29"/>
  <c r="N67" i="29"/>
  <c r="L67" i="29"/>
  <c r="J67" i="29"/>
  <c r="H67" i="29"/>
  <c r="F67" i="29"/>
  <c r="D67" i="29"/>
  <c r="Y66" i="29"/>
  <c r="W66" i="29"/>
  <c r="U66" i="29"/>
  <c r="S66" i="29"/>
  <c r="Q66" i="29"/>
  <c r="O66" i="29"/>
  <c r="M66" i="29"/>
  <c r="K66" i="29"/>
  <c r="I66" i="29"/>
  <c r="G66" i="29"/>
  <c r="E66" i="29"/>
  <c r="C66" i="29"/>
  <c r="AA60" i="29"/>
  <c r="Z60" i="29"/>
  <c r="V60" i="29"/>
  <c r="T60" i="29"/>
  <c r="R60" i="29"/>
  <c r="P60" i="29"/>
  <c r="N60" i="29"/>
  <c r="L60" i="29"/>
  <c r="J60" i="29"/>
  <c r="H60" i="29"/>
  <c r="F60" i="29"/>
  <c r="D60" i="29"/>
  <c r="AA59" i="29"/>
  <c r="Z59" i="29"/>
  <c r="V59" i="29"/>
  <c r="T59" i="29"/>
  <c r="R59" i="29"/>
  <c r="P59" i="29"/>
  <c r="N59" i="29"/>
  <c r="L59" i="29"/>
  <c r="J59" i="29"/>
  <c r="H59" i="29"/>
  <c r="F59" i="29"/>
  <c r="D59" i="29"/>
  <c r="AA58" i="29"/>
  <c r="Z58" i="29"/>
  <c r="V58" i="29"/>
  <c r="T58" i="29"/>
  <c r="R58" i="29"/>
  <c r="P58" i="29"/>
  <c r="N58" i="29"/>
  <c r="L58" i="29"/>
  <c r="J58" i="29"/>
  <c r="H58" i="29"/>
  <c r="F58" i="29"/>
  <c r="D58" i="29"/>
  <c r="AA57" i="29"/>
  <c r="AA173" i="29" s="1"/>
  <c r="Z57" i="29"/>
  <c r="V57" i="29"/>
  <c r="T57" i="29"/>
  <c r="R57" i="29"/>
  <c r="P57" i="29"/>
  <c r="N57" i="29"/>
  <c r="L57" i="29"/>
  <c r="J57" i="29"/>
  <c r="H57" i="29"/>
  <c r="F57" i="29"/>
  <c r="D57" i="29"/>
  <c r="AA55" i="29"/>
  <c r="Z55" i="29"/>
  <c r="V55" i="29"/>
  <c r="T55" i="29"/>
  <c r="R55" i="29"/>
  <c r="P55" i="29"/>
  <c r="N55" i="29"/>
  <c r="L55" i="29"/>
  <c r="J55" i="29"/>
  <c r="H55" i="29"/>
  <c r="F55" i="29"/>
  <c r="D55" i="29"/>
  <c r="AA54" i="29"/>
  <c r="Z54" i="29"/>
  <c r="V54" i="29"/>
  <c r="T54" i="29"/>
  <c r="R54" i="29"/>
  <c r="P54" i="29"/>
  <c r="N54" i="29"/>
  <c r="L54" i="29"/>
  <c r="J54" i="29"/>
  <c r="H54" i="29"/>
  <c r="F54" i="29"/>
  <c r="D54" i="29"/>
  <c r="AA53" i="29"/>
  <c r="Z53" i="29"/>
  <c r="V53" i="29"/>
  <c r="T53" i="29"/>
  <c r="R53" i="29"/>
  <c r="P53" i="29"/>
  <c r="N53" i="29"/>
  <c r="L53" i="29"/>
  <c r="J53" i="29"/>
  <c r="H53" i="29"/>
  <c r="F53" i="29"/>
  <c r="D53" i="29"/>
  <c r="AA52" i="29"/>
  <c r="Z52" i="29"/>
  <c r="V52" i="29"/>
  <c r="T52" i="29"/>
  <c r="R52" i="29"/>
  <c r="P52" i="29"/>
  <c r="N52" i="29"/>
  <c r="L52" i="29"/>
  <c r="J52" i="29"/>
  <c r="H52" i="29"/>
  <c r="F52" i="29"/>
  <c r="D52" i="29"/>
  <c r="AA51" i="29"/>
  <c r="Z51" i="29"/>
  <c r="V51" i="29"/>
  <c r="T51" i="29"/>
  <c r="R51" i="29"/>
  <c r="P51" i="29"/>
  <c r="N51" i="29"/>
  <c r="L51" i="29"/>
  <c r="J51" i="29"/>
  <c r="H51" i="29"/>
  <c r="F51" i="29"/>
  <c r="D51" i="29"/>
  <c r="AA50" i="29"/>
  <c r="Z50" i="29"/>
  <c r="V50" i="29"/>
  <c r="T50" i="29"/>
  <c r="R50" i="29"/>
  <c r="P50" i="29"/>
  <c r="N50" i="29"/>
  <c r="L50" i="29"/>
  <c r="J50" i="29"/>
  <c r="H50" i="29"/>
  <c r="F50" i="29"/>
  <c r="D50" i="29"/>
  <c r="AA49" i="29"/>
  <c r="Z49" i="29"/>
  <c r="V49" i="29"/>
  <c r="T49" i="29"/>
  <c r="R49" i="29"/>
  <c r="P49" i="29"/>
  <c r="N49" i="29"/>
  <c r="L49" i="29"/>
  <c r="J49" i="29"/>
  <c r="H49" i="29"/>
  <c r="F49" i="29"/>
  <c r="D49" i="29"/>
  <c r="AA47" i="29"/>
  <c r="Z47" i="29"/>
  <c r="V47" i="29"/>
  <c r="T47" i="29"/>
  <c r="R47" i="29"/>
  <c r="P47" i="29"/>
  <c r="N47" i="29"/>
  <c r="L47" i="29"/>
  <c r="J47" i="29"/>
  <c r="H47" i="29"/>
  <c r="F47" i="29"/>
  <c r="D47" i="29"/>
  <c r="AA46" i="29"/>
  <c r="Z46" i="29"/>
  <c r="V46" i="29"/>
  <c r="T46" i="29"/>
  <c r="R46" i="29"/>
  <c r="P46" i="29"/>
  <c r="N46" i="29"/>
  <c r="L46" i="29"/>
  <c r="J46" i="29"/>
  <c r="H46" i="29"/>
  <c r="F46" i="29"/>
  <c r="D46" i="29"/>
  <c r="AA45" i="29"/>
  <c r="Z45" i="29"/>
  <c r="V45" i="29"/>
  <c r="T45" i="29"/>
  <c r="R45" i="29"/>
  <c r="P45" i="29"/>
  <c r="N45" i="29"/>
  <c r="L45" i="29"/>
  <c r="J45" i="29"/>
  <c r="H45" i="29"/>
  <c r="F45" i="29"/>
  <c r="D45" i="29"/>
  <c r="AA44" i="29"/>
  <c r="Z44" i="29"/>
  <c r="V44" i="29"/>
  <c r="T44" i="29"/>
  <c r="R44" i="29"/>
  <c r="P44" i="29"/>
  <c r="N44" i="29"/>
  <c r="L44" i="29"/>
  <c r="J44" i="29"/>
  <c r="H44" i="29"/>
  <c r="F44" i="29"/>
  <c r="D44" i="29"/>
  <c r="AA43" i="29"/>
  <c r="Z43" i="29"/>
  <c r="V43" i="29"/>
  <c r="T43" i="29"/>
  <c r="R43" i="29"/>
  <c r="P43" i="29"/>
  <c r="N43" i="29"/>
  <c r="L43" i="29"/>
  <c r="J43" i="29"/>
  <c r="H43" i="29"/>
  <c r="F43" i="29"/>
  <c r="D43" i="29"/>
  <c r="AA41" i="29"/>
  <c r="Z41" i="29"/>
  <c r="V41" i="29"/>
  <c r="T41" i="29"/>
  <c r="R41" i="29"/>
  <c r="P41" i="29"/>
  <c r="N41" i="29"/>
  <c r="L41" i="29"/>
  <c r="J41" i="29"/>
  <c r="H41" i="29"/>
  <c r="F41" i="29"/>
  <c r="D41" i="29"/>
  <c r="AA39" i="29"/>
  <c r="Z39" i="29"/>
  <c r="V39" i="29"/>
  <c r="T39" i="29"/>
  <c r="R39" i="29"/>
  <c r="P39" i="29"/>
  <c r="N39" i="29"/>
  <c r="L39" i="29"/>
  <c r="J39" i="29"/>
  <c r="H39" i="29"/>
  <c r="F39" i="29"/>
  <c r="D39" i="29"/>
  <c r="AA38" i="29"/>
  <c r="Z38" i="29"/>
  <c r="V38" i="29"/>
  <c r="T38" i="29"/>
  <c r="R38" i="29"/>
  <c r="P38" i="29"/>
  <c r="N38" i="29"/>
  <c r="L38" i="29"/>
  <c r="J38" i="29"/>
  <c r="H38" i="29"/>
  <c r="F38" i="29"/>
  <c r="D38" i="29"/>
  <c r="C92" i="39"/>
  <c r="B92" i="39"/>
  <c r="M91" i="39"/>
  <c r="L91" i="39"/>
  <c r="K91" i="39"/>
  <c r="J91" i="39"/>
  <c r="I91" i="39"/>
  <c r="H91" i="39"/>
  <c r="G91" i="39"/>
  <c r="F91" i="39"/>
  <c r="E91" i="39"/>
  <c r="D91" i="39"/>
  <c r="C91" i="39"/>
  <c r="B91" i="39"/>
  <c r="N90" i="39"/>
  <c r="A90" i="39"/>
  <c r="N89" i="39"/>
  <c r="A89" i="39"/>
  <c r="N88" i="39"/>
  <c r="A88" i="39"/>
  <c r="N87" i="39"/>
  <c r="A87" i="39"/>
  <c r="M92" i="39"/>
  <c r="L92" i="39"/>
  <c r="K92" i="39"/>
  <c r="J92" i="39"/>
  <c r="I92" i="39"/>
  <c r="H92" i="39"/>
  <c r="G92" i="39"/>
  <c r="F92" i="39"/>
  <c r="E92" i="39"/>
  <c r="A86" i="39"/>
  <c r="N85" i="39"/>
  <c r="A85" i="39"/>
  <c r="C79" i="39"/>
  <c r="B79" i="39"/>
  <c r="M78" i="39"/>
  <c r="L78" i="39"/>
  <c r="K78" i="39"/>
  <c r="J78" i="39"/>
  <c r="I78" i="39"/>
  <c r="H78" i="39"/>
  <c r="G78" i="39"/>
  <c r="F78" i="39"/>
  <c r="E78" i="39"/>
  <c r="D78" i="39"/>
  <c r="C78" i="39"/>
  <c r="B78" i="39"/>
  <c r="N77" i="39"/>
  <c r="A77" i="39"/>
  <c r="N76" i="39"/>
  <c r="A76" i="39"/>
  <c r="N75" i="39"/>
  <c r="A75" i="39"/>
  <c r="N74" i="39"/>
  <c r="A74" i="39"/>
  <c r="M79" i="39"/>
  <c r="L79" i="39"/>
  <c r="K79" i="39"/>
  <c r="J79" i="39"/>
  <c r="I79" i="39"/>
  <c r="H79" i="39"/>
  <c r="G79" i="39"/>
  <c r="F79" i="39"/>
  <c r="E79" i="39"/>
  <c r="D79" i="39"/>
  <c r="A73" i="39"/>
  <c r="N72" i="39"/>
  <c r="A72" i="39"/>
  <c r="C66" i="39"/>
  <c r="B66" i="39"/>
  <c r="M65" i="39"/>
  <c r="L65" i="39"/>
  <c r="K65" i="39"/>
  <c r="J65" i="39"/>
  <c r="I65" i="39"/>
  <c r="H65" i="39"/>
  <c r="G65" i="39"/>
  <c r="F65" i="39"/>
  <c r="E65" i="39"/>
  <c r="D65" i="39"/>
  <c r="C65" i="39"/>
  <c r="B65" i="39"/>
  <c r="N64" i="39"/>
  <c r="A64" i="39"/>
  <c r="N63" i="39"/>
  <c r="A63" i="39"/>
  <c r="N62" i="39"/>
  <c r="A62" i="39"/>
  <c r="N61" i="39"/>
  <c r="A61" i="39"/>
  <c r="M66" i="39"/>
  <c r="L66" i="39"/>
  <c r="K66" i="39"/>
  <c r="J66" i="39"/>
  <c r="I66" i="39"/>
  <c r="H66" i="39"/>
  <c r="G66" i="39"/>
  <c r="F66" i="39"/>
  <c r="E66" i="39"/>
  <c r="A60" i="39"/>
  <c r="N59" i="39"/>
  <c r="A59" i="39"/>
  <c r="C53" i="39"/>
  <c r="B53" i="39"/>
  <c r="M52" i="39"/>
  <c r="L52" i="39"/>
  <c r="K52" i="39"/>
  <c r="J52" i="39"/>
  <c r="I52" i="39"/>
  <c r="H52" i="39"/>
  <c r="G52" i="39"/>
  <c r="F52" i="39"/>
  <c r="E52" i="39"/>
  <c r="D52" i="39"/>
  <c r="C52" i="39"/>
  <c r="B52" i="39"/>
  <c r="N51" i="39"/>
  <c r="A51" i="39"/>
  <c r="N50" i="39"/>
  <c r="A50" i="39"/>
  <c r="N49" i="39"/>
  <c r="A49" i="39"/>
  <c r="N48" i="39"/>
  <c r="A48" i="39"/>
  <c r="M53" i="39"/>
  <c r="L53" i="39"/>
  <c r="K53" i="39"/>
  <c r="J53" i="39"/>
  <c r="I53" i="39"/>
  <c r="H53" i="39"/>
  <c r="G53" i="39"/>
  <c r="F53" i="39"/>
  <c r="E53" i="39"/>
  <c r="D53" i="39"/>
  <c r="A47" i="39"/>
  <c r="N46" i="39"/>
  <c r="A46" i="39"/>
  <c r="C40" i="39"/>
  <c r="B40" i="39"/>
  <c r="M39" i="39"/>
  <c r="L39" i="39"/>
  <c r="K39" i="39"/>
  <c r="J39" i="39"/>
  <c r="I39" i="39"/>
  <c r="H39" i="39"/>
  <c r="G39" i="39"/>
  <c r="F39" i="39"/>
  <c r="E39" i="39"/>
  <c r="D39" i="39"/>
  <c r="C39" i="39"/>
  <c r="B39" i="39"/>
  <c r="N38" i="39"/>
  <c r="A38" i="39"/>
  <c r="N37" i="39"/>
  <c r="A37" i="39"/>
  <c r="N36" i="39"/>
  <c r="A36" i="39"/>
  <c r="N35" i="39"/>
  <c r="A35" i="39"/>
  <c r="M40" i="39"/>
  <c r="L40" i="39"/>
  <c r="K40" i="39"/>
  <c r="J40" i="39"/>
  <c r="I40" i="39"/>
  <c r="H40" i="39"/>
  <c r="G40" i="39"/>
  <c r="F40" i="39"/>
  <c r="E40" i="39"/>
  <c r="A34" i="39"/>
  <c r="N33" i="39"/>
  <c r="A33" i="39"/>
  <c r="C27" i="39"/>
  <c r="B27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N25" i="39"/>
  <c r="A25" i="39"/>
  <c r="N24" i="39"/>
  <c r="A24" i="39"/>
  <c r="N23" i="39"/>
  <c r="A23" i="39"/>
  <c r="N22" i="39"/>
  <c r="A22" i="39"/>
  <c r="M27" i="39"/>
  <c r="L27" i="39"/>
  <c r="K27" i="39"/>
  <c r="J27" i="39"/>
  <c r="I27" i="39"/>
  <c r="H27" i="39"/>
  <c r="G27" i="39"/>
  <c r="F27" i="39"/>
  <c r="E27" i="39"/>
  <c r="D27" i="39"/>
  <c r="A21" i="39"/>
  <c r="N20" i="39"/>
  <c r="A20" i="39"/>
  <c r="M12" i="39"/>
  <c r="L12" i="39"/>
  <c r="K12" i="39"/>
  <c r="J12" i="39"/>
  <c r="I12" i="39"/>
  <c r="H12" i="39"/>
  <c r="G12" i="39"/>
  <c r="F12" i="39"/>
  <c r="E12" i="39"/>
  <c r="D12" i="39"/>
  <c r="C12" i="39"/>
  <c r="B12" i="39"/>
  <c r="A12" i="39"/>
  <c r="M11" i="39"/>
  <c r="L11" i="39"/>
  <c r="K11" i="39"/>
  <c r="J11" i="39"/>
  <c r="I11" i="39"/>
  <c r="H11" i="39"/>
  <c r="G11" i="39"/>
  <c r="F11" i="39"/>
  <c r="E11" i="39"/>
  <c r="D11" i="39"/>
  <c r="C11" i="39"/>
  <c r="B11" i="39"/>
  <c r="A11" i="39"/>
  <c r="M10" i="39"/>
  <c r="L10" i="39"/>
  <c r="K10" i="39"/>
  <c r="J10" i="39"/>
  <c r="I10" i="39"/>
  <c r="H10" i="39"/>
  <c r="G10" i="39"/>
  <c r="F10" i="39"/>
  <c r="E10" i="39"/>
  <c r="D10" i="39"/>
  <c r="C10" i="39"/>
  <c r="B10" i="39"/>
  <c r="A10" i="39"/>
  <c r="M9" i="39"/>
  <c r="L9" i="39"/>
  <c r="K9" i="39"/>
  <c r="J9" i="39"/>
  <c r="I9" i="39"/>
  <c r="H9" i="39"/>
  <c r="G9" i="39"/>
  <c r="F9" i="39"/>
  <c r="E9" i="39"/>
  <c r="D9" i="39"/>
  <c r="C9" i="39"/>
  <c r="B9" i="39"/>
  <c r="A9" i="39"/>
  <c r="D8" i="39"/>
  <c r="C8" i="39"/>
  <c r="B8" i="39"/>
  <c r="A8" i="39"/>
  <c r="M7" i="39"/>
  <c r="L7" i="39"/>
  <c r="K7" i="39"/>
  <c r="J7" i="39"/>
  <c r="I7" i="39"/>
  <c r="H7" i="39"/>
  <c r="G7" i="39"/>
  <c r="F7" i="39"/>
  <c r="E7" i="39"/>
  <c r="D7" i="39"/>
  <c r="C7" i="39"/>
  <c r="B7" i="39"/>
  <c r="A7" i="39"/>
  <c r="A24" i="36"/>
  <c r="A3" i="36"/>
  <c r="L43" i="28"/>
  <c r="L42" i="28"/>
  <c r="L41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3" i="28"/>
  <c r="L22" i="28"/>
  <c r="L21" i="28"/>
  <c r="L20" i="28"/>
  <c r="L19" i="28"/>
  <c r="L18" i="28"/>
  <c r="L17" i="28"/>
  <c r="L16" i="28"/>
  <c r="L14" i="28"/>
  <c r="L13" i="28"/>
  <c r="L12" i="28"/>
  <c r="L11" i="28"/>
  <c r="L10" i="28"/>
  <c r="L9" i="28"/>
  <c r="L8" i="28"/>
  <c r="L7" i="28"/>
  <c r="L6" i="28"/>
  <c r="L4" i="28"/>
  <c r="Q59" i="25"/>
  <c r="R42" i="28" s="1"/>
  <c r="P59" i="25"/>
  <c r="Q42" i="28" s="1"/>
  <c r="O59" i="25"/>
  <c r="P42" i="28" s="1"/>
  <c r="N59" i="25"/>
  <c r="O42" i="28" s="1"/>
  <c r="M59" i="25"/>
  <c r="N42" i="28" s="1"/>
  <c r="L59" i="25"/>
  <c r="M42" i="28" s="1"/>
  <c r="I59" i="25"/>
  <c r="I42" i="28" s="1"/>
  <c r="H59" i="25"/>
  <c r="H42" i="28" s="1"/>
  <c r="G59" i="25"/>
  <c r="G42" i="28" s="1"/>
  <c r="F59" i="25"/>
  <c r="F42" i="28" s="1"/>
  <c r="E59" i="25"/>
  <c r="E42" i="28" s="1"/>
  <c r="D59" i="25"/>
  <c r="D42" i="28" s="1"/>
  <c r="Q55" i="25"/>
  <c r="R37" i="28" s="1"/>
  <c r="P55" i="25"/>
  <c r="Q37" i="28" s="1"/>
  <c r="O55" i="25"/>
  <c r="P37" i="28" s="1"/>
  <c r="N55" i="25"/>
  <c r="O37" i="28" s="1"/>
  <c r="M55" i="25"/>
  <c r="N37" i="28" s="1"/>
  <c r="L55" i="25"/>
  <c r="M37" i="28" s="1"/>
  <c r="I55" i="25"/>
  <c r="I37" i="28" s="1"/>
  <c r="H55" i="25"/>
  <c r="H37" i="28" s="1"/>
  <c r="G55" i="25"/>
  <c r="G37" i="28" s="1"/>
  <c r="F55" i="25"/>
  <c r="F37" i="28" s="1"/>
  <c r="E55" i="25"/>
  <c r="E37" i="28" s="1"/>
  <c r="D37" i="28"/>
  <c r="Q54" i="25"/>
  <c r="R36" i="28" s="1"/>
  <c r="P54" i="25"/>
  <c r="Q36" i="28" s="1"/>
  <c r="O54" i="25"/>
  <c r="P36" i="28" s="1"/>
  <c r="N54" i="25"/>
  <c r="O36" i="28" s="1"/>
  <c r="M54" i="25"/>
  <c r="N36" i="28" s="1"/>
  <c r="L54" i="25"/>
  <c r="M36" i="28" s="1"/>
  <c r="I54" i="25"/>
  <c r="I36" i="28" s="1"/>
  <c r="H54" i="25"/>
  <c r="H36" i="28" s="1"/>
  <c r="G54" i="25"/>
  <c r="G36" i="28" s="1"/>
  <c r="F54" i="25"/>
  <c r="F36" i="28" s="1"/>
  <c r="E54" i="25"/>
  <c r="E36" i="28" s="1"/>
  <c r="D36" i="28"/>
  <c r="Q53" i="25"/>
  <c r="P53" i="25"/>
  <c r="O53" i="25"/>
  <c r="N53" i="25"/>
  <c r="M53" i="25"/>
  <c r="L53" i="25"/>
  <c r="I53" i="25"/>
  <c r="H53" i="25"/>
  <c r="G53" i="25"/>
  <c r="F53" i="25"/>
  <c r="E53" i="25"/>
  <c r="Q52" i="25"/>
  <c r="R35" i="28" s="1"/>
  <c r="P52" i="25"/>
  <c r="Q35" i="28" s="1"/>
  <c r="O52" i="25"/>
  <c r="P35" i="28" s="1"/>
  <c r="N52" i="25"/>
  <c r="O35" i="28" s="1"/>
  <c r="M52" i="25"/>
  <c r="N35" i="28" s="1"/>
  <c r="L52" i="25"/>
  <c r="M35" i="28" s="1"/>
  <c r="I52" i="25"/>
  <c r="I35" i="28" s="1"/>
  <c r="H52" i="25"/>
  <c r="H35" i="28" s="1"/>
  <c r="G52" i="25"/>
  <c r="G35" i="28" s="1"/>
  <c r="F52" i="25"/>
  <c r="F35" i="28" s="1"/>
  <c r="E52" i="25"/>
  <c r="E35" i="28" s="1"/>
  <c r="D35" i="28"/>
  <c r="Q51" i="25"/>
  <c r="P51" i="25"/>
  <c r="O51" i="25"/>
  <c r="N51" i="25"/>
  <c r="M51" i="25"/>
  <c r="L51" i="25"/>
  <c r="I51" i="25"/>
  <c r="H51" i="25"/>
  <c r="G51" i="25"/>
  <c r="F51" i="25"/>
  <c r="E51" i="25"/>
  <c r="Q50" i="25"/>
  <c r="R34" i="28" s="1"/>
  <c r="P50" i="25"/>
  <c r="Q34" i="28" s="1"/>
  <c r="O50" i="25"/>
  <c r="P34" i="28" s="1"/>
  <c r="N50" i="25"/>
  <c r="O34" i="28" s="1"/>
  <c r="M50" i="25"/>
  <c r="N34" i="28" s="1"/>
  <c r="L50" i="25"/>
  <c r="M34" i="28" s="1"/>
  <c r="I50" i="25"/>
  <c r="I34" i="28" s="1"/>
  <c r="H50" i="25"/>
  <c r="H34" i="28" s="1"/>
  <c r="G50" i="25"/>
  <c r="G34" i="28" s="1"/>
  <c r="F50" i="25"/>
  <c r="F34" i="28" s="1"/>
  <c r="E50" i="25"/>
  <c r="E34" i="28" s="1"/>
  <c r="D34" i="28"/>
  <c r="Q49" i="25"/>
  <c r="P49" i="25"/>
  <c r="O49" i="25"/>
  <c r="N49" i="25"/>
  <c r="M49" i="25"/>
  <c r="L49" i="25"/>
  <c r="I49" i="25"/>
  <c r="H49" i="25"/>
  <c r="G49" i="25"/>
  <c r="F49" i="25"/>
  <c r="E49" i="25"/>
  <c r="Q48" i="25"/>
  <c r="R33" i="28" s="1"/>
  <c r="P48" i="25"/>
  <c r="Q33" i="28" s="1"/>
  <c r="O48" i="25"/>
  <c r="P33" i="28" s="1"/>
  <c r="N48" i="25"/>
  <c r="O33" i="28" s="1"/>
  <c r="M48" i="25"/>
  <c r="N33" i="28" s="1"/>
  <c r="L48" i="25"/>
  <c r="M33" i="28" s="1"/>
  <c r="I48" i="25"/>
  <c r="I33" i="28" s="1"/>
  <c r="H48" i="25"/>
  <c r="H33" i="28" s="1"/>
  <c r="G48" i="25"/>
  <c r="G33" i="28" s="1"/>
  <c r="F48" i="25"/>
  <c r="F33" i="28" s="1"/>
  <c r="E48" i="25"/>
  <c r="E33" i="28" s="1"/>
  <c r="D33" i="28"/>
  <c r="Q47" i="25"/>
  <c r="P47" i="25"/>
  <c r="O47" i="25"/>
  <c r="N47" i="25"/>
  <c r="M47" i="25"/>
  <c r="L47" i="25"/>
  <c r="I47" i="25"/>
  <c r="H47" i="25"/>
  <c r="G47" i="25"/>
  <c r="F47" i="25"/>
  <c r="E47" i="25"/>
  <c r="Q46" i="25"/>
  <c r="R32" i="28" s="1"/>
  <c r="P46" i="25"/>
  <c r="Q32" i="28" s="1"/>
  <c r="O46" i="25"/>
  <c r="P32" i="28" s="1"/>
  <c r="N46" i="25"/>
  <c r="O32" i="28" s="1"/>
  <c r="M46" i="25"/>
  <c r="N32" i="28" s="1"/>
  <c r="L46" i="25"/>
  <c r="M32" i="28" s="1"/>
  <c r="I46" i="25"/>
  <c r="I32" i="28" s="1"/>
  <c r="H46" i="25"/>
  <c r="H32" i="28" s="1"/>
  <c r="G46" i="25"/>
  <c r="G32" i="28" s="1"/>
  <c r="F46" i="25"/>
  <c r="F32" i="28" s="1"/>
  <c r="E46" i="25"/>
  <c r="E32" i="28" s="1"/>
  <c r="D32" i="28"/>
  <c r="Q45" i="25"/>
  <c r="P45" i="25"/>
  <c r="O45" i="25"/>
  <c r="N45" i="25"/>
  <c r="M45" i="25"/>
  <c r="L45" i="25"/>
  <c r="I45" i="25"/>
  <c r="H45" i="25"/>
  <c r="G45" i="25"/>
  <c r="F45" i="25"/>
  <c r="E45" i="25"/>
  <c r="Q44" i="25"/>
  <c r="R31" i="28" s="1"/>
  <c r="P44" i="25"/>
  <c r="Q31" i="28" s="1"/>
  <c r="O44" i="25"/>
  <c r="P31" i="28" s="1"/>
  <c r="N44" i="25"/>
  <c r="O31" i="28" s="1"/>
  <c r="M44" i="25"/>
  <c r="N31" i="28" s="1"/>
  <c r="L44" i="25"/>
  <c r="M31" i="28" s="1"/>
  <c r="I44" i="25"/>
  <c r="I31" i="28" s="1"/>
  <c r="H44" i="25"/>
  <c r="H31" i="28" s="1"/>
  <c r="G44" i="25"/>
  <c r="G31" i="28" s="1"/>
  <c r="F44" i="25"/>
  <c r="F31" i="28" s="1"/>
  <c r="E44" i="25"/>
  <c r="E31" i="28" s="1"/>
  <c r="D31" i="28"/>
  <c r="Q43" i="25"/>
  <c r="P43" i="25"/>
  <c r="O43" i="25"/>
  <c r="N43" i="25"/>
  <c r="M43" i="25"/>
  <c r="L43" i="25"/>
  <c r="I43" i="25"/>
  <c r="H43" i="25"/>
  <c r="G43" i="25"/>
  <c r="F43" i="25"/>
  <c r="E43" i="25"/>
  <c r="Q42" i="25"/>
  <c r="R30" i="28" s="1"/>
  <c r="P42" i="25"/>
  <c r="Q30" i="28" s="1"/>
  <c r="O42" i="25"/>
  <c r="P30" i="28" s="1"/>
  <c r="N42" i="25"/>
  <c r="O30" i="28" s="1"/>
  <c r="M42" i="25"/>
  <c r="N30" i="28" s="1"/>
  <c r="L42" i="25"/>
  <c r="M30" i="28" s="1"/>
  <c r="I42" i="25"/>
  <c r="I30" i="28" s="1"/>
  <c r="H42" i="25"/>
  <c r="H30" i="28" s="1"/>
  <c r="G42" i="25"/>
  <c r="G30" i="28" s="1"/>
  <c r="F42" i="25"/>
  <c r="F30" i="28" s="1"/>
  <c r="E42" i="25"/>
  <c r="E30" i="28" s="1"/>
  <c r="D30" i="28"/>
  <c r="Q41" i="25"/>
  <c r="P41" i="25"/>
  <c r="O41" i="25"/>
  <c r="N41" i="25"/>
  <c r="M41" i="25"/>
  <c r="L41" i="25"/>
  <c r="I41" i="25"/>
  <c r="H41" i="25"/>
  <c r="G41" i="25"/>
  <c r="F41" i="25"/>
  <c r="E41" i="25"/>
  <c r="Q40" i="25"/>
  <c r="R29" i="28" s="1"/>
  <c r="P40" i="25"/>
  <c r="Q29" i="28" s="1"/>
  <c r="O40" i="25"/>
  <c r="P29" i="28" s="1"/>
  <c r="N40" i="25"/>
  <c r="O29" i="28" s="1"/>
  <c r="M40" i="25"/>
  <c r="N29" i="28" s="1"/>
  <c r="L40" i="25"/>
  <c r="M29" i="28" s="1"/>
  <c r="I40" i="25"/>
  <c r="I29" i="28" s="1"/>
  <c r="H40" i="25"/>
  <c r="H29" i="28" s="1"/>
  <c r="G40" i="25"/>
  <c r="G29" i="28" s="1"/>
  <c r="F40" i="25"/>
  <c r="F29" i="28" s="1"/>
  <c r="E40" i="25"/>
  <c r="E29" i="28" s="1"/>
  <c r="D29" i="28"/>
  <c r="Q39" i="25"/>
  <c r="P39" i="25"/>
  <c r="O39" i="25"/>
  <c r="N39" i="25"/>
  <c r="M39" i="25"/>
  <c r="L39" i="25"/>
  <c r="I39" i="25"/>
  <c r="H39" i="25"/>
  <c r="G39" i="25"/>
  <c r="F39" i="25"/>
  <c r="E39" i="25"/>
  <c r="Q38" i="25"/>
  <c r="R28" i="28" s="1"/>
  <c r="P38" i="25"/>
  <c r="Q28" i="28" s="1"/>
  <c r="O38" i="25"/>
  <c r="P28" i="28" s="1"/>
  <c r="N38" i="25"/>
  <c r="O28" i="28" s="1"/>
  <c r="M38" i="25"/>
  <c r="N28" i="28" s="1"/>
  <c r="L38" i="25"/>
  <c r="M28" i="28" s="1"/>
  <c r="I38" i="25"/>
  <c r="I28" i="28" s="1"/>
  <c r="H38" i="25"/>
  <c r="H28" i="28" s="1"/>
  <c r="G38" i="25"/>
  <c r="G28" i="28" s="1"/>
  <c r="F38" i="25"/>
  <c r="F28" i="28" s="1"/>
  <c r="E38" i="25"/>
  <c r="E28" i="28" s="1"/>
  <c r="D28" i="28"/>
  <c r="Q37" i="25"/>
  <c r="P37" i="25"/>
  <c r="O37" i="25"/>
  <c r="N37" i="25"/>
  <c r="M37" i="25"/>
  <c r="L37" i="25"/>
  <c r="I37" i="25"/>
  <c r="H37" i="25"/>
  <c r="G37" i="25"/>
  <c r="F37" i="25"/>
  <c r="E37" i="25"/>
  <c r="Q36" i="25"/>
  <c r="R27" i="28" s="1"/>
  <c r="P36" i="25"/>
  <c r="Q27" i="28" s="1"/>
  <c r="O36" i="25"/>
  <c r="P27" i="28" s="1"/>
  <c r="N36" i="25"/>
  <c r="O27" i="28" s="1"/>
  <c r="M36" i="25"/>
  <c r="N27" i="28" s="1"/>
  <c r="L36" i="25"/>
  <c r="M27" i="28" s="1"/>
  <c r="I36" i="25"/>
  <c r="I27" i="28" s="1"/>
  <c r="H36" i="25"/>
  <c r="H27" i="28" s="1"/>
  <c r="G36" i="25"/>
  <c r="G27" i="28" s="1"/>
  <c r="F36" i="25"/>
  <c r="F27" i="28" s="1"/>
  <c r="E36" i="25"/>
  <c r="E27" i="28" s="1"/>
  <c r="D27" i="28"/>
  <c r="Q35" i="25"/>
  <c r="P35" i="25"/>
  <c r="O35" i="25"/>
  <c r="N35" i="25"/>
  <c r="M35" i="25"/>
  <c r="L35" i="25"/>
  <c r="I35" i="25"/>
  <c r="H35" i="25"/>
  <c r="G35" i="25"/>
  <c r="F35" i="25"/>
  <c r="E35" i="25"/>
  <c r="D38" i="28"/>
  <c r="Q34" i="25"/>
  <c r="R26" i="28" s="1"/>
  <c r="P34" i="25"/>
  <c r="Q26" i="28" s="1"/>
  <c r="O34" i="25"/>
  <c r="P26" i="28" s="1"/>
  <c r="N34" i="25"/>
  <c r="O26" i="28" s="1"/>
  <c r="M34" i="25"/>
  <c r="N26" i="28" s="1"/>
  <c r="L34" i="25"/>
  <c r="M26" i="28" s="1"/>
  <c r="I34" i="25"/>
  <c r="I26" i="28" s="1"/>
  <c r="H34" i="25"/>
  <c r="H26" i="28" s="1"/>
  <c r="G34" i="25"/>
  <c r="G26" i="28" s="1"/>
  <c r="F34" i="25"/>
  <c r="E34" i="25"/>
  <c r="E26" i="28" s="1"/>
  <c r="D26" i="28"/>
  <c r="Q30" i="25"/>
  <c r="R22" i="28" s="1"/>
  <c r="P30" i="25"/>
  <c r="Q22" i="28" s="1"/>
  <c r="O30" i="25"/>
  <c r="P22" i="28" s="1"/>
  <c r="N30" i="25"/>
  <c r="O22" i="28" s="1"/>
  <c r="M30" i="25"/>
  <c r="N22" i="28" s="1"/>
  <c r="L30" i="25"/>
  <c r="M22" i="28" s="1"/>
  <c r="I30" i="25"/>
  <c r="I22" i="28" s="1"/>
  <c r="H30" i="25"/>
  <c r="H22" i="28" s="1"/>
  <c r="G30" i="25"/>
  <c r="G22" i="28" s="1"/>
  <c r="F30" i="25"/>
  <c r="F22" i="28" s="1"/>
  <c r="E30" i="25"/>
  <c r="E22" i="28" s="1"/>
  <c r="D22" i="28"/>
  <c r="Q29" i="25"/>
  <c r="P29" i="25"/>
  <c r="O29" i="25"/>
  <c r="N29" i="25"/>
  <c r="M29" i="25"/>
  <c r="L29" i="25"/>
  <c r="I29" i="25"/>
  <c r="H29" i="25"/>
  <c r="G29" i="25"/>
  <c r="F29" i="25"/>
  <c r="E29" i="25"/>
  <c r="Q28" i="25"/>
  <c r="P28" i="25"/>
  <c r="O28" i="25"/>
  <c r="N28" i="25"/>
  <c r="M28" i="25"/>
  <c r="L28" i="25"/>
  <c r="I28" i="25"/>
  <c r="H28" i="25"/>
  <c r="G28" i="25"/>
  <c r="F28" i="25"/>
  <c r="E28" i="25"/>
  <c r="Q27" i="25"/>
  <c r="R20" i="28" s="1"/>
  <c r="P27" i="25"/>
  <c r="Q20" i="28" s="1"/>
  <c r="O27" i="25"/>
  <c r="P20" i="28" s="1"/>
  <c r="N27" i="25"/>
  <c r="O20" i="28" s="1"/>
  <c r="M27" i="25"/>
  <c r="N20" i="28" s="1"/>
  <c r="L27" i="25"/>
  <c r="M20" i="28" s="1"/>
  <c r="I27" i="25"/>
  <c r="I20" i="28" s="1"/>
  <c r="H27" i="25"/>
  <c r="H20" i="28" s="1"/>
  <c r="G27" i="25"/>
  <c r="G20" i="28" s="1"/>
  <c r="F27" i="25"/>
  <c r="F20" i="28" s="1"/>
  <c r="E27" i="25"/>
  <c r="E20" i="28" s="1"/>
  <c r="Q26" i="25"/>
  <c r="R19" i="28" s="1"/>
  <c r="P26" i="25"/>
  <c r="Q19" i="28" s="1"/>
  <c r="O26" i="25"/>
  <c r="P19" i="28" s="1"/>
  <c r="N26" i="25"/>
  <c r="O19" i="28" s="1"/>
  <c r="M26" i="25"/>
  <c r="N19" i="28" s="1"/>
  <c r="L26" i="25"/>
  <c r="I26" i="25"/>
  <c r="I19" i="28" s="1"/>
  <c r="H26" i="25"/>
  <c r="H19" i="28" s="1"/>
  <c r="G26" i="25"/>
  <c r="G19" i="28" s="1"/>
  <c r="F26" i="25"/>
  <c r="F19" i="28" s="1"/>
  <c r="E26" i="25"/>
  <c r="E19" i="28" s="1"/>
  <c r="D19" i="28"/>
  <c r="Q25" i="25"/>
  <c r="R18" i="28" s="1"/>
  <c r="P25" i="25"/>
  <c r="Q18" i="28" s="1"/>
  <c r="O25" i="25"/>
  <c r="P18" i="28" s="1"/>
  <c r="N25" i="25"/>
  <c r="O18" i="28" s="1"/>
  <c r="M25" i="25"/>
  <c r="N18" i="28" s="1"/>
  <c r="L25" i="25"/>
  <c r="M18" i="28" s="1"/>
  <c r="I25" i="25"/>
  <c r="I18" i="28" s="1"/>
  <c r="H25" i="25"/>
  <c r="H18" i="28" s="1"/>
  <c r="G25" i="25"/>
  <c r="G18" i="28" s="1"/>
  <c r="F25" i="25"/>
  <c r="F18" i="28" s="1"/>
  <c r="E25" i="25"/>
  <c r="E18" i="28" s="1"/>
  <c r="D18" i="28"/>
  <c r="Q24" i="25"/>
  <c r="P24" i="25"/>
  <c r="O24" i="25"/>
  <c r="N24" i="25"/>
  <c r="M24" i="25"/>
  <c r="L24" i="25"/>
  <c r="I24" i="25"/>
  <c r="H24" i="25"/>
  <c r="G24" i="25"/>
  <c r="F24" i="25"/>
  <c r="E24" i="25"/>
  <c r="Q20" i="25"/>
  <c r="P20" i="25"/>
  <c r="O20" i="25"/>
  <c r="N20" i="25"/>
  <c r="M20" i="25"/>
  <c r="L20" i="25"/>
  <c r="I20" i="25"/>
  <c r="H20" i="25"/>
  <c r="G20" i="25"/>
  <c r="F20" i="25"/>
  <c r="E20" i="25"/>
  <c r="R19" i="25"/>
  <c r="J19" i="25"/>
  <c r="Q18" i="25"/>
  <c r="P18" i="25"/>
  <c r="O18" i="25"/>
  <c r="N18" i="25"/>
  <c r="M18" i="25"/>
  <c r="L18" i="25"/>
  <c r="I18" i="25"/>
  <c r="H18" i="25"/>
  <c r="G18" i="25"/>
  <c r="F18" i="25"/>
  <c r="E18" i="25"/>
  <c r="D13" i="28"/>
  <c r="Q17" i="25"/>
  <c r="P17" i="25"/>
  <c r="O17" i="25"/>
  <c r="N17" i="25"/>
  <c r="M17" i="25"/>
  <c r="L17" i="25"/>
  <c r="I17" i="25"/>
  <c r="H17" i="25"/>
  <c r="G17" i="25"/>
  <c r="F17" i="25"/>
  <c r="E17" i="25"/>
  <c r="Q16" i="25"/>
  <c r="P16" i="25"/>
  <c r="O16" i="25"/>
  <c r="N16" i="25"/>
  <c r="M16" i="25"/>
  <c r="L16" i="25"/>
  <c r="I16" i="25"/>
  <c r="H16" i="25"/>
  <c r="G16" i="25"/>
  <c r="F16" i="25"/>
  <c r="E16" i="25"/>
  <c r="Q15" i="25"/>
  <c r="R11" i="28" s="1"/>
  <c r="P15" i="25"/>
  <c r="Q11" i="28" s="1"/>
  <c r="O15" i="25"/>
  <c r="P11" i="28" s="1"/>
  <c r="N15" i="25"/>
  <c r="O11" i="28" s="1"/>
  <c r="M15" i="25"/>
  <c r="N11" i="28" s="1"/>
  <c r="L15" i="25"/>
  <c r="M11" i="28" s="1"/>
  <c r="I15" i="25"/>
  <c r="I11" i="28" s="1"/>
  <c r="H15" i="25"/>
  <c r="H11" i="28" s="1"/>
  <c r="G15" i="25"/>
  <c r="G11" i="28" s="1"/>
  <c r="F15" i="25"/>
  <c r="F11" i="28" s="1"/>
  <c r="E15" i="25"/>
  <c r="E11" i="28" s="1"/>
  <c r="D11" i="28"/>
  <c r="Q14" i="25"/>
  <c r="R10" i="28" s="1"/>
  <c r="P14" i="25"/>
  <c r="Q10" i="28" s="1"/>
  <c r="O14" i="25"/>
  <c r="P10" i="28" s="1"/>
  <c r="N14" i="25"/>
  <c r="O10" i="28" s="1"/>
  <c r="M14" i="25"/>
  <c r="N10" i="28" s="1"/>
  <c r="L14" i="25"/>
  <c r="M10" i="28" s="1"/>
  <c r="I14" i="25"/>
  <c r="I10" i="28" s="1"/>
  <c r="H14" i="25"/>
  <c r="H10" i="28" s="1"/>
  <c r="G14" i="25"/>
  <c r="G10" i="28" s="1"/>
  <c r="F14" i="25"/>
  <c r="F10" i="28" s="1"/>
  <c r="E14" i="25"/>
  <c r="E10" i="28" s="1"/>
  <c r="D10" i="28"/>
  <c r="Q12" i="25"/>
  <c r="R9" i="28" s="1"/>
  <c r="P12" i="25"/>
  <c r="Q9" i="28" s="1"/>
  <c r="O12" i="25"/>
  <c r="P9" i="28" s="1"/>
  <c r="N12" i="25"/>
  <c r="O9" i="28" s="1"/>
  <c r="M12" i="25"/>
  <c r="N9" i="28" s="1"/>
  <c r="L12" i="25"/>
  <c r="M9" i="28" s="1"/>
  <c r="I12" i="25"/>
  <c r="I9" i="28" s="1"/>
  <c r="H12" i="25"/>
  <c r="H9" i="28" s="1"/>
  <c r="G12" i="25"/>
  <c r="G9" i="28" s="1"/>
  <c r="F12" i="25"/>
  <c r="F9" i="28" s="1"/>
  <c r="E12" i="25"/>
  <c r="E9" i="28" s="1"/>
  <c r="D9" i="28"/>
  <c r="Q11" i="25"/>
  <c r="P11" i="25"/>
  <c r="O11" i="25"/>
  <c r="N11" i="25"/>
  <c r="M11" i="25"/>
  <c r="L11" i="25"/>
  <c r="I11" i="25"/>
  <c r="H11" i="25"/>
  <c r="G11" i="25"/>
  <c r="F11" i="25"/>
  <c r="E11" i="25"/>
  <c r="Q10" i="25"/>
  <c r="P10" i="25"/>
  <c r="O10" i="25"/>
  <c r="N10" i="25"/>
  <c r="M10" i="25"/>
  <c r="L10" i="25"/>
  <c r="I10" i="25"/>
  <c r="H10" i="25"/>
  <c r="G10" i="25"/>
  <c r="F10" i="25"/>
  <c r="E10" i="25"/>
  <c r="D8" i="28"/>
  <c r="Q9" i="25"/>
  <c r="R7" i="28" s="1"/>
  <c r="P9" i="25"/>
  <c r="Q7" i="28" s="1"/>
  <c r="O9" i="25"/>
  <c r="P7" i="28" s="1"/>
  <c r="N9" i="25"/>
  <c r="O7" i="28" s="1"/>
  <c r="M9" i="25"/>
  <c r="N7" i="28" s="1"/>
  <c r="L9" i="25"/>
  <c r="M7" i="28" s="1"/>
  <c r="I9" i="25"/>
  <c r="I7" i="28" s="1"/>
  <c r="H9" i="25"/>
  <c r="H7" i="28" s="1"/>
  <c r="G9" i="25"/>
  <c r="G7" i="28" s="1"/>
  <c r="F9" i="25"/>
  <c r="F7" i="28" s="1"/>
  <c r="E9" i="25"/>
  <c r="E7" i="28" s="1"/>
  <c r="D7" i="28"/>
  <c r="Q5" i="25"/>
  <c r="P5" i="25"/>
  <c r="O5" i="25"/>
  <c r="N5" i="25"/>
  <c r="M5" i="25"/>
  <c r="L5" i="25"/>
  <c r="I5" i="25"/>
  <c r="H5" i="25"/>
  <c r="G5" i="25"/>
  <c r="F5" i="25"/>
  <c r="E5" i="25"/>
  <c r="D5" i="25"/>
  <c r="D56" i="25" s="1"/>
  <c r="Q4" i="25"/>
  <c r="P4" i="25"/>
  <c r="O4" i="25"/>
  <c r="O6" i="25" s="1"/>
  <c r="N4" i="25"/>
  <c r="M4" i="25"/>
  <c r="L4" i="25"/>
  <c r="I4" i="25"/>
  <c r="I6" i="25" s="1"/>
  <c r="H4" i="25"/>
  <c r="G4" i="25"/>
  <c r="F4" i="25"/>
  <c r="E4" i="25"/>
  <c r="E6" i="25" s="1"/>
  <c r="D4" i="25"/>
  <c r="M2" i="25"/>
  <c r="N2" i="28" s="1"/>
  <c r="E2" i="25"/>
  <c r="E2" i="28" s="1"/>
  <c r="Z237" i="33"/>
  <c r="X237" i="33"/>
  <c r="V237" i="33"/>
  <c r="T237" i="33"/>
  <c r="R237" i="33"/>
  <c r="P237" i="33"/>
  <c r="N237" i="33"/>
  <c r="L237" i="33"/>
  <c r="J237" i="33"/>
  <c r="H237" i="33"/>
  <c r="F237" i="33"/>
  <c r="D237" i="33"/>
  <c r="Z236" i="33"/>
  <c r="X236" i="33"/>
  <c r="V236" i="33"/>
  <c r="T236" i="33"/>
  <c r="R236" i="33"/>
  <c r="P236" i="33"/>
  <c r="N236" i="33"/>
  <c r="L236" i="33"/>
  <c r="J236" i="33"/>
  <c r="H236" i="33"/>
  <c r="F236" i="33"/>
  <c r="D236" i="33"/>
  <c r="Z235" i="33"/>
  <c r="X235" i="33"/>
  <c r="V235" i="33"/>
  <c r="T235" i="33"/>
  <c r="R235" i="33"/>
  <c r="P235" i="33"/>
  <c r="N235" i="33"/>
  <c r="L235" i="33"/>
  <c r="J235" i="33"/>
  <c r="H235" i="33"/>
  <c r="F235" i="33"/>
  <c r="D235" i="33"/>
  <c r="Z234" i="33"/>
  <c r="X234" i="33"/>
  <c r="V234" i="33"/>
  <c r="T234" i="33"/>
  <c r="R234" i="33"/>
  <c r="P234" i="33"/>
  <c r="N234" i="33"/>
  <c r="L234" i="33"/>
  <c r="J234" i="33"/>
  <c r="H234" i="33"/>
  <c r="F234" i="33"/>
  <c r="D234" i="33"/>
  <c r="Z233" i="33"/>
  <c r="X233" i="33"/>
  <c r="V233" i="33"/>
  <c r="T233" i="33"/>
  <c r="R233" i="33"/>
  <c r="P233" i="33"/>
  <c r="N233" i="33"/>
  <c r="L233" i="33"/>
  <c r="J233" i="33"/>
  <c r="H233" i="33"/>
  <c r="F233" i="33"/>
  <c r="D233" i="33"/>
  <c r="Z232" i="33"/>
  <c r="X232" i="33"/>
  <c r="V232" i="33"/>
  <c r="T232" i="33"/>
  <c r="R232" i="33"/>
  <c r="P232" i="33"/>
  <c r="N232" i="33"/>
  <c r="L232" i="33"/>
  <c r="J232" i="33"/>
  <c r="H232" i="33"/>
  <c r="F232" i="33"/>
  <c r="D232" i="33"/>
  <c r="AA231" i="33"/>
  <c r="Z231" i="33"/>
  <c r="X231" i="33"/>
  <c r="V231" i="33"/>
  <c r="T231" i="33"/>
  <c r="R231" i="33"/>
  <c r="P231" i="33"/>
  <c r="N231" i="33"/>
  <c r="L231" i="33"/>
  <c r="J231" i="33"/>
  <c r="H231" i="33"/>
  <c r="F231" i="33"/>
  <c r="D231" i="33"/>
  <c r="AA230" i="33"/>
  <c r="Z230" i="33"/>
  <c r="X230" i="33"/>
  <c r="V230" i="33"/>
  <c r="T230" i="33"/>
  <c r="R230" i="33"/>
  <c r="P230" i="33"/>
  <c r="N230" i="33"/>
  <c r="L230" i="33"/>
  <c r="J230" i="33"/>
  <c r="H230" i="33"/>
  <c r="F230" i="33"/>
  <c r="D230" i="33"/>
  <c r="AA229" i="33"/>
  <c r="Z229" i="33"/>
  <c r="X229" i="33"/>
  <c r="V229" i="33"/>
  <c r="T229" i="33"/>
  <c r="R229" i="33"/>
  <c r="P229" i="33"/>
  <c r="N229" i="33"/>
  <c r="L229" i="33"/>
  <c r="J229" i="33"/>
  <c r="H229" i="33"/>
  <c r="F229" i="33"/>
  <c r="D229" i="33"/>
  <c r="AA228" i="33"/>
  <c r="Z228" i="33"/>
  <c r="X228" i="33"/>
  <c r="V228" i="33"/>
  <c r="T228" i="33"/>
  <c r="R228" i="33"/>
  <c r="P228" i="33"/>
  <c r="N228" i="33"/>
  <c r="L228" i="33"/>
  <c r="J228" i="33"/>
  <c r="H228" i="33"/>
  <c r="F228" i="33"/>
  <c r="D228" i="33"/>
  <c r="AA226" i="33"/>
  <c r="Z226" i="33"/>
  <c r="X226" i="33"/>
  <c r="V226" i="33"/>
  <c r="T226" i="33"/>
  <c r="R226" i="33"/>
  <c r="P226" i="33"/>
  <c r="N226" i="33"/>
  <c r="L226" i="33"/>
  <c r="J226" i="33"/>
  <c r="H226" i="33"/>
  <c r="F226" i="33"/>
  <c r="D226" i="33"/>
  <c r="AA225" i="33"/>
  <c r="Z225" i="33"/>
  <c r="X225" i="33"/>
  <c r="V225" i="33"/>
  <c r="T225" i="33"/>
  <c r="R225" i="33"/>
  <c r="P225" i="33"/>
  <c r="N225" i="33"/>
  <c r="L225" i="33"/>
  <c r="J225" i="33"/>
  <c r="H225" i="33"/>
  <c r="F225" i="33"/>
  <c r="D225" i="33"/>
  <c r="AA223" i="33"/>
  <c r="Z223" i="33"/>
  <c r="X223" i="33"/>
  <c r="V223" i="33"/>
  <c r="T223" i="33"/>
  <c r="R223" i="33"/>
  <c r="P223" i="33"/>
  <c r="N223" i="33"/>
  <c r="L223" i="33"/>
  <c r="J223" i="33"/>
  <c r="H223" i="33"/>
  <c r="F223" i="33"/>
  <c r="D223" i="33"/>
  <c r="AA222" i="33"/>
  <c r="Z222" i="33"/>
  <c r="X222" i="33"/>
  <c r="V222" i="33"/>
  <c r="T222" i="33"/>
  <c r="R222" i="33"/>
  <c r="P222" i="33"/>
  <c r="N222" i="33"/>
  <c r="L222" i="33"/>
  <c r="J222" i="33"/>
  <c r="H222" i="33"/>
  <c r="F222" i="33"/>
  <c r="D222" i="33"/>
  <c r="AA221" i="33"/>
  <c r="Z221" i="33"/>
  <c r="X221" i="33"/>
  <c r="V221" i="33"/>
  <c r="T221" i="33"/>
  <c r="R221" i="33"/>
  <c r="P221" i="33"/>
  <c r="N221" i="33"/>
  <c r="L221" i="33"/>
  <c r="J221" i="33"/>
  <c r="H221" i="33"/>
  <c r="F221" i="33"/>
  <c r="D221" i="33"/>
  <c r="AA218" i="33"/>
  <c r="Z218" i="33"/>
  <c r="X218" i="33"/>
  <c r="V218" i="33"/>
  <c r="T218" i="33"/>
  <c r="R218" i="33"/>
  <c r="P218" i="33"/>
  <c r="N218" i="33"/>
  <c r="L218" i="33"/>
  <c r="J218" i="33"/>
  <c r="H218" i="33"/>
  <c r="F218" i="33"/>
  <c r="D218" i="33"/>
  <c r="AA217" i="33"/>
  <c r="Z217" i="33"/>
  <c r="X217" i="33"/>
  <c r="V217" i="33"/>
  <c r="T217" i="33"/>
  <c r="R217" i="33"/>
  <c r="P217" i="33"/>
  <c r="N217" i="33"/>
  <c r="L217" i="33"/>
  <c r="J217" i="33"/>
  <c r="H217" i="33"/>
  <c r="F217" i="33"/>
  <c r="D217" i="33"/>
  <c r="AA216" i="33"/>
  <c r="Z216" i="33"/>
  <c r="X216" i="33"/>
  <c r="V216" i="33"/>
  <c r="T216" i="33"/>
  <c r="R216" i="33"/>
  <c r="P216" i="33"/>
  <c r="N216" i="33"/>
  <c r="L216" i="33"/>
  <c r="J216" i="33"/>
  <c r="H216" i="33"/>
  <c r="F216" i="33"/>
  <c r="D216" i="33"/>
  <c r="AA215" i="33"/>
  <c r="Z215" i="33"/>
  <c r="X215" i="33"/>
  <c r="V215" i="33"/>
  <c r="T215" i="33"/>
  <c r="R215" i="33"/>
  <c r="P215" i="33"/>
  <c r="N215" i="33"/>
  <c r="L215" i="33"/>
  <c r="J215" i="33"/>
  <c r="H215" i="33"/>
  <c r="F215" i="33"/>
  <c r="D215" i="33"/>
  <c r="AA214" i="33"/>
  <c r="Z214" i="33"/>
  <c r="X214" i="33"/>
  <c r="V214" i="33"/>
  <c r="T214" i="33"/>
  <c r="R214" i="33"/>
  <c r="P214" i="33"/>
  <c r="N214" i="33"/>
  <c r="L214" i="33"/>
  <c r="J214" i="33"/>
  <c r="H214" i="33"/>
  <c r="F214" i="33"/>
  <c r="D214" i="33"/>
  <c r="AA212" i="33"/>
  <c r="Z212" i="33"/>
  <c r="X212" i="33"/>
  <c r="V212" i="33"/>
  <c r="T212" i="33"/>
  <c r="R212" i="33"/>
  <c r="P212" i="33"/>
  <c r="N212" i="33"/>
  <c r="L212" i="33"/>
  <c r="J212" i="33"/>
  <c r="H212" i="33"/>
  <c r="F212" i="33"/>
  <c r="D212" i="33"/>
  <c r="Z211" i="33"/>
  <c r="X211" i="33"/>
  <c r="V211" i="33"/>
  <c r="T211" i="33"/>
  <c r="R211" i="33"/>
  <c r="P211" i="33"/>
  <c r="N211" i="33"/>
  <c r="L211" i="33"/>
  <c r="J211" i="33"/>
  <c r="H211" i="33"/>
  <c r="F211" i="33"/>
  <c r="D211" i="33"/>
  <c r="AA210" i="33"/>
  <c r="AD210" i="33" s="1"/>
  <c r="Z210" i="33"/>
  <c r="X210" i="33"/>
  <c r="V210" i="33"/>
  <c r="T210" i="33"/>
  <c r="R210" i="33"/>
  <c r="P210" i="33"/>
  <c r="N210" i="33"/>
  <c r="L210" i="33"/>
  <c r="J210" i="33"/>
  <c r="H210" i="33"/>
  <c r="F210" i="33"/>
  <c r="D210" i="33"/>
  <c r="AA209" i="33"/>
  <c r="Z209" i="33"/>
  <c r="X209" i="33"/>
  <c r="V209" i="33"/>
  <c r="T209" i="33"/>
  <c r="R209" i="33"/>
  <c r="P209" i="33"/>
  <c r="N209" i="33"/>
  <c r="L209" i="33"/>
  <c r="J209" i="33"/>
  <c r="H209" i="33"/>
  <c r="F209" i="33"/>
  <c r="D209" i="33"/>
  <c r="Z204" i="33"/>
  <c r="X204" i="33"/>
  <c r="V204" i="33"/>
  <c r="T204" i="33"/>
  <c r="R204" i="33"/>
  <c r="P204" i="33"/>
  <c r="N204" i="33"/>
  <c r="L204" i="33"/>
  <c r="J204" i="33"/>
  <c r="H204" i="33"/>
  <c r="F204" i="33"/>
  <c r="D204" i="33"/>
  <c r="Z203" i="33"/>
  <c r="X203" i="33"/>
  <c r="V203" i="33"/>
  <c r="T203" i="33"/>
  <c r="R203" i="33"/>
  <c r="P203" i="33"/>
  <c r="N203" i="33"/>
  <c r="L203" i="33"/>
  <c r="J203" i="33"/>
  <c r="H203" i="33"/>
  <c r="F203" i="33"/>
  <c r="D203" i="33"/>
  <c r="Z202" i="33"/>
  <c r="X202" i="33"/>
  <c r="V202" i="33"/>
  <c r="T202" i="33"/>
  <c r="R202" i="33"/>
  <c r="P202" i="33"/>
  <c r="N202" i="33"/>
  <c r="L202" i="33"/>
  <c r="J202" i="33"/>
  <c r="H202" i="33"/>
  <c r="F202" i="33"/>
  <c r="D202" i="33"/>
  <c r="Z201" i="33"/>
  <c r="X201" i="33"/>
  <c r="V201" i="33"/>
  <c r="T201" i="33"/>
  <c r="R201" i="33"/>
  <c r="P201" i="33"/>
  <c r="N201" i="33"/>
  <c r="L201" i="33"/>
  <c r="J201" i="33"/>
  <c r="H201" i="33"/>
  <c r="F201" i="33"/>
  <c r="D201" i="33"/>
  <c r="Z200" i="33"/>
  <c r="X200" i="33"/>
  <c r="V200" i="33"/>
  <c r="T200" i="33"/>
  <c r="R200" i="33"/>
  <c r="P200" i="33"/>
  <c r="N200" i="33"/>
  <c r="L200" i="33"/>
  <c r="J200" i="33"/>
  <c r="H200" i="33"/>
  <c r="F200" i="33"/>
  <c r="D200" i="33"/>
  <c r="Z199" i="33"/>
  <c r="X199" i="33"/>
  <c r="V199" i="33"/>
  <c r="T199" i="33"/>
  <c r="R199" i="33"/>
  <c r="P199" i="33"/>
  <c r="N199" i="33"/>
  <c r="L199" i="33"/>
  <c r="J199" i="33"/>
  <c r="H199" i="33"/>
  <c r="F199" i="33"/>
  <c r="D199" i="33"/>
  <c r="Z198" i="33"/>
  <c r="X198" i="33"/>
  <c r="V198" i="33"/>
  <c r="T198" i="33"/>
  <c r="R198" i="33"/>
  <c r="P198" i="33"/>
  <c r="N198" i="33"/>
  <c r="L198" i="33"/>
  <c r="J198" i="33"/>
  <c r="H198" i="33"/>
  <c r="F198" i="33"/>
  <c r="D198" i="33"/>
  <c r="AA197" i="33"/>
  <c r="Z197" i="33"/>
  <c r="X197" i="33"/>
  <c r="V197" i="33"/>
  <c r="T197" i="33"/>
  <c r="R197" i="33"/>
  <c r="P197" i="33"/>
  <c r="N197" i="33"/>
  <c r="L197" i="33"/>
  <c r="J197" i="33"/>
  <c r="H197" i="33"/>
  <c r="F197" i="33"/>
  <c r="D197" i="33"/>
  <c r="AA196" i="33"/>
  <c r="Z196" i="33"/>
  <c r="X196" i="33"/>
  <c r="V196" i="33"/>
  <c r="T196" i="33"/>
  <c r="R196" i="33"/>
  <c r="P196" i="33"/>
  <c r="N196" i="33"/>
  <c r="L196" i="33"/>
  <c r="J196" i="33"/>
  <c r="H196" i="33"/>
  <c r="F196" i="33"/>
  <c r="D196" i="33"/>
  <c r="AA195" i="33"/>
  <c r="Z195" i="33"/>
  <c r="X195" i="33"/>
  <c r="V195" i="33"/>
  <c r="T195" i="33"/>
  <c r="R195" i="33"/>
  <c r="P195" i="33"/>
  <c r="N195" i="33"/>
  <c r="L195" i="33"/>
  <c r="J195" i="33"/>
  <c r="H195" i="33"/>
  <c r="F195" i="33"/>
  <c r="D195" i="33"/>
  <c r="AA193" i="33"/>
  <c r="Z193" i="33"/>
  <c r="X193" i="33"/>
  <c r="V193" i="33"/>
  <c r="T193" i="33"/>
  <c r="R193" i="33"/>
  <c r="P193" i="33"/>
  <c r="N193" i="33"/>
  <c r="L193" i="33"/>
  <c r="J193" i="33"/>
  <c r="H193" i="33"/>
  <c r="F193" i="33"/>
  <c r="D193" i="33"/>
  <c r="AA192" i="33"/>
  <c r="Z192" i="33"/>
  <c r="X192" i="33"/>
  <c r="V192" i="33"/>
  <c r="T192" i="33"/>
  <c r="R192" i="33"/>
  <c r="P192" i="33"/>
  <c r="N192" i="33"/>
  <c r="L192" i="33"/>
  <c r="J192" i="33"/>
  <c r="H192" i="33"/>
  <c r="F192" i="33"/>
  <c r="D192" i="33"/>
  <c r="AA191" i="33"/>
  <c r="AD191" i="33" s="1"/>
  <c r="Z191" i="33"/>
  <c r="X191" i="33"/>
  <c r="V191" i="33"/>
  <c r="T191" i="33"/>
  <c r="R191" i="33"/>
  <c r="P191" i="33"/>
  <c r="N191" i="33"/>
  <c r="L191" i="33"/>
  <c r="J191" i="33"/>
  <c r="H191" i="33"/>
  <c r="F191" i="33"/>
  <c r="D191" i="33"/>
  <c r="AA190" i="33"/>
  <c r="Z190" i="33"/>
  <c r="X190" i="33"/>
  <c r="V190" i="33"/>
  <c r="T190" i="33"/>
  <c r="R190" i="33"/>
  <c r="P190" i="33"/>
  <c r="N190" i="33"/>
  <c r="L190" i="33"/>
  <c r="J190" i="33"/>
  <c r="H190" i="33"/>
  <c r="F190" i="33"/>
  <c r="D190" i="33"/>
  <c r="AA189" i="33"/>
  <c r="Z189" i="33"/>
  <c r="X189" i="33"/>
  <c r="V189" i="33"/>
  <c r="T189" i="33"/>
  <c r="R189" i="33"/>
  <c r="P189" i="33"/>
  <c r="N189" i="33"/>
  <c r="L189" i="33"/>
  <c r="J189" i="33"/>
  <c r="H189" i="33"/>
  <c r="F189" i="33"/>
  <c r="D189" i="33"/>
  <c r="AA188" i="33"/>
  <c r="Z188" i="33"/>
  <c r="X188" i="33"/>
  <c r="V188" i="33"/>
  <c r="T188" i="33"/>
  <c r="R188" i="33"/>
  <c r="P188" i="33"/>
  <c r="N188" i="33"/>
  <c r="L188" i="33"/>
  <c r="J188" i="33"/>
  <c r="H188" i="33"/>
  <c r="F188" i="33"/>
  <c r="D188" i="33"/>
  <c r="AA187" i="33"/>
  <c r="AD187" i="33" s="1"/>
  <c r="Z187" i="33"/>
  <c r="X187" i="33"/>
  <c r="V187" i="33"/>
  <c r="T187" i="33"/>
  <c r="R187" i="33"/>
  <c r="P187" i="33"/>
  <c r="N187" i="33"/>
  <c r="L187" i="33"/>
  <c r="J187" i="33"/>
  <c r="H187" i="33"/>
  <c r="F187" i="33"/>
  <c r="D187" i="33"/>
  <c r="AA185" i="33"/>
  <c r="Z185" i="33"/>
  <c r="X185" i="33"/>
  <c r="V185" i="33"/>
  <c r="T185" i="33"/>
  <c r="R185" i="33"/>
  <c r="P185" i="33"/>
  <c r="N185" i="33"/>
  <c r="L185" i="33"/>
  <c r="J185" i="33"/>
  <c r="H185" i="33"/>
  <c r="F185" i="33"/>
  <c r="D185" i="33"/>
  <c r="AA184" i="33"/>
  <c r="Z184" i="33"/>
  <c r="X184" i="33"/>
  <c r="V184" i="33"/>
  <c r="T184" i="33"/>
  <c r="R184" i="33"/>
  <c r="P184" i="33"/>
  <c r="N184" i="33"/>
  <c r="L184" i="33"/>
  <c r="J184" i="33"/>
  <c r="H184" i="33"/>
  <c r="F184" i="33"/>
  <c r="D184" i="33"/>
  <c r="AA183" i="33"/>
  <c r="Z183" i="33"/>
  <c r="X183" i="33"/>
  <c r="V183" i="33"/>
  <c r="T183" i="33"/>
  <c r="R183" i="33"/>
  <c r="P183" i="33"/>
  <c r="N183" i="33"/>
  <c r="L183" i="33"/>
  <c r="J183" i="33"/>
  <c r="H183" i="33"/>
  <c r="F183" i="33"/>
  <c r="D183" i="33"/>
  <c r="AA182" i="33"/>
  <c r="Z182" i="33"/>
  <c r="X182" i="33"/>
  <c r="V182" i="33"/>
  <c r="T182" i="33"/>
  <c r="R182" i="33"/>
  <c r="P182" i="33"/>
  <c r="N182" i="33"/>
  <c r="L182" i="33"/>
  <c r="J182" i="33"/>
  <c r="H182" i="33"/>
  <c r="F182" i="33"/>
  <c r="D182" i="33"/>
  <c r="AA181" i="33"/>
  <c r="Z181" i="33"/>
  <c r="X181" i="33"/>
  <c r="V181" i="33"/>
  <c r="T181" i="33"/>
  <c r="R181" i="33"/>
  <c r="P181" i="33"/>
  <c r="N181" i="33"/>
  <c r="L181" i="33"/>
  <c r="J181" i="33"/>
  <c r="H181" i="33"/>
  <c r="F181" i="33"/>
  <c r="D181" i="33"/>
  <c r="AA179" i="33"/>
  <c r="Z179" i="33"/>
  <c r="X179" i="33"/>
  <c r="V179" i="33"/>
  <c r="T179" i="33"/>
  <c r="R179" i="33"/>
  <c r="P179" i="33"/>
  <c r="N179" i="33"/>
  <c r="L179" i="33"/>
  <c r="J179" i="33"/>
  <c r="H179" i="33"/>
  <c r="F179" i="33"/>
  <c r="D179" i="33"/>
  <c r="Z178" i="33"/>
  <c r="X178" i="33"/>
  <c r="V178" i="33"/>
  <c r="T178" i="33"/>
  <c r="R178" i="33"/>
  <c r="P178" i="33"/>
  <c r="N178" i="33"/>
  <c r="L178" i="33"/>
  <c r="J178" i="33"/>
  <c r="H178" i="33"/>
  <c r="F178" i="33"/>
  <c r="D178" i="33"/>
  <c r="AA177" i="33"/>
  <c r="Z177" i="33"/>
  <c r="X177" i="33"/>
  <c r="V177" i="33"/>
  <c r="T177" i="33"/>
  <c r="R177" i="33"/>
  <c r="P177" i="33"/>
  <c r="N177" i="33"/>
  <c r="L177" i="33"/>
  <c r="J177" i="33"/>
  <c r="H177" i="33"/>
  <c r="F177" i="33"/>
  <c r="D177" i="33"/>
  <c r="AA176" i="33"/>
  <c r="Z176" i="33"/>
  <c r="X176" i="33"/>
  <c r="V176" i="33"/>
  <c r="T176" i="33"/>
  <c r="R176" i="33"/>
  <c r="P176" i="33"/>
  <c r="N176" i="33"/>
  <c r="L176" i="33"/>
  <c r="J176" i="33"/>
  <c r="H176" i="33"/>
  <c r="F176" i="33"/>
  <c r="D176" i="33"/>
  <c r="Z171" i="33"/>
  <c r="X171" i="33"/>
  <c r="V171" i="33"/>
  <c r="T171" i="33"/>
  <c r="R171" i="33"/>
  <c r="P171" i="33"/>
  <c r="N171" i="33"/>
  <c r="L171" i="33"/>
  <c r="J171" i="33"/>
  <c r="H171" i="33"/>
  <c r="F171" i="33"/>
  <c r="D171" i="33"/>
  <c r="Z170" i="33"/>
  <c r="X170" i="33"/>
  <c r="V170" i="33"/>
  <c r="T170" i="33"/>
  <c r="R170" i="33"/>
  <c r="P170" i="33"/>
  <c r="N170" i="33"/>
  <c r="L170" i="33"/>
  <c r="J170" i="33"/>
  <c r="H170" i="33"/>
  <c r="F170" i="33"/>
  <c r="D170" i="33"/>
  <c r="Z169" i="33"/>
  <c r="X169" i="33"/>
  <c r="V169" i="33"/>
  <c r="T169" i="33"/>
  <c r="R169" i="33"/>
  <c r="P169" i="33"/>
  <c r="N169" i="33"/>
  <c r="L169" i="33"/>
  <c r="J169" i="33"/>
  <c r="H169" i="33"/>
  <c r="F169" i="33"/>
  <c r="D169" i="33"/>
  <c r="Z168" i="33"/>
  <c r="X168" i="33"/>
  <c r="V168" i="33"/>
  <c r="T168" i="33"/>
  <c r="R168" i="33"/>
  <c r="P168" i="33"/>
  <c r="N168" i="33"/>
  <c r="L168" i="33"/>
  <c r="J168" i="33"/>
  <c r="H168" i="33"/>
  <c r="F168" i="33"/>
  <c r="D168" i="33"/>
  <c r="Z167" i="33"/>
  <c r="X167" i="33"/>
  <c r="V167" i="33"/>
  <c r="T167" i="33"/>
  <c r="R167" i="33"/>
  <c r="P167" i="33"/>
  <c r="N167" i="33"/>
  <c r="L167" i="33"/>
  <c r="J167" i="33"/>
  <c r="H167" i="33"/>
  <c r="F167" i="33"/>
  <c r="D167" i="33"/>
  <c r="Z166" i="33"/>
  <c r="X166" i="33"/>
  <c r="V166" i="33"/>
  <c r="T166" i="33"/>
  <c r="R166" i="33"/>
  <c r="P166" i="33"/>
  <c r="N166" i="33"/>
  <c r="L166" i="33"/>
  <c r="J166" i="33"/>
  <c r="H166" i="33"/>
  <c r="F166" i="33"/>
  <c r="D166" i="33"/>
  <c r="AA165" i="33"/>
  <c r="Z165" i="33"/>
  <c r="X165" i="33"/>
  <c r="V165" i="33"/>
  <c r="T165" i="33"/>
  <c r="R165" i="33"/>
  <c r="P165" i="33"/>
  <c r="N165" i="33"/>
  <c r="L165" i="33"/>
  <c r="J165" i="33"/>
  <c r="H165" i="33"/>
  <c r="F165" i="33"/>
  <c r="D165" i="33"/>
  <c r="AA164" i="33"/>
  <c r="Z164" i="33"/>
  <c r="X164" i="33"/>
  <c r="V164" i="33"/>
  <c r="T164" i="33"/>
  <c r="R164" i="33"/>
  <c r="P164" i="33"/>
  <c r="N164" i="33"/>
  <c r="L164" i="33"/>
  <c r="J164" i="33"/>
  <c r="H164" i="33"/>
  <c r="F164" i="33"/>
  <c r="D164" i="33"/>
  <c r="AA163" i="33"/>
  <c r="Z163" i="33"/>
  <c r="X163" i="33"/>
  <c r="V163" i="33"/>
  <c r="T163" i="33"/>
  <c r="R163" i="33"/>
  <c r="P163" i="33"/>
  <c r="N163" i="33"/>
  <c r="L163" i="33"/>
  <c r="J163" i="33"/>
  <c r="H163" i="33"/>
  <c r="F163" i="33"/>
  <c r="D163" i="33"/>
  <c r="AA162" i="33"/>
  <c r="Z162" i="33"/>
  <c r="X162" i="33"/>
  <c r="V162" i="33"/>
  <c r="T162" i="33"/>
  <c r="R162" i="33"/>
  <c r="P162" i="33"/>
  <c r="N162" i="33"/>
  <c r="L162" i="33"/>
  <c r="J162" i="33"/>
  <c r="H162" i="33"/>
  <c r="F162" i="33"/>
  <c r="D162" i="33"/>
  <c r="AA160" i="33"/>
  <c r="Z160" i="33"/>
  <c r="X160" i="33"/>
  <c r="V160" i="33"/>
  <c r="T160" i="33"/>
  <c r="R160" i="33"/>
  <c r="P160" i="33"/>
  <c r="N160" i="33"/>
  <c r="L160" i="33"/>
  <c r="J160" i="33"/>
  <c r="H160" i="33"/>
  <c r="F160" i="33"/>
  <c r="D160" i="33"/>
  <c r="AA159" i="33"/>
  <c r="Z159" i="33"/>
  <c r="X159" i="33"/>
  <c r="V159" i="33"/>
  <c r="T159" i="33"/>
  <c r="R159" i="33"/>
  <c r="P159" i="33"/>
  <c r="N159" i="33"/>
  <c r="L159" i="33"/>
  <c r="J159" i="33"/>
  <c r="H159" i="33"/>
  <c r="F159" i="33"/>
  <c r="D159" i="33"/>
  <c r="AA157" i="33"/>
  <c r="Z157" i="33"/>
  <c r="X157" i="33"/>
  <c r="V157" i="33"/>
  <c r="T157" i="33"/>
  <c r="R157" i="33"/>
  <c r="P157" i="33"/>
  <c r="N157" i="33"/>
  <c r="L157" i="33"/>
  <c r="J157" i="33"/>
  <c r="H157" i="33"/>
  <c r="F157" i="33"/>
  <c r="D157" i="33"/>
  <c r="AA156" i="33"/>
  <c r="Z156" i="33"/>
  <c r="X156" i="33"/>
  <c r="V156" i="33"/>
  <c r="T156" i="33"/>
  <c r="R156" i="33"/>
  <c r="P156" i="33"/>
  <c r="N156" i="33"/>
  <c r="L156" i="33"/>
  <c r="J156" i="33"/>
  <c r="H156" i="33"/>
  <c r="F156" i="33"/>
  <c r="D156" i="33"/>
  <c r="AA155" i="33"/>
  <c r="Z155" i="33"/>
  <c r="X155" i="33"/>
  <c r="V155" i="33"/>
  <c r="T155" i="33"/>
  <c r="R155" i="33"/>
  <c r="P155" i="33"/>
  <c r="N155" i="33"/>
  <c r="L155" i="33"/>
  <c r="J155" i="33"/>
  <c r="H155" i="33"/>
  <c r="F155" i="33"/>
  <c r="D155" i="33"/>
  <c r="AA152" i="33"/>
  <c r="Z152" i="33"/>
  <c r="X152" i="33"/>
  <c r="V152" i="33"/>
  <c r="T152" i="33"/>
  <c r="R152" i="33"/>
  <c r="P152" i="33"/>
  <c r="N152" i="33"/>
  <c r="L152" i="33"/>
  <c r="J152" i="33"/>
  <c r="H152" i="33"/>
  <c r="F152" i="33"/>
  <c r="D152" i="33"/>
  <c r="AA151" i="33"/>
  <c r="Z151" i="33"/>
  <c r="X151" i="33"/>
  <c r="V151" i="33"/>
  <c r="T151" i="33"/>
  <c r="R151" i="33"/>
  <c r="P151" i="33"/>
  <c r="N151" i="33"/>
  <c r="L151" i="33"/>
  <c r="J151" i="33"/>
  <c r="H151" i="33"/>
  <c r="F151" i="33"/>
  <c r="D151" i="33"/>
  <c r="AA150" i="33"/>
  <c r="Z150" i="33"/>
  <c r="X150" i="33"/>
  <c r="V150" i="33"/>
  <c r="T150" i="33"/>
  <c r="R150" i="33"/>
  <c r="P150" i="33"/>
  <c r="N150" i="33"/>
  <c r="L150" i="33"/>
  <c r="J150" i="33"/>
  <c r="H150" i="33"/>
  <c r="F150" i="33"/>
  <c r="D150" i="33"/>
  <c r="AA149" i="33"/>
  <c r="Z149" i="33"/>
  <c r="X149" i="33"/>
  <c r="V149" i="33"/>
  <c r="T149" i="33"/>
  <c r="R149" i="33"/>
  <c r="P149" i="33"/>
  <c r="N149" i="33"/>
  <c r="L149" i="33"/>
  <c r="J149" i="33"/>
  <c r="H149" i="33"/>
  <c r="F149" i="33"/>
  <c r="D149" i="33"/>
  <c r="AA148" i="33"/>
  <c r="Z148" i="33"/>
  <c r="X148" i="33"/>
  <c r="V148" i="33"/>
  <c r="T148" i="33"/>
  <c r="R148" i="33"/>
  <c r="P148" i="33"/>
  <c r="N148" i="33"/>
  <c r="L148" i="33"/>
  <c r="J148" i="33"/>
  <c r="H148" i="33"/>
  <c r="F148" i="33"/>
  <c r="D148" i="33"/>
  <c r="AA146" i="33"/>
  <c r="Z146" i="33"/>
  <c r="X146" i="33"/>
  <c r="V146" i="33"/>
  <c r="T146" i="33"/>
  <c r="R146" i="33"/>
  <c r="P146" i="33"/>
  <c r="N146" i="33"/>
  <c r="L146" i="33"/>
  <c r="J146" i="33"/>
  <c r="H146" i="33"/>
  <c r="F146" i="33"/>
  <c r="D146" i="33"/>
  <c r="Z145" i="33"/>
  <c r="X145" i="33"/>
  <c r="V145" i="33"/>
  <c r="T145" i="33"/>
  <c r="R145" i="33"/>
  <c r="P145" i="33"/>
  <c r="N145" i="33"/>
  <c r="L145" i="33"/>
  <c r="J145" i="33"/>
  <c r="H145" i="33"/>
  <c r="F145" i="33"/>
  <c r="D145" i="33"/>
  <c r="AA144" i="33"/>
  <c r="Z144" i="33"/>
  <c r="X144" i="33"/>
  <c r="V144" i="33"/>
  <c r="T144" i="33"/>
  <c r="R144" i="33"/>
  <c r="P144" i="33"/>
  <c r="N144" i="33"/>
  <c r="L144" i="33"/>
  <c r="J144" i="33"/>
  <c r="H144" i="33"/>
  <c r="F144" i="33"/>
  <c r="D144" i="33"/>
  <c r="AA143" i="33"/>
  <c r="Z143" i="33"/>
  <c r="X143" i="33"/>
  <c r="V143" i="33"/>
  <c r="T143" i="33"/>
  <c r="R143" i="33"/>
  <c r="P143" i="33"/>
  <c r="N143" i="33"/>
  <c r="L143" i="33"/>
  <c r="J143" i="33"/>
  <c r="H143" i="33"/>
  <c r="F143" i="33"/>
  <c r="D143" i="33"/>
  <c r="Z138" i="33"/>
  <c r="X138" i="33"/>
  <c r="V138" i="33"/>
  <c r="T138" i="33"/>
  <c r="R138" i="33"/>
  <c r="P138" i="33"/>
  <c r="N138" i="33"/>
  <c r="L138" i="33"/>
  <c r="J138" i="33"/>
  <c r="H138" i="33"/>
  <c r="F138" i="33"/>
  <c r="D138" i="33"/>
  <c r="Z137" i="33"/>
  <c r="X137" i="33"/>
  <c r="V137" i="33"/>
  <c r="T137" i="33"/>
  <c r="R137" i="33"/>
  <c r="P137" i="33"/>
  <c r="N137" i="33"/>
  <c r="L137" i="33"/>
  <c r="J137" i="33"/>
  <c r="H137" i="33"/>
  <c r="F137" i="33"/>
  <c r="D137" i="33"/>
  <c r="Z136" i="33"/>
  <c r="X136" i="33"/>
  <c r="V136" i="33"/>
  <c r="T136" i="33"/>
  <c r="R136" i="33"/>
  <c r="P136" i="33"/>
  <c r="N136" i="33"/>
  <c r="L136" i="33"/>
  <c r="J136" i="33"/>
  <c r="H136" i="33"/>
  <c r="F136" i="33"/>
  <c r="D136" i="33"/>
  <c r="Z135" i="33"/>
  <c r="X135" i="33"/>
  <c r="V135" i="33"/>
  <c r="T135" i="33"/>
  <c r="R135" i="33"/>
  <c r="P135" i="33"/>
  <c r="N135" i="33"/>
  <c r="L135" i="33"/>
  <c r="J135" i="33"/>
  <c r="H135" i="33"/>
  <c r="F135" i="33"/>
  <c r="D135" i="33"/>
  <c r="Z134" i="33"/>
  <c r="X134" i="33"/>
  <c r="V134" i="33"/>
  <c r="T134" i="33"/>
  <c r="R134" i="33"/>
  <c r="P134" i="33"/>
  <c r="N134" i="33"/>
  <c r="L134" i="33"/>
  <c r="J134" i="33"/>
  <c r="H134" i="33"/>
  <c r="F134" i="33"/>
  <c r="D134" i="33"/>
  <c r="Z133" i="33"/>
  <c r="X133" i="33"/>
  <c r="V133" i="33"/>
  <c r="T133" i="33"/>
  <c r="R133" i="33"/>
  <c r="P133" i="33"/>
  <c r="N133" i="33"/>
  <c r="L133" i="33"/>
  <c r="J133" i="33"/>
  <c r="H133" i="33"/>
  <c r="F133" i="33"/>
  <c r="D133" i="33"/>
  <c r="AA132" i="33"/>
  <c r="Z132" i="33"/>
  <c r="X132" i="33"/>
  <c r="V132" i="33"/>
  <c r="T132" i="33"/>
  <c r="R132" i="33"/>
  <c r="P132" i="33"/>
  <c r="N132" i="33"/>
  <c r="L132" i="33"/>
  <c r="J132" i="33"/>
  <c r="H132" i="33"/>
  <c r="F132" i="33"/>
  <c r="D132" i="33"/>
  <c r="AA131" i="33"/>
  <c r="Z131" i="33"/>
  <c r="X131" i="33"/>
  <c r="V131" i="33"/>
  <c r="T131" i="33"/>
  <c r="R131" i="33"/>
  <c r="P131" i="33"/>
  <c r="N131" i="33"/>
  <c r="L131" i="33"/>
  <c r="J131" i="33"/>
  <c r="H131" i="33"/>
  <c r="F131" i="33"/>
  <c r="D131" i="33"/>
  <c r="AA130" i="33"/>
  <c r="Z130" i="33"/>
  <c r="X130" i="33"/>
  <c r="V130" i="33"/>
  <c r="T130" i="33"/>
  <c r="R130" i="33"/>
  <c r="P130" i="33"/>
  <c r="N130" i="33"/>
  <c r="L130" i="33"/>
  <c r="J130" i="33"/>
  <c r="H130" i="33"/>
  <c r="F130" i="33"/>
  <c r="D130" i="33"/>
  <c r="AA129" i="33"/>
  <c r="Z129" i="33"/>
  <c r="X129" i="33"/>
  <c r="V129" i="33"/>
  <c r="T129" i="33"/>
  <c r="R129" i="33"/>
  <c r="P129" i="33"/>
  <c r="N129" i="33"/>
  <c r="L129" i="33"/>
  <c r="J129" i="33"/>
  <c r="H129" i="33"/>
  <c r="F129" i="33"/>
  <c r="D129" i="33"/>
  <c r="AA127" i="33"/>
  <c r="Z127" i="33"/>
  <c r="X127" i="33"/>
  <c r="V127" i="33"/>
  <c r="T127" i="33"/>
  <c r="R127" i="33"/>
  <c r="P127" i="33"/>
  <c r="N127" i="33"/>
  <c r="L127" i="33"/>
  <c r="J127" i="33"/>
  <c r="H127" i="33"/>
  <c r="F127" i="33"/>
  <c r="D127" i="33"/>
  <c r="AA126" i="33"/>
  <c r="Z126" i="33"/>
  <c r="X126" i="33"/>
  <c r="V126" i="33"/>
  <c r="T126" i="33"/>
  <c r="R126" i="33"/>
  <c r="P126" i="33"/>
  <c r="N126" i="33"/>
  <c r="L126" i="33"/>
  <c r="J126" i="33"/>
  <c r="H126" i="33"/>
  <c r="F126" i="33"/>
  <c r="D126" i="33"/>
  <c r="AA124" i="33"/>
  <c r="Z124" i="33"/>
  <c r="X124" i="33"/>
  <c r="V124" i="33"/>
  <c r="T124" i="33"/>
  <c r="R124" i="33"/>
  <c r="P124" i="33"/>
  <c r="N124" i="33"/>
  <c r="L124" i="33"/>
  <c r="J124" i="33"/>
  <c r="H124" i="33"/>
  <c r="F124" i="33"/>
  <c r="D124" i="33"/>
  <c r="AA123" i="33"/>
  <c r="Z123" i="33"/>
  <c r="X123" i="33"/>
  <c r="V123" i="33"/>
  <c r="T123" i="33"/>
  <c r="R123" i="33"/>
  <c r="P123" i="33"/>
  <c r="N123" i="33"/>
  <c r="L123" i="33"/>
  <c r="J123" i="33"/>
  <c r="H123" i="33"/>
  <c r="F123" i="33"/>
  <c r="D123" i="33"/>
  <c r="AA122" i="33"/>
  <c r="Z122" i="33"/>
  <c r="X122" i="33"/>
  <c r="V122" i="33"/>
  <c r="T122" i="33"/>
  <c r="R122" i="33"/>
  <c r="P122" i="33"/>
  <c r="N122" i="33"/>
  <c r="L122" i="33"/>
  <c r="J122" i="33"/>
  <c r="H122" i="33"/>
  <c r="F122" i="33"/>
  <c r="D122" i="33"/>
  <c r="AA121" i="33"/>
  <c r="AD121" i="33" s="1"/>
  <c r="Z121" i="33"/>
  <c r="X121" i="33"/>
  <c r="V121" i="33"/>
  <c r="T121" i="33"/>
  <c r="R121" i="33"/>
  <c r="P121" i="33"/>
  <c r="N121" i="33"/>
  <c r="L121" i="33"/>
  <c r="J121" i="33"/>
  <c r="H121" i="33"/>
  <c r="F121" i="33"/>
  <c r="D121" i="33"/>
  <c r="AA119" i="33"/>
  <c r="Z119" i="33"/>
  <c r="X119" i="33"/>
  <c r="V119" i="33"/>
  <c r="T119" i="33"/>
  <c r="R119" i="33"/>
  <c r="P119" i="33"/>
  <c r="N119" i="33"/>
  <c r="L119" i="33"/>
  <c r="J119" i="33"/>
  <c r="H119" i="33"/>
  <c r="F119" i="33"/>
  <c r="D119" i="33"/>
  <c r="AA118" i="33"/>
  <c r="Z118" i="33"/>
  <c r="X118" i="33"/>
  <c r="V118" i="33"/>
  <c r="T118" i="33"/>
  <c r="R118" i="33"/>
  <c r="P118" i="33"/>
  <c r="N118" i="33"/>
  <c r="L118" i="33"/>
  <c r="J118" i="33"/>
  <c r="H118" i="33"/>
  <c r="F118" i="33"/>
  <c r="D118" i="33"/>
  <c r="AA117" i="33"/>
  <c r="Z117" i="33"/>
  <c r="X117" i="33"/>
  <c r="V117" i="33"/>
  <c r="T117" i="33"/>
  <c r="R117" i="33"/>
  <c r="P117" i="33"/>
  <c r="N117" i="33"/>
  <c r="L117" i="33"/>
  <c r="J117" i="33"/>
  <c r="H117" i="33"/>
  <c r="F117" i="33"/>
  <c r="D117" i="33"/>
  <c r="AA116" i="33"/>
  <c r="Z116" i="33"/>
  <c r="X116" i="33"/>
  <c r="V116" i="33"/>
  <c r="T116" i="33"/>
  <c r="R116" i="33"/>
  <c r="P116" i="33"/>
  <c r="N116" i="33"/>
  <c r="L116" i="33"/>
  <c r="J116" i="33"/>
  <c r="H116" i="33"/>
  <c r="F116" i="33"/>
  <c r="D116" i="33"/>
  <c r="AA115" i="33"/>
  <c r="Z115" i="33"/>
  <c r="X115" i="33"/>
  <c r="V115" i="33"/>
  <c r="T115" i="33"/>
  <c r="R115" i="33"/>
  <c r="P115" i="33"/>
  <c r="N115" i="33"/>
  <c r="L115" i="33"/>
  <c r="J115" i="33"/>
  <c r="H115" i="33"/>
  <c r="F115" i="33"/>
  <c r="D115" i="33"/>
  <c r="AA113" i="33"/>
  <c r="Z113" i="33"/>
  <c r="X113" i="33"/>
  <c r="V113" i="33"/>
  <c r="T113" i="33"/>
  <c r="R113" i="33"/>
  <c r="P113" i="33"/>
  <c r="N113" i="33"/>
  <c r="L113" i="33"/>
  <c r="J113" i="33"/>
  <c r="H113" i="33"/>
  <c r="F113" i="33"/>
  <c r="D113" i="33"/>
  <c r="Z112" i="33"/>
  <c r="X112" i="33"/>
  <c r="V112" i="33"/>
  <c r="T112" i="33"/>
  <c r="R112" i="33"/>
  <c r="P112" i="33"/>
  <c r="N112" i="33"/>
  <c r="L112" i="33"/>
  <c r="J112" i="33"/>
  <c r="H112" i="33"/>
  <c r="F112" i="33"/>
  <c r="D112" i="33"/>
  <c r="AA111" i="33"/>
  <c r="Z111" i="33"/>
  <c r="X111" i="33"/>
  <c r="V111" i="33"/>
  <c r="T111" i="33"/>
  <c r="R111" i="33"/>
  <c r="P111" i="33"/>
  <c r="N111" i="33"/>
  <c r="L111" i="33"/>
  <c r="J111" i="33"/>
  <c r="H111" i="33"/>
  <c r="F111" i="33"/>
  <c r="D111" i="33"/>
  <c r="AA110" i="33"/>
  <c r="Z110" i="33"/>
  <c r="X110" i="33"/>
  <c r="V110" i="33"/>
  <c r="T110" i="33"/>
  <c r="R110" i="33"/>
  <c r="P110" i="33"/>
  <c r="N110" i="33"/>
  <c r="L110" i="33"/>
  <c r="J110" i="33"/>
  <c r="H110" i="33"/>
  <c r="F110" i="33"/>
  <c r="D110" i="33"/>
  <c r="Z105" i="33"/>
  <c r="X105" i="33"/>
  <c r="V105" i="33"/>
  <c r="T105" i="33"/>
  <c r="R105" i="33"/>
  <c r="P105" i="33"/>
  <c r="N105" i="33"/>
  <c r="L105" i="33"/>
  <c r="J105" i="33"/>
  <c r="H105" i="33"/>
  <c r="F105" i="33"/>
  <c r="D105" i="33"/>
  <c r="Z104" i="33"/>
  <c r="X104" i="33"/>
  <c r="V104" i="33"/>
  <c r="T104" i="33"/>
  <c r="R104" i="33"/>
  <c r="P104" i="33"/>
  <c r="N104" i="33"/>
  <c r="L104" i="33"/>
  <c r="J104" i="33"/>
  <c r="H104" i="33"/>
  <c r="F104" i="33"/>
  <c r="D104" i="33"/>
  <c r="Z103" i="33"/>
  <c r="X103" i="33"/>
  <c r="V103" i="33"/>
  <c r="T103" i="33"/>
  <c r="R103" i="33"/>
  <c r="P103" i="33"/>
  <c r="N103" i="33"/>
  <c r="L103" i="33"/>
  <c r="J103" i="33"/>
  <c r="H103" i="33"/>
  <c r="F103" i="33"/>
  <c r="D103" i="33"/>
  <c r="Z102" i="33"/>
  <c r="X102" i="33"/>
  <c r="V102" i="33"/>
  <c r="T102" i="33"/>
  <c r="R102" i="33"/>
  <c r="P102" i="33"/>
  <c r="N102" i="33"/>
  <c r="L102" i="33"/>
  <c r="J102" i="33"/>
  <c r="H102" i="33"/>
  <c r="F102" i="33"/>
  <c r="D102" i="33"/>
  <c r="Z101" i="33"/>
  <c r="X101" i="33"/>
  <c r="V101" i="33"/>
  <c r="T101" i="33"/>
  <c r="R101" i="33"/>
  <c r="P101" i="33"/>
  <c r="N101" i="33"/>
  <c r="L101" i="33"/>
  <c r="J101" i="33"/>
  <c r="H101" i="33"/>
  <c r="F101" i="33"/>
  <c r="D101" i="33"/>
  <c r="Z100" i="33"/>
  <c r="X100" i="33"/>
  <c r="V100" i="33"/>
  <c r="T100" i="33"/>
  <c r="R100" i="33"/>
  <c r="P100" i="33"/>
  <c r="N100" i="33"/>
  <c r="L100" i="33"/>
  <c r="J100" i="33"/>
  <c r="H100" i="33"/>
  <c r="F100" i="33"/>
  <c r="D100" i="33"/>
  <c r="Z99" i="33"/>
  <c r="X99" i="33"/>
  <c r="V99" i="33"/>
  <c r="T99" i="33"/>
  <c r="R99" i="33"/>
  <c r="P99" i="33"/>
  <c r="N99" i="33"/>
  <c r="L99" i="33"/>
  <c r="J99" i="33"/>
  <c r="H99" i="33"/>
  <c r="F99" i="33"/>
  <c r="D99" i="33"/>
  <c r="Z98" i="33"/>
  <c r="X98" i="33"/>
  <c r="V98" i="33"/>
  <c r="T98" i="33"/>
  <c r="R98" i="33"/>
  <c r="P98" i="33"/>
  <c r="N98" i="33"/>
  <c r="L98" i="33"/>
  <c r="J98" i="33"/>
  <c r="H98" i="33"/>
  <c r="F98" i="33"/>
  <c r="D98" i="33"/>
  <c r="Z97" i="33"/>
  <c r="X97" i="33"/>
  <c r="V97" i="33"/>
  <c r="T97" i="33"/>
  <c r="R97" i="33"/>
  <c r="P97" i="33"/>
  <c r="N97" i="33"/>
  <c r="L97" i="33"/>
  <c r="J97" i="33"/>
  <c r="H97" i="33"/>
  <c r="F97" i="33"/>
  <c r="D97" i="33"/>
  <c r="AA96" i="33"/>
  <c r="Z96" i="33"/>
  <c r="X96" i="33"/>
  <c r="V96" i="33"/>
  <c r="T96" i="33"/>
  <c r="R96" i="33"/>
  <c r="P96" i="33"/>
  <c r="N96" i="33"/>
  <c r="L96" i="33"/>
  <c r="J96" i="33"/>
  <c r="H96" i="33"/>
  <c r="F96" i="33"/>
  <c r="D96" i="33"/>
  <c r="AA94" i="33"/>
  <c r="Z94" i="33"/>
  <c r="X94" i="33"/>
  <c r="V94" i="33"/>
  <c r="T94" i="33"/>
  <c r="R94" i="33"/>
  <c r="P94" i="33"/>
  <c r="N94" i="33"/>
  <c r="L94" i="33"/>
  <c r="J94" i="33"/>
  <c r="H94" i="33"/>
  <c r="F94" i="33"/>
  <c r="D94" i="33"/>
  <c r="AA93" i="33"/>
  <c r="Z93" i="33"/>
  <c r="X93" i="33"/>
  <c r="V93" i="33"/>
  <c r="T93" i="33"/>
  <c r="R93" i="33"/>
  <c r="P93" i="33"/>
  <c r="N93" i="33"/>
  <c r="L93" i="33"/>
  <c r="J93" i="33"/>
  <c r="H93" i="33"/>
  <c r="F93" i="33"/>
  <c r="D93" i="33"/>
  <c r="AA92" i="33"/>
  <c r="AD92" i="33" s="1"/>
  <c r="Z92" i="33"/>
  <c r="X92" i="33"/>
  <c r="V92" i="33"/>
  <c r="T92" i="33"/>
  <c r="R92" i="33"/>
  <c r="P92" i="33"/>
  <c r="N92" i="33"/>
  <c r="L92" i="33"/>
  <c r="J92" i="33"/>
  <c r="H92" i="33"/>
  <c r="F92" i="33"/>
  <c r="D92" i="33"/>
  <c r="AA91" i="33"/>
  <c r="Z91" i="33"/>
  <c r="X91" i="33"/>
  <c r="V91" i="33"/>
  <c r="T91" i="33"/>
  <c r="R91" i="33"/>
  <c r="P91" i="33"/>
  <c r="N91" i="33"/>
  <c r="L91" i="33"/>
  <c r="J91" i="33"/>
  <c r="H91" i="33"/>
  <c r="F91" i="33"/>
  <c r="D91" i="33"/>
  <c r="AA90" i="33"/>
  <c r="Z90" i="33"/>
  <c r="X90" i="33"/>
  <c r="V90" i="33"/>
  <c r="T90" i="33"/>
  <c r="R90" i="33"/>
  <c r="P90" i="33"/>
  <c r="N90" i="33"/>
  <c r="L90" i="33"/>
  <c r="J90" i="33"/>
  <c r="H90" i="33"/>
  <c r="F90" i="33"/>
  <c r="D90" i="33"/>
  <c r="AA89" i="33"/>
  <c r="Z89" i="33"/>
  <c r="X89" i="33"/>
  <c r="V89" i="33"/>
  <c r="T89" i="33"/>
  <c r="R89" i="33"/>
  <c r="P89" i="33"/>
  <c r="N89" i="33"/>
  <c r="L89" i="33"/>
  <c r="J89" i="33"/>
  <c r="H89" i="33"/>
  <c r="F89" i="33"/>
  <c r="D89" i="33"/>
  <c r="AA88" i="33"/>
  <c r="AD88" i="33" s="1"/>
  <c r="Z88" i="33"/>
  <c r="X88" i="33"/>
  <c r="V88" i="33"/>
  <c r="T88" i="33"/>
  <c r="R88" i="33"/>
  <c r="P88" i="33"/>
  <c r="N88" i="33"/>
  <c r="L88" i="33"/>
  <c r="J88" i="33"/>
  <c r="H88" i="33"/>
  <c r="F88" i="33"/>
  <c r="D88" i="33"/>
  <c r="AA86" i="33"/>
  <c r="Z86" i="33"/>
  <c r="X86" i="33"/>
  <c r="V86" i="33"/>
  <c r="T86" i="33"/>
  <c r="R86" i="33"/>
  <c r="P86" i="33"/>
  <c r="N86" i="33"/>
  <c r="L86" i="33"/>
  <c r="J86" i="33"/>
  <c r="H86" i="33"/>
  <c r="F86" i="33"/>
  <c r="D86" i="33"/>
  <c r="AA85" i="33"/>
  <c r="Z85" i="33"/>
  <c r="X85" i="33"/>
  <c r="V85" i="33"/>
  <c r="T85" i="33"/>
  <c r="R85" i="33"/>
  <c r="P85" i="33"/>
  <c r="N85" i="33"/>
  <c r="L85" i="33"/>
  <c r="J85" i="33"/>
  <c r="H85" i="33"/>
  <c r="F85" i="33"/>
  <c r="D85" i="33"/>
  <c r="AA84" i="33"/>
  <c r="Z84" i="33"/>
  <c r="X84" i="33"/>
  <c r="V84" i="33"/>
  <c r="T84" i="33"/>
  <c r="R84" i="33"/>
  <c r="P84" i="33"/>
  <c r="N84" i="33"/>
  <c r="L84" i="33"/>
  <c r="J84" i="33"/>
  <c r="H84" i="33"/>
  <c r="F84" i="33"/>
  <c r="D84" i="33"/>
  <c r="AA83" i="33"/>
  <c r="Z83" i="33"/>
  <c r="X83" i="33"/>
  <c r="V83" i="33"/>
  <c r="T83" i="33"/>
  <c r="R83" i="33"/>
  <c r="P83" i="33"/>
  <c r="N83" i="33"/>
  <c r="L83" i="33"/>
  <c r="J83" i="33"/>
  <c r="H83" i="33"/>
  <c r="F83" i="33"/>
  <c r="D83" i="33"/>
  <c r="AA82" i="33"/>
  <c r="Z82" i="33"/>
  <c r="X82" i="33"/>
  <c r="V82" i="33"/>
  <c r="T82" i="33"/>
  <c r="R82" i="33"/>
  <c r="P82" i="33"/>
  <c r="N82" i="33"/>
  <c r="L82" i="33"/>
  <c r="J82" i="33"/>
  <c r="H82" i="33"/>
  <c r="F82" i="33"/>
  <c r="D82" i="33"/>
  <c r="AA80" i="33"/>
  <c r="Z80" i="33"/>
  <c r="X80" i="33"/>
  <c r="V80" i="33"/>
  <c r="T80" i="33"/>
  <c r="R80" i="33"/>
  <c r="P80" i="33"/>
  <c r="N80" i="33"/>
  <c r="L80" i="33"/>
  <c r="J80" i="33"/>
  <c r="H80" i="33"/>
  <c r="F80" i="33"/>
  <c r="D80" i="33"/>
  <c r="Z79" i="33"/>
  <c r="X79" i="33"/>
  <c r="V79" i="33"/>
  <c r="T79" i="33"/>
  <c r="R79" i="33"/>
  <c r="P79" i="33"/>
  <c r="N79" i="33"/>
  <c r="L79" i="33"/>
  <c r="J79" i="33"/>
  <c r="H79" i="33"/>
  <c r="F79" i="33"/>
  <c r="D79" i="33"/>
  <c r="AA78" i="33"/>
  <c r="Z78" i="33"/>
  <c r="X78" i="33"/>
  <c r="V78" i="33"/>
  <c r="T78" i="33"/>
  <c r="R78" i="33"/>
  <c r="P78" i="33"/>
  <c r="N78" i="33"/>
  <c r="L78" i="33"/>
  <c r="J78" i="33"/>
  <c r="H78" i="33"/>
  <c r="F78" i="33"/>
  <c r="D78" i="33"/>
  <c r="AA77" i="33"/>
  <c r="Z77" i="33"/>
  <c r="X77" i="33"/>
  <c r="V77" i="33"/>
  <c r="T77" i="33"/>
  <c r="R77" i="33"/>
  <c r="P77" i="33"/>
  <c r="N77" i="33"/>
  <c r="L77" i="33"/>
  <c r="J77" i="33"/>
  <c r="H77" i="33"/>
  <c r="F77" i="33"/>
  <c r="D77" i="33"/>
  <c r="Z72" i="33"/>
  <c r="X72" i="33"/>
  <c r="V72" i="33"/>
  <c r="T72" i="33"/>
  <c r="R72" i="33"/>
  <c r="P72" i="33"/>
  <c r="N72" i="33"/>
  <c r="L72" i="33"/>
  <c r="J72" i="33"/>
  <c r="H72" i="33"/>
  <c r="F72" i="33"/>
  <c r="D72" i="33"/>
  <c r="Z71" i="33"/>
  <c r="X71" i="33"/>
  <c r="V71" i="33"/>
  <c r="T71" i="33"/>
  <c r="R71" i="33"/>
  <c r="P71" i="33"/>
  <c r="N71" i="33"/>
  <c r="L71" i="33"/>
  <c r="J71" i="33"/>
  <c r="H71" i="33"/>
  <c r="F71" i="33"/>
  <c r="D71" i="33"/>
  <c r="Z70" i="33"/>
  <c r="X70" i="33"/>
  <c r="V70" i="33"/>
  <c r="T70" i="33"/>
  <c r="R70" i="33"/>
  <c r="P70" i="33"/>
  <c r="N70" i="33"/>
  <c r="L70" i="33"/>
  <c r="J70" i="33"/>
  <c r="H70" i="33"/>
  <c r="F70" i="33"/>
  <c r="D70" i="33"/>
  <c r="Z69" i="33"/>
  <c r="X69" i="33"/>
  <c r="V69" i="33"/>
  <c r="T69" i="33"/>
  <c r="R69" i="33"/>
  <c r="P69" i="33"/>
  <c r="N69" i="33"/>
  <c r="L69" i="33"/>
  <c r="J69" i="33"/>
  <c r="H69" i="33"/>
  <c r="F69" i="33"/>
  <c r="D69" i="33"/>
  <c r="Z68" i="33"/>
  <c r="X68" i="33"/>
  <c r="V68" i="33"/>
  <c r="T68" i="33"/>
  <c r="R68" i="33"/>
  <c r="P68" i="33"/>
  <c r="N68" i="33"/>
  <c r="L68" i="33"/>
  <c r="J68" i="33"/>
  <c r="H68" i="33"/>
  <c r="F68" i="33"/>
  <c r="D68" i="33"/>
  <c r="Z67" i="33"/>
  <c r="X67" i="33"/>
  <c r="V67" i="33"/>
  <c r="T67" i="33"/>
  <c r="R67" i="33"/>
  <c r="P67" i="33"/>
  <c r="N67" i="33"/>
  <c r="L67" i="33"/>
  <c r="J67" i="33"/>
  <c r="H67" i="33"/>
  <c r="F67" i="33"/>
  <c r="D67" i="33"/>
  <c r="AA66" i="33"/>
  <c r="Z66" i="33"/>
  <c r="X66" i="33"/>
  <c r="V66" i="33"/>
  <c r="T66" i="33"/>
  <c r="R66" i="33"/>
  <c r="P66" i="33"/>
  <c r="N66" i="33"/>
  <c r="L66" i="33"/>
  <c r="J66" i="33"/>
  <c r="H66" i="33"/>
  <c r="F66" i="33"/>
  <c r="D66" i="33"/>
  <c r="AA65" i="33"/>
  <c r="Z65" i="33"/>
  <c r="X65" i="33"/>
  <c r="V65" i="33"/>
  <c r="T65" i="33"/>
  <c r="R65" i="33"/>
  <c r="P65" i="33"/>
  <c r="N65" i="33"/>
  <c r="L65" i="33"/>
  <c r="J65" i="33"/>
  <c r="H65" i="33"/>
  <c r="F65" i="33"/>
  <c r="D65" i="33"/>
  <c r="AA64" i="33"/>
  <c r="Z64" i="33"/>
  <c r="X64" i="33"/>
  <c r="V64" i="33"/>
  <c r="T64" i="33"/>
  <c r="R64" i="33"/>
  <c r="P64" i="33"/>
  <c r="N64" i="33"/>
  <c r="L64" i="33"/>
  <c r="J64" i="33"/>
  <c r="H64" i="33"/>
  <c r="F64" i="33"/>
  <c r="D64" i="33"/>
  <c r="AA63" i="33"/>
  <c r="Z63" i="33"/>
  <c r="X63" i="33"/>
  <c r="V63" i="33"/>
  <c r="T63" i="33"/>
  <c r="R63" i="33"/>
  <c r="P63" i="33"/>
  <c r="N63" i="33"/>
  <c r="L63" i="33"/>
  <c r="J63" i="33"/>
  <c r="H63" i="33"/>
  <c r="F63" i="33"/>
  <c r="D63" i="33"/>
  <c r="AA61" i="33"/>
  <c r="Z61" i="33"/>
  <c r="X61" i="33"/>
  <c r="V61" i="33"/>
  <c r="T61" i="33"/>
  <c r="R61" i="33"/>
  <c r="P61" i="33"/>
  <c r="N61" i="33"/>
  <c r="L61" i="33"/>
  <c r="J61" i="33"/>
  <c r="H61" i="33"/>
  <c r="F61" i="33"/>
  <c r="D61" i="33"/>
  <c r="AA60" i="33"/>
  <c r="Z60" i="33"/>
  <c r="X60" i="33"/>
  <c r="V60" i="33"/>
  <c r="T60" i="33"/>
  <c r="R60" i="33"/>
  <c r="P60" i="33"/>
  <c r="N60" i="33"/>
  <c r="L60" i="33"/>
  <c r="J60" i="33"/>
  <c r="H60" i="33"/>
  <c r="F60" i="33"/>
  <c r="D60" i="33"/>
  <c r="AA58" i="33"/>
  <c r="Z58" i="33"/>
  <c r="X58" i="33"/>
  <c r="V58" i="33"/>
  <c r="T58" i="33"/>
  <c r="R58" i="33"/>
  <c r="P58" i="33"/>
  <c r="N58" i="33"/>
  <c r="L58" i="33"/>
  <c r="J58" i="33"/>
  <c r="H58" i="33"/>
  <c r="F58" i="33"/>
  <c r="D58" i="33"/>
  <c r="AA57" i="33"/>
  <c r="Z57" i="33"/>
  <c r="X57" i="33"/>
  <c r="V57" i="33"/>
  <c r="T57" i="33"/>
  <c r="R57" i="33"/>
  <c r="P57" i="33"/>
  <c r="N57" i="33"/>
  <c r="L57" i="33"/>
  <c r="J57" i="33"/>
  <c r="H57" i="33"/>
  <c r="F57" i="33"/>
  <c r="D57" i="33"/>
  <c r="AA56" i="33"/>
  <c r="Z56" i="33"/>
  <c r="X56" i="33"/>
  <c r="V56" i="33"/>
  <c r="T56" i="33"/>
  <c r="R56" i="33"/>
  <c r="P56" i="33"/>
  <c r="N56" i="33"/>
  <c r="L56" i="33"/>
  <c r="J56" i="33"/>
  <c r="H56" i="33"/>
  <c r="F56" i="33"/>
  <c r="D56" i="33"/>
  <c r="AA55" i="33"/>
  <c r="AD55" i="33" s="1"/>
  <c r="Z55" i="33"/>
  <c r="X55" i="33"/>
  <c r="V55" i="33"/>
  <c r="T55" i="33"/>
  <c r="R55" i="33"/>
  <c r="P55" i="33"/>
  <c r="N55" i="33"/>
  <c r="L55" i="33"/>
  <c r="J55" i="33"/>
  <c r="H55" i="33"/>
  <c r="F55" i="33"/>
  <c r="D55" i="33"/>
  <c r="AA53" i="33"/>
  <c r="Z53" i="33"/>
  <c r="X53" i="33"/>
  <c r="V53" i="33"/>
  <c r="T53" i="33"/>
  <c r="R53" i="33"/>
  <c r="P53" i="33"/>
  <c r="N53" i="33"/>
  <c r="L53" i="33"/>
  <c r="J53" i="33"/>
  <c r="H53" i="33"/>
  <c r="F53" i="33"/>
  <c r="D53" i="33"/>
  <c r="AA52" i="33"/>
  <c r="Z52" i="33"/>
  <c r="X52" i="33"/>
  <c r="V52" i="33"/>
  <c r="T52" i="33"/>
  <c r="R52" i="33"/>
  <c r="P52" i="33"/>
  <c r="N52" i="33"/>
  <c r="L52" i="33"/>
  <c r="J52" i="33"/>
  <c r="H52" i="33"/>
  <c r="F52" i="33"/>
  <c r="D52" i="33"/>
  <c r="AA51" i="33"/>
  <c r="Z51" i="33"/>
  <c r="X51" i="33"/>
  <c r="V51" i="33"/>
  <c r="T51" i="33"/>
  <c r="R51" i="33"/>
  <c r="P51" i="33"/>
  <c r="N51" i="33"/>
  <c r="L51" i="33"/>
  <c r="J51" i="33"/>
  <c r="H51" i="33"/>
  <c r="F51" i="33"/>
  <c r="D51" i="33"/>
  <c r="AA50" i="33"/>
  <c r="Z50" i="33"/>
  <c r="X50" i="33"/>
  <c r="V50" i="33"/>
  <c r="T50" i="33"/>
  <c r="R50" i="33"/>
  <c r="P50" i="33"/>
  <c r="N50" i="33"/>
  <c r="L50" i="33"/>
  <c r="J50" i="33"/>
  <c r="H50" i="33"/>
  <c r="F50" i="33"/>
  <c r="D50" i="33"/>
  <c r="AA49" i="33"/>
  <c r="Z49" i="33"/>
  <c r="X49" i="33"/>
  <c r="V49" i="33"/>
  <c r="T49" i="33"/>
  <c r="R49" i="33"/>
  <c r="P49" i="33"/>
  <c r="N49" i="33"/>
  <c r="L49" i="33"/>
  <c r="J49" i="33"/>
  <c r="H49" i="33"/>
  <c r="F49" i="33"/>
  <c r="D49" i="33"/>
  <c r="AA47" i="33"/>
  <c r="Z47" i="33"/>
  <c r="X47" i="33"/>
  <c r="V47" i="33"/>
  <c r="T47" i="33"/>
  <c r="R47" i="33"/>
  <c r="P47" i="33"/>
  <c r="N47" i="33"/>
  <c r="L47" i="33"/>
  <c r="J47" i="33"/>
  <c r="H47" i="33"/>
  <c r="F47" i="33"/>
  <c r="D47" i="33"/>
  <c r="Z46" i="33"/>
  <c r="X46" i="33"/>
  <c r="V46" i="33"/>
  <c r="T46" i="33"/>
  <c r="R46" i="33"/>
  <c r="P46" i="33"/>
  <c r="N46" i="33"/>
  <c r="L46" i="33"/>
  <c r="J46" i="33"/>
  <c r="H46" i="33"/>
  <c r="F46" i="33"/>
  <c r="D46" i="33"/>
  <c r="AA45" i="33"/>
  <c r="Z45" i="33"/>
  <c r="X45" i="33"/>
  <c r="V45" i="33"/>
  <c r="T45" i="33"/>
  <c r="R45" i="33"/>
  <c r="P45" i="33"/>
  <c r="N45" i="33"/>
  <c r="L45" i="33"/>
  <c r="J45" i="33"/>
  <c r="H45" i="33"/>
  <c r="F45" i="33"/>
  <c r="D45" i="33"/>
  <c r="AA44" i="33"/>
  <c r="Z44" i="33"/>
  <c r="X44" i="33"/>
  <c r="V44" i="33"/>
  <c r="T44" i="33"/>
  <c r="R44" i="33"/>
  <c r="P44" i="33"/>
  <c r="N44" i="33"/>
  <c r="L44" i="33"/>
  <c r="J44" i="33"/>
  <c r="H44" i="33"/>
  <c r="F44" i="33"/>
  <c r="D44" i="33"/>
  <c r="C30" i="33"/>
  <c r="Y26" i="33"/>
  <c r="W26" i="33"/>
  <c r="U26" i="33"/>
  <c r="S26" i="33"/>
  <c r="Q26" i="33"/>
  <c r="O26" i="33"/>
  <c r="M26" i="33"/>
  <c r="K26" i="33"/>
  <c r="I26" i="33"/>
  <c r="G26" i="33"/>
  <c r="E26" i="33"/>
  <c r="C26" i="33"/>
  <c r="Y25" i="33"/>
  <c r="W25" i="33"/>
  <c r="U25" i="33"/>
  <c r="S25" i="33"/>
  <c r="Q25" i="33"/>
  <c r="O25" i="33"/>
  <c r="M25" i="33"/>
  <c r="K25" i="33"/>
  <c r="I25" i="33"/>
  <c r="G25" i="33"/>
  <c r="E25" i="33"/>
  <c r="C25" i="33"/>
  <c r="Y24" i="33"/>
  <c r="W24" i="33"/>
  <c r="U24" i="33"/>
  <c r="S24" i="33"/>
  <c r="Q24" i="33"/>
  <c r="O24" i="33"/>
  <c r="M24" i="33"/>
  <c r="K24" i="33"/>
  <c r="I24" i="33"/>
  <c r="G24" i="33"/>
  <c r="E24" i="33"/>
  <c r="C24" i="33"/>
  <c r="Y23" i="33"/>
  <c r="W23" i="33"/>
  <c r="U23" i="33"/>
  <c r="S23" i="33"/>
  <c r="Q23" i="33"/>
  <c r="O23" i="33"/>
  <c r="M23" i="33"/>
  <c r="K23" i="33"/>
  <c r="I23" i="33"/>
  <c r="G23" i="33"/>
  <c r="E23" i="33"/>
  <c r="C23" i="33"/>
  <c r="C27" i="33" s="1"/>
  <c r="Y22" i="33"/>
  <c r="W22" i="33"/>
  <c r="U22" i="33"/>
  <c r="S22" i="33"/>
  <c r="Q22" i="33"/>
  <c r="O22" i="33"/>
  <c r="M22" i="33"/>
  <c r="K22" i="33"/>
  <c r="I22" i="33"/>
  <c r="G22" i="33"/>
  <c r="E22" i="33"/>
  <c r="C22" i="33"/>
  <c r="Y18" i="33"/>
  <c r="W18" i="33"/>
  <c r="U18" i="33"/>
  <c r="S18" i="33"/>
  <c r="Q18" i="33"/>
  <c r="O18" i="33"/>
  <c r="M18" i="33"/>
  <c r="K18" i="33"/>
  <c r="I18" i="33"/>
  <c r="G18" i="33"/>
  <c r="E18" i="33"/>
  <c r="C18" i="33"/>
  <c r="Y17" i="33"/>
  <c r="W17" i="33"/>
  <c r="U17" i="33"/>
  <c r="S17" i="33"/>
  <c r="Q17" i="33"/>
  <c r="O17" i="33"/>
  <c r="M17" i="33"/>
  <c r="K17" i="33"/>
  <c r="I17" i="33"/>
  <c r="G17" i="33"/>
  <c r="E17" i="33"/>
  <c r="C17" i="33"/>
  <c r="Y16" i="33"/>
  <c r="W16" i="33"/>
  <c r="U16" i="33"/>
  <c r="S16" i="33"/>
  <c r="Q16" i="33"/>
  <c r="O16" i="33"/>
  <c r="O19" i="33" s="1"/>
  <c r="M16" i="33"/>
  <c r="K16" i="33"/>
  <c r="I16" i="33"/>
  <c r="G16" i="33"/>
  <c r="E16" i="33"/>
  <c r="C16" i="33"/>
  <c r="Y13" i="33"/>
  <c r="W13" i="33"/>
  <c r="U13" i="33"/>
  <c r="S13" i="33"/>
  <c r="Q13" i="33"/>
  <c r="O13" i="33"/>
  <c r="M13" i="33"/>
  <c r="K13" i="33"/>
  <c r="I13" i="33"/>
  <c r="G13" i="33"/>
  <c r="E13" i="33"/>
  <c r="C13" i="33"/>
  <c r="Y12" i="33"/>
  <c r="W12" i="33"/>
  <c r="U12" i="33"/>
  <c r="S12" i="33"/>
  <c r="Q12" i="33"/>
  <c r="O12" i="33"/>
  <c r="M12" i="33"/>
  <c r="K12" i="33"/>
  <c r="I12" i="33"/>
  <c r="G12" i="33"/>
  <c r="E12" i="33"/>
  <c r="C12" i="33"/>
  <c r="Y11" i="33"/>
  <c r="Z12" i="33" s="1"/>
  <c r="W11" i="33"/>
  <c r="X16" i="33" s="1"/>
  <c r="U11" i="33"/>
  <c r="V18" i="33" s="1"/>
  <c r="S11" i="33"/>
  <c r="T16" i="33" s="1"/>
  <c r="Q11" i="33"/>
  <c r="R12" i="33" s="1"/>
  <c r="O11" i="33"/>
  <c r="M11" i="33"/>
  <c r="K11" i="33"/>
  <c r="I11" i="33"/>
  <c r="J12" i="33" s="1"/>
  <c r="G11" i="33"/>
  <c r="E11" i="33"/>
  <c r="C11" i="33"/>
  <c r="D36" i="33" s="1"/>
  <c r="A6" i="33"/>
  <c r="Z237" i="41"/>
  <c r="X237" i="41"/>
  <c r="V237" i="41"/>
  <c r="T237" i="41"/>
  <c r="R237" i="41"/>
  <c r="P237" i="41"/>
  <c r="N237" i="41"/>
  <c r="L237" i="41"/>
  <c r="J237" i="41"/>
  <c r="H237" i="41"/>
  <c r="F237" i="41"/>
  <c r="D237" i="41"/>
  <c r="Z236" i="41"/>
  <c r="X236" i="41"/>
  <c r="V236" i="41"/>
  <c r="T236" i="41"/>
  <c r="R236" i="41"/>
  <c r="P236" i="41"/>
  <c r="N236" i="41"/>
  <c r="L236" i="41"/>
  <c r="J236" i="41"/>
  <c r="H236" i="41"/>
  <c r="F236" i="41"/>
  <c r="D236" i="41"/>
  <c r="Z235" i="41"/>
  <c r="X235" i="41"/>
  <c r="V235" i="41"/>
  <c r="T235" i="41"/>
  <c r="R235" i="41"/>
  <c r="P235" i="41"/>
  <c r="N235" i="41"/>
  <c r="L235" i="41"/>
  <c r="J235" i="41"/>
  <c r="H235" i="41"/>
  <c r="F235" i="41"/>
  <c r="D235" i="41"/>
  <c r="Z234" i="41"/>
  <c r="X234" i="41"/>
  <c r="V234" i="41"/>
  <c r="T234" i="41"/>
  <c r="R234" i="41"/>
  <c r="P234" i="41"/>
  <c r="N234" i="41"/>
  <c r="L234" i="41"/>
  <c r="J234" i="41"/>
  <c r="H234" i="41"/>
  <c r="F234" i="41"/>
  <c r="D234" i="41"/>
  <c r="Z233" i="41"/>
  <c r="X233" i="41"/>
  <c r="V233" i="41"/>
  <c r="T233" i="41"/>
  <c r="R233" i="41"/>
  <c r="P233" i="41"/>
  <c r="N233" i="41"/>
  <c r="L233" i="41"/>
  <c r="J233" i="41"/>
  <c r="H233" i="41"/>
  <c r="F233" i="41"/>
  <c r="D233" i="41"/>
  <c r="Z232" i="41"/>
  <c r="X232" i="41"/>
  <c r="V232" i="41"/>
  <c r="T232" i="41"/>
  <c r="R232" i="41"/>
  <c r="P232" i="41"/>
  <c r="N232" i="41"/>
  <c r="L232" i="41"/>
  <c r="J232" i="41"/>
  <c r="H232" i="41"/>
  <c r="F232" i="41"/>
  <c r="D232" i="41"/>
  <c r="AA231" i="41"/>
  <c r="Z231" i="41"/>
  <c r="X231" i="41"/>
  <c r="V231" i="41"/>
  <c r="T231" i="41"/>
  <c r="R231" i="41"/>
  <c r="P231" i="41"/>
  <c r="N231" i="41"/>
  <c r="L231" i="41"/>
  <c r="J231" i="41"/>
  <c r="H231" i="41"/>
  <c r="F231" i="41"/>
  <c r="D231" i="41"/>
  <c r="AA230" i="41"/>
  <c r="Z230" i="41"/>
  <c r="X230" i="41"/>
  <c r="V230" i="41"/>
  <c r="T230" i="41"/>
  <c r="R230" i="41"/>
  <c r="P230" i="41"/>
  <c r="N230" i="41"/>
  <c r="L230" i="41"/>
  <c r="J230" i="41"/>
  <c r="H230" i="41"/>
  <c r="F230" i="41"/>
  <c r="D230" i="41"/>
  <c r="AA229" i="41"/>
  <c r="Z229" i="41"/>
  <c r="X229" i="41"/>
  <c r="V229" i="41"/>
  <c r="T229" i="41"/>
  <c r="R229" i="41"/>
  <c r="P229" i="41"/>
  <c r="N229" i="41"/>
  <c r="L229" i="41"/>
  <c r="J229" i="41"/>
  <c r="H229" i="41"/>
  <c r="F229" i="41"/>
  <c r="D229" i="41"/>
  <c r="AA228" i="41"/>
  <c r="Z228" i="41"/>
  <c r="X228" i="41"/>
  <c r="V228" i="41"/>
  <c r="T228" i="41"/>
  <c r="R228" i="41"/>
  <c r="P228" i="41"/>
  <c r="N228" i="41"/>
  <c r="L228" i="41"/>
  <c r="J228" i="41"/>
  <c r="H228" i="41"/>
  <c r="F228" i="41"/>
  <c r="D228" i="41"/>
  <c r="AA226" i="41"/>
  <c r="Z226" i="41"/>
  <c r="X226" i="41"/>
  <c r="V226" i="41"/>
  <c r="T226" i="41"/>
  <c r="R226" i="41"/>
  <c r="P226" i="41"/>
  <c r="N226" i="41"/>
  <c r="L226" i="41"/>
  <c r="J226" i="41"/>
  <c r="H226" i="41"/>
  <c r="F226" i="41"/>
  <c r="D226" i="41"/>
  <c r="AA225" i="41"/>
  <c r="Z225" i="41"/>
  <c r="X225" i="41"/>
  <c r="V225" i="41"/>
  <c r="T225" i="41"/>
  <c r="R225" i="41"/>
  <c r="P225" i="41"/>
  <c r="N225" i="41"/>
  <c r="L225" i="41"/>
  <c r="J225" i="41"/>
  <c r="H225" i="41"/>
  <c r="F225" i="41"/>
  <c r="D225" i="41"/>
  <c r="AA223" i="41"/>
  <c r="Z223" i="41"/>
  <c r="X223" i="41"/>
  <c r="V223" i="41"/>
  <c r="T223" i="41"/>
  <c r="R223" i="41"/>
  <c r="P223" i="41"/>
  <c r="N223" i="41"/>
  <c r="L223" i="41"/>
  <c r="J223" i="41"/>
  <c r="H223" i="41"/>
  <c r="F223" i="41"/>
  <c r="D223" i="41"/>
  <c r="AA222" i="41"/>
  <c r="Z222" i="41"/>
  <c r="X222" i="41"/>
  <c r="V222" i="41"/>
  <c r="T222" i="41"/>
  <c r="R222" i="41"/>
  <c r="P222" i="41"/>
  <c r="N222" i="41"/>
  <c r="L222" i="41"/>
  <c r="J222" i="41"/>
  <c r="H222" i="41"/>
  <c r="F222" i="41"/>
  <c r="D222" i="41"/>
  <c r="AA221" i="41"/>
  <c r="Z221" i="41"/>
  <c r="X221" i="41"/>
  <c r="V221" i="41"/>
  <c r="T221" i="41"/>
  <c r="R221" i="41"/>
  <c r="P221" i="41"/>
  <c r="N221" i="41"/>
  <c r="L221" i="41"/>
  <c r="J221" i="41"/>
  <c r="H221" i="41"/>
  <c r="F221" i="41"/>
  <c r="D221" i="41"/>
  <c r="AA218" i="41"/>
  <c r="Z218" i="41"/>
  <c r="X218" i="41"/>
  <c r="V218" i="41"/>
  <c r="T218" i="41"/>
  <c r="R218" i="41"/>
  <c r="P218" i="41"/>
  <c r="N218" i="41"/>
  <c r="L218" i="41"/>
  <c r="J218" i="41"/>
  <c r="H218" i="41"/>
  <c r="F218" i="41"/>
  <c r="D218" i="41"/>
  <c r="AA217" i="41"/>
  <c r="Z217" i="41"/>
  <c r="X217" i="41"/>
  <c r="V217" i="41"/>
  <c r="T217" i="41"/>
  <c r="R217" i="41"/>
  <c r="P217" i="41"/>
  <c r="N217" i="41"/>
  <c r="L217" i="41"/>
  <c r="J217" i="41"/>
  <c r="H217" i="41"/>
  <c r="F217" i="41"/>
  <c r="D217" i="41"/>
  <c r="AA216" i="41"/>
  <c r="Z216" i="41"/>
  <c r="X216" i="41"/>
  <c r="V216" i="41"/>
  <c r="T216" i="41"/>
  <c r="R216" i="41"/>
  <c r="P216" i="41"/>
  <c r="N216" i="41"/>
  <c r="L216" i="41"/>
  <c r="J216" i="41"/>
  <c r="H216" i="41"/>
  <c r="F216" i="41"/>
  <c r="D216" i="41"/>
  <c r="AA215" i="41"/>
  <c r="Z215" i="41"/>
  <c r="X215" i="41"/>
  <c r="V215" i="41"/>
  <c r="T215" i="41"/>
  <c r="R215" i="41"/>
  <c r="P215" i="41"/>
  <c r="N215" i="41"/>
  <c r="L215" i="41"/>
  <c r="J215" i="41"/>
  <c r="H215" i="41"/>
  <c r="F215" i="41"/>
  <c r="D215" i="41"/>
  <c r="AA214" i="41"/>
  <c r="Z214" i="41"/>
  <c r="X214" i="41"/>
  <c r="V214" i="41"/>
  <c r="T214" i="41"/>
  <c r="R214" i="41"/>
  <c r="P214" i="41"/>
  <c r="N214" i="41"/>
  <c r="L214" i="41"/>
  <c r="J214" i="41"/>
  <c r="H214" i="41"/>
  <c r="F214" i="41"/>
  <c r="D214" i="41"/>
  <c r="AA212" i="41"/>
  <c r="Z212" i="41"/>
  <c r="X212" i="41"/>
  <c r="V212" i="41"/>
  <c r="T212" i="41"/>
  <c r="R212" i="41"/>
  <c r="P212" i="41"/>
  <c r="N212" i="41"/>
  <c r="L212" i="41"/>
  <c r="J212" i="41"/>
  <c r="H212" i="41"/>
  <c r="F212" i="41"/>
  <c r="D212" i="41"/>
  <c r="Z211" i="41"/>
  <c r="X211" i="41"/>
  <c r="V211" i="41"/>
  <c r="T211" i="41"/>
  <c r="R211" i="41"/>
  <c r="P211" i="41"/>
  <c r="N211" i="41"/>
  <c r="L211" i="41"/>
  <c r="J211" i="41"/>
  <c r="H211" i="41"/>
  <c r="F211" i="41"/>
  <c r="D211" i="41"/>
  <c r="AA210" i="41"/>
  <c r="Z210" i="41"/>
  <c r="X210" i="41"/>
  <c r="V210" i="41"/>
  <c r="T210" i="41"/>
  <c r="R210" i="41"/>
  <c r="P210" i="41"/>
  <c r="N210" i="41"/>
  <c r="L210" i="41"/>
  <c r="J210" i="41"/>
  <c r="H210" i="41"/>
  <c r="F210" i="41"/>
  <c r="D210" i="41"/>
  <c r="AA209" i="41"/>
  <c r="AB234" i="41" s="1"/>
  <c r="Z209" i="41"/>
  <c r="X209" i="41"/>
  <c r="V209" i="41"/>
  <c r="T209" i="41"/>
  <c r="R209" i="41"/>
  <c r="P209" i="41"/>
  <c r="N209" i="41"/>
  <c r="L209" i="41"/>
  <c r="J209" i="41"/>
  <c r="H209" i="41"/>
  <c r="F209" i="41"/>
  <c r="D209" i="41"/>
  <c r="Y208" i="41"/>
  <c r="W208" i="41"/>
  <c r="U208" i="41"/>
  <c r="S208" i="41"/>
  <c r="Q208" i="41"/>
  <c r="O208" i="41"/>
  <c r="M208" i="41"/>
  <c r="K208" i="41"/>
  <c r="I208" i="41"/>
  <c r="G208" i="41"/>
  <c r="E208" i="41"/>
  <c r="C208" i="41"/>
  <c r="Z172" i="41"/>
  <c r="X172" i="41"/>
  <c r="V172" i="41"/>
  <c r="T172" i="41"/>
  <c r="R172" i="41"/>
  <c r="P172" i="41"/>
  <c r="N172" i="41"/>
  <c r="L172" i="41"/>
  <c r="J172" i="41"/>
  <c r="H172" i="41"/>
  <c r="F172" i="41"/>
  <c r="D172" i="41"/>
  <c r="Z171" i="41"/>
  <c r="X171" i="41"/>
  <c r="V171" i="41"/>
  <c r="T171" i="41"/>
  <c r="R171" i="41"/>
  <c r="P171" i="41"/>
  <c r="N171" i="41"/>
  <c r="L171" i="41"/>
  <c r="J171" i="41"/>
  <c r="H171" i="41"/>
  <c r="F171" i="41"/>
  <c r="D171" i="41"/>
  <c r="Z170" i="41"/>
  <c r="X170" i="41"/>
  <c r="V170" i="41"/>
  <c r="T170" i="41"/>
  <c r="R170" i="41"/>
  <c r="P170" i="41"/>
  <c r="N170" i="41"/>
  <c r="L170" i="41"/>
  <c r="J170" i="41"/>
  <c r="H170" i="41"/>
  <c r="F170" i="41"/>
  <c r="D170" i="41"/>
  <c r="Z169" i="41"/>
  <c r="X169" i="41"/>
  <c r="V169" i="41"/>
  <c r="T169" i="41"/>
  <c r="R169" i="41"/>
  <c r="P169" i="41"/>
  <c r="N169" i="41"/>
  <c r="L169" i="41"/>
  <c r="J169" i="41"/>
  <c r="H169" i="41"/>
  <c r="F169" i="41"/>
  <c r="D169" i="41"/>
  <c r="Z168" i="41"/>
  <c r="X168" i="41"/>
  <c r="V168" i="41"/>
  <c r="T168" i="41"/>
  <c r="R168" i="41"/>
  <c r="P168" i="41"/>
  <c r="N168" i="41"/>
  <c r="L168" i="41"/>
  <c r="J168" i="41"/>
  <c r="H168" i="41"/>
  <c r="F168" i="41"/>
  <c r="D168" i="41"/>
  <c r="Z167" i="41"/>
  <c r="X167" i="41"/>
  <c r="V167" i="41"/>
  <c r="T167" i="41"/>
  <c r="R167" i="41"/>
  <c r="P167" i="41"/>
  <c r="N167" i="41"/>
  <c r="L167" i="41"/>
  <c r="J167" i="41"/>
  <c r="H167" i="41"/>
  <c r="F167" i="41"/>
  <c r="D167" i="41"/>
  <c r="AA166" i="41"/>
  <c r="Z166" i="41"/>
  <c r="X166" i="41"/>
  <c r="V166" i="41"/>
  <c r="T166" i="41"/>
  <c r="R166" i="41"/>
  <c r="P166" i="41"/>
  <c r="N166" i="41"/>
  <c r="L166" i="41"/>
  <c r="J166" i="41"/>
  <c r="H166" i="41"/>
  <c r="F166" i="41"/>
  <c r="D166" i="41"/>
  <c r="AA165" i="41"/>
  <c r="Z165" i="41"/>
  <c r="X165" i="41"/>
  <c r="V165" i="41"/>
  <c r="T165" i="41"/>
  <c r="R165" i="41"/>
  <c r="P165" i="41"/>
  <c r="N165" i="41"/>
  <c r="L165" i="41"/>
  <c r="J165" i="41"/>
  <c r="H165" i="41"/>
  <c r="F165" i="41"/>
  <c r="D165" i="41"/>
  <c r="AA164" i="41"/>
  <c r="Z164" i="41"/>
  <c r="X164" i="41"/>
  <c r="V164" i="41"/>
  <c r="T164" i="41"/>
  <c r="R164" i="41"/>
  <c r="P164" i="41"/>
  <c r="N164" i="41"/>
  <c r="L164" i="41"/>
  <c r="J164" i="41"/>
  <c r="H164" i="41"/>
  <c r="F164" i="41"/>
  <c r="D164" i="41"/>
  <c r="AA163" i="41"/>
  <c r="Z163" i="41"/>
  <c r="X163" i="41"/>
  <c r="V163" i="41"/>
  <c r="T163" i="41"/>
  <c r="R163" i="41"/>
  <c r="P163" i="41"/>
  <c r="N163" i="41"/>
  <c r="L163" i="41"/>
  <c r="J163" i="41"/>
  <c r="H163" i="41"/>
  <c r="F163" i="41"/>
  <c r="D163" i="41"/>
  <c r="AA161" i="41"/>
  <c r="Z161" i="41"/>
  <c r="X161" i="41"/>
  <c r="V161" i="41"/>
  <c r="T161" i="41"/>
  <c r="R161" i="41"/>
  <c r="P161" i="41"/>
  <c r="N161" i="41"/>
  <c r="L161" i="41"/>
  <c r="J161" i="41"/>
  <c r="H161" i="41"/>
  <c r="F161" i="41"/>
  <c r="D161" i="41"/>
  <c r="AA160" i="41"/>
  <c r="Z160" i="41"/>
  <c r="X160" i="41"/>
  <c r="V160" i="41"/>
  <c r="T160" i="41"/>
  <c r="R160" i="41"/>
  <c r="P160" i="41"/>
  <c r="N160" i="41"/>
  <c r="L160" i="41"/>
  <c r="J160" i="41"/>
  <c r="H160" i="41"/>
  <c r="F160" i="41"/>
  <c r="D160" i="41"/>
  <c r="AA159" i="41"/>
  <c r="Z159" i="41"/>
  <c r="X159" i="41"/>
  <c r="V159" i="41"/>
  <c r="T159" i="41"/>
  <c r="R159" i="41"/>
  <c r="P159" i="41"/>
  <c r="N159" i="41"/>
  <c r="L159" i="41"/>
  <c r="J159" i="41"/>
  <c r="H159" i="41"/>
  <c r="F159" i="41"/>
  <c r="D159" i="41"/>
  <c r="AA158" i="41"/>
  <c r="Z158" i="41"/>
  <c r="X158" i="41"/>
  <c r="V158" i="41"/>
  <c r="T158" i="41"/>
  <c r="R158" i="41"/>
  <c r="P158" i="41"/>
  <c r="N158" i="41"/>
  <c r="L158" i="41"/>
  <c r="J158" i="41"/>
  <c r="H158" i="41"/>
  <c r="F158" i="41"/>
  <c r="D158" i="41"/>
  <c r="AA157" i="41"/>
  <c r="Z157" i="41"/>
  <c r="X157" i="41"/>
  <c r="V157" i="41"/>
  <c r="T157" i="41"/>
  <c r="R157" i="41"/>
  <c r="P157" i="41"/>
  <c r="N157" i="41"/>
  <c r="L157" i="41"/>
  <c r="J157" i="41"/>
  <c r="H157" i="41"/>
  <c r="F157" i="41"/>
  <c r="D157" i="41"/>
  <c r="AA156" i="41"/>
  <c r="Z156" i="41"/>
  <c r="X156" i="41"/>
  <c r="V156" i="41"/>
  <c r="T156" i="41"/>
  <c r="R156" i="41"/>
  <c r="P156" i="41"/>
  <c r="N156" i="41"/>
  <c r="L156" i="41"/>
  <c r="J156" i="41"/>
  <c r="H156" i="41"/>
  <c r="F156" i="41"/>
  <c r="D156" i="41"/>
  <c r="AA155" i="41"/>
  <c r="Z155" i="41"/>
  <c r="X155" i="41"/>
  <c r="V155" i="41"/>
  <c r="T155" i="41"/>
  <c r="R155" i="41"/>
  <c r="P155" i="41"/>
  <c r="N155" i="41"/>
  <c r="L155" i="41"/>
  <c r="J155" i="41"/>
  <c r="H155" i="41"/>
  <c r="F155" i="41"/>
  <c r="D155" i="41"/>
  <c r="AA153" i="41"/>
  <c r="Z153" i="41"/>
  <c r="X153" i="41"/>
  <c r="V153" i="41"/>
  <c r="T153" i="41"/>
  <c r="R153" i="41"/>
  <c r="P153" i="41"/>
  <c r="N153" i="41"/>
  <c r="L153" i="41"/>
  <c r="J153" i="41"/>
  <c r="H153" i="41"/>
  <c r="F153" i="41"/>
  <c r="D153" i="41"/>
  <c r="AA152" i="41"/>
  <c r="Z152" i="41"/>
  <c r="X152" i="41"/>
  <c r="V152" i="41"/>
  <c r="T152" i="41"/>
  <c r="R152" i="41"/>
  <c r="P152" i="41"/>
  <c r="N152" i="41"/>
  <c r="L152" i="41"/>
  <c r="J152" i="41"/>
  <c r="H152" i="41"/>
  <c r="F152" i="41"/>
  <c r="D152" i="41"/>
  <c r="AA151" i="41"/>
  <c r="Z151" i="41"/>
  <c r="X151" i="41"/>
  <c r="V151" i="41"/>
  <c r="T151" i="41"/>
  <c r="R151" i="41"/>
  <c r="P151" i="41"/>
  <c r="N151" i="41"/>
  <c r="L151" i="41"/>
  <c r="J151" i="41"/>
  <c r="H151" i="41"/>
  <c r="F151" i="41"/>
  <c r="D151" i="41"/>
  <c r="AA150" i="41"/>
  <c r="Z150" i="41"/>
  <c r="X150" i="41"/>
  <c r="V150" i="41"/>
  <c r="T150" i="41"/>
  <c r="R150" i="41"/>
  <c r="P150" i="41"/>
  <c r="N150" i="41"/>
  <c r="L150" i="41"/>
  <c r="J150" i="41"/>
  <c r="H150" i="41"/>
  <c r="F150" i="41"/>
  <c r="D150" i="41"/>
  <c r="AA149" i="41"/>
  <c r="Z149" i="41"/>
  <c r="X149" i="41"/>
  <c r="V149" i="41"/>
  <c r="T149" i="41"/>
  <c r="N149" i="41"/>
  <c r="H149" i="41"/>
  <c r="F149" i="41"/>
  <c r="D149" i="41"/>
  <c r="AA147" i="41"/>
  <c r="Z147" i="41"/>
  <c r="X147" i="41"/>
  <c r="V147" i="41"/>
  <c r="T147" i="41"/>
  <c r="R147" i="41"/>
  <c r="P147" i="41"/>
  <c r="N147" i="41"/>
  <c r="L147" i="41"/>
  <c r="J147" i="41"/>
  <c r="H147" i="41"/>
  <c r="F147" i="41"/>
  <c r="D147" i="41"/>
  <c r="Z146" i="41"/>
  <c r="X146" i="41"/>
  <c r="V146" i="41"/>
  <c r="T146" i="41"/>
  <c r="R146" i="41"/>
  <c r="P146" i="41"/>
  <c r="N146" i="41"/>
  <c r="L146" i="41"/>
  <c r="J146" i="41"/>
  <c r="H146" i="41"/>
  <c r="F146" i="41"/>
  <c r="D146" i="41"/>
  <c r="AA145" i="41"/>
  <c r="Z145" i="41"/>
  <c r="X145" i="41"/>
  <c r="V145" i="41"/>
  <c r="T145" i="41"/>
  <c r="R145" i="41"/>
  <c r="P145" i="41"/>
  <c r="N145" i="41"/>
  <c r="L145" i="41"/>
  <c r="J145" i="41"/>
  <c r="H145" i="41"/>
  <c r="F145" i="41"/>
  <c r="D145" i="41"/>
  <c r="AA144" i="41"/>
  <c r="AB170" i="41" s="1"/>
  <c r="Z144" i="41"/>
  <c r="X144" i="41"/>
  <c r="V144" i="41"/>
  <c r="T144" i="41"/>
  <c r="R144" i="41"/>
  <c r="P144" i="41"/>
  <c r="N144" i="41"/>
  <c r="L144" i="41"/>
  <c r="J144" i="41"/>
  <c r="H144" i="41"/>
  <c r="F144" i="41"/>
  <c r="D144" i="41"/>
  <c r="Y143" i="41"/>
  <c r="W143" i="41"/>
  <c r="U143" i="41"/>
  <c r="S143" i="41"/>
  <c r="Q143" i="41"/>
  <c r="O143" i="41"/>
  <c r="M143" i="41"/>
  <c r="K143" i="41"/>
  <c r="I143" i="41"/>
  <c r="G143" i="41"/>
  <c r="E143" i="41"/>
  <c r="C143" i="41"/>
  <c r="Z203" i="41"/>
  <c r="X203" i="41"/>
  <c r="V203" i="41"/>
  <c r="T203" i="41"/>
  <c r="R203" i="41"/>
  <c r="P203" i="41"/>
  <c r="N203" i="41"/>
  <c r="L203" i="41"/>
  <c r="J203" i="41"/>
  <c r="H203" i="41"/>
  <c r="F203" i="41"/>
  <c r="D203" i="41"/>
  <c r="Z202" i="41"/>
  <c r="X202" i="41"/>
  <c r="V202" i="41"/>
  <c r="T202" i="41"/>
  <c r="R202" i="41"/>
  <c r="P202" i="41"/>
  <c r="N202" i="41"/>
  <c r="L202" i="41"/>
  <c r="J202" i="41"/>
  <c r="H202" i="41"/>
  <c r="F202" i="41"/>
  <c r="D202" i="41"/>
  <c r="Z201" i="41"/>
  <c r="X201" i="41"/>
  <c r="V201" i="41"/>
  <c r="T201" i="41"/>
  <c r="R201" i="41"/>
  <c r="P201" i="41"/>
  <c r="N201" i="41"/>
  <c r="L201" i="41"/>
  <c r="J201" i="41"/>
  <c r="H201" i="41"/>
  <c r="F201" i="41"/>
  <c r="D201" i="41"/>
  <c r="Z200" i="41"/>
  <c r="X200" i="41"/>
  <c r="V200" i="41"/>
  <c r="T200" i="41"/>
  <c r="R200" i="41"/>
  <c r="P200" i="41"/>
  <c r="N200" i="41"/>
  <c r="L200" i="41"/>
  <c r="J200" i="41"/>
  <c r="H200" i="41"/>
  <c r="F200" i="41"/>
  <c r="D200" i="41"/>
  <c r="Z199" i="41"/>
  <c r="X199" i="41"/>
  <c r="V199" i="41"/>
  <c r="T199" i="41"/>
  <c r="R199" i="41"/>
  <c r="P199" i="41"/>
  <c r="N199" i="41"/>
  <c r="L199" i="41"/>
  <c r="J199" i="41"/>
  <c r="H199" i="41"/>
  <c r="F199" i="41"/>
  <c r="D199" i="41"/>
  <c r="AA198" i="41"/>
  <c r="Z198" i="41"/>
  <c r="X198" i="41"/>
  <c r="V198" i="41"/>
  <c r="T198" i="41"/>
  <c r="R198" i="41"/>
  <c r="P198" i="41"/>
  <c r="N198" i="41"/>
  <c r="L198" i="41"/>
  <c r="J198" i="41"/>
  <c r="H198" i="41"/>
  <c r="F198" i="41"/>
  <c r="D198" i="41"/>
  <c r="AA197" i="41"/>
  <c r="Z197" i="41"/>
  <c r="X197" i="41"/>
  <c r="V197" i="41"/>
  <c r="T197" i="41"/>
  <c r="R197" i="41"/>
  <c r="P197" i="41"/>
  <c r="N197" i="41"/>
  <c r="L197" i="41"/>
  <c r="J197" i="41"/>
  <c r="H197" i="41"/>
  <c r="F197" i="41"/>
  <c r="D197" i="41"/>
  <c r="AA196" i="41"/>
  <c r="Z196" i="41"/>
  <c r="X196" i="41"/>
  <c r="V196" i="41"/>
  <c r="T196" i="41"/>
  <c r="R196" i="41"/>
  <c r="P196" i="41"/>
  <c r="N196" i="41"/>
  <c r="L196" i="41"/>
  <c r="J196" i="41"/>
  <c r="H196" i="41"/>
  <c r="F196" i="41"/>
  <c r="D196" i="41"/>
  <c r="AA195" i="41"/>
  <c r="Z195" i="41"/>
  <c r="X195" i="41"/>
  <c r="V195" i="41"/>
  <c r="T195" i="41"/>
  <c r="R195" i="41"/>
  <c r="P195" i="41"/>
  <c r="N195" i="41"/>
  <c r="L195" i="41"/>
  <c r="J195" i="41"/>
  <c r="H195" i="41"/>
  <c r="F195" i="41"/>
  <c r="D195" i="41"/>
  <c r="AA193" i="41"/>
  <c r="Z193" i="41"/>
  <c r="X193" i="41"/>
  <c r="V193" i="41"/>
  <c r="T193" i="41"/>
  <c r="R193" i="41"/>
  <c r="P193" i="41"/>
  <c r="N193" i="41"/>
  <c r="L193" i="41"/>
  <c r="J193" i="41"/>
  <c r="H193" i="41"/>
  <c r="F193" i="41"/>
  <c r="D193" i="41"/>
  <c r="AA192" i="41"/>
  <c r="Z192" i="41"/>
  <c r="X192" i="41"/>
  <c r="V192" i="41"/>
  <c r="T192" i="41"/>
  <c r="R192" i="41"/>
  <c r="P192" i="41"/>
  <c r="N192" i="41"/>
  <c r="L192" i="41"/>
  <c r="J192" i="41"/>
  <c r="H192" i="41"/>
  <c r="F192" i="41"/>
  <c r="D192" i="41"/>
  <c r="AA190" i="41"/>
  <c r="Z190" i="41"/>
  <c r="X190" i="41"/>
  <c r="V190" i="41"/>
  <c r="T190" i="41"/>
  <c r="R190" i="41"/>
  <c r="P190" i="41"/>
  <c r="N190" i="41"/>
  <c r="L190" i="41"/>
  <c r="J190" i="41"/>
  <c r="H190" i="41"/>
  <c r="F190" i="41"/>
  <c r="D190" i="41"/>
  <c r="AA189" i="41"/>
  <c r="Z189" i="41"/>
  <c r="X189" i="41"/>
  <c r="V189" i="41"/>
  <c r="T189" i="41"/>
  <c r="R189" i="41"/>
  <c r="P189" i="41"/>
  <c r="N189" i="41"/>
  <c r="L189" i="41"/>
  <c r="J189" i="41"/>
  <c r="H189" i="41"/>
  <c r="F189" i="41"/>
  <c r="D189" i="41"/>
  <c r="AA188" i="41"/>
  <c r="Z188" i="41"/>
  <c r="X188" i="41"/>
  <c r="V188" i="41"/>
  <c r="T188" i="41"/>
  <c r="R188" i="41"/>
  <c r="P188" i="41"/>
  <c r="N188" i="41"/>
  <c r="L188" i="41"/>
  <c r="J188" i="41"/>
  <c r="H188" i="41"/>
  <c r="F188" i="41"/>
  <c r="D188" i="41"/>
  <c r="AA185" i="41"/>
  <c r="Z185" i="41"/>
  <c r="X185" i="41"/>
  <c r="V185" i="41"/>
  <c r="T185" i="41"/>
  <c r="R185" i="41"/>
  <c r="P185" i="41"/>
  <c r="N185" i="41"/>
  <c r="L185" i="41"/>
  <c r="J185" i="41"/>
  <c r="H185" i="41"/>
  <c r="F185" i="41"/>
  <c r="D185" i="41"/>
  <c r="AA184" i="41"/>
  <c r="Z184" i="41"/>
  <c r="X184" i="41"/>
  <c r="V184" i="41"/>
  <c r="T184" i="41"/>
  <c r="R184" i="41"/>
  <c r="P184" i="41"/>
  <c r="N184" i="41"/>
  <c r="L184" i="41"/>
  <c r="J184" i="41"/>
  <c r="H184" i="41"/>
  <c r="F184" i="41"/>
  <c r="D184" i="41"/>
  <c r="AA183" i="41"/>
  <c r="Z183" i="41"/>
  <c r="X183" i="41"/>
  <c r="V183" i="41"/>
  <c r="T183" i="41"/>
  <c r="R183" i="41"/>
  <c r="P183" i="41"/>
  <c r="N183" i="41"/>
  <c r="L183" i="41"/>
  <c r="J183" i="41"/>
  <c r="H183" i="41"/>
  <c r="F183" i="41"/>
  <c r="D183" i="41"/>
  <c r="AA182" i="41"/>
  <c r="Z182" i="41"/>
  <c r="X182" i="41"/>
  <c r="V182" i="41"/>
  <c r="T182" i="41"/>
  <c r="R182" i="41"/>
  <c r="P182" i="41"/>
  <c r="N182" i="41"/>
  <c r="L182" i="41"/>
  <c r="J182" i="41"/>
  <c r="H182" i="41"/>
  <c r="F182" i="41"/>
  <c r="D182" i="41"/>
  <c r="AA181" i="41"/>
  <c r="Z181" i="41"/>
  <c r="X181" i="41"/>
  <c r="V181" i="41"/>
  <c r="T181" i="41"/>
  <c r="N181" i="41"/>
  <c r="H181" i="41"/>
  <c r="F181" i="41"/>
  <c r="D181" i="41"/>
  <c r="AA179" i="41"/>
  <c r="Z179" i="41"/>
  <c r="X179" i="41"/>
  <c r="V179" i="41"/>
  <c r="T179" i="41"/>
  <c r="R179" i="41"/>
  <c r="P179" i="41"/>
  <c r="N179" i="41"/>
  <c r="L179" i="41"/>
  <c r="J179" i="41"/>
  <c r="H179" i="41"/>
  <c r="F179" i="41"/>
  <c r="D179" i="41"/>
  <c r="Z178" i="41"/>
  <c r="X178" i="41"/>
  <c r="V178" i="41"/>
  <c r="T178" i="41"/>
  <c r="R178" i="41"/>
  <c r="P178" i="41"/>
  <c r="N178" i="41"/>
  <c r="L178" i="41"/>
  <c r="J178" i="41"/>
  <c r="H178" i="41"/>
  <c r="F178" i="41"/>
  <c r="D178" i="41"/>
  <c r="AA177" i="41"/>
  <c r="Z177" i="41"/>
  <c r="X177" i="41"/>
  <c r="V177" i="41"/>
  <c r="T177" i="41"/>
  <c r="R177" i="41"/>
  <c r="P177" i="41"/>
  <c r="N177" i="41"/>
  <c r="L177" i="41"/>
  <c r="J177" i="41"/>
  <c r="H177" i="41"/>
  <c r="F177" i="41"/>
  <c r="D177" i="41"/>
  <c r="AA176" i="41"/>
  <c r="Z176" i="41"/>
  <c r="X176" i="41"/>
  <c r="V176" i="41"/>
  <c r="T176" i="41"/>
  <c r="R176" i="41"/>
  <c r="P176" i="41"/>
  <c r="N176" i="41"/>
  <c r="L176" i="41"/>
  <c r="J176" i="41"/>
  <c r="H176" i="41"/>
  <c r="F176" i="41"/>
  <c r="D176" i="41"/>
  <c r="Z107" i="41"/>
  <c r="X107" i="41"/>
  <c r="V107" i="41"/>
  <c r="T107" i="41"/>
  <c r="R107" i="41"/>
  <c r="P107" i="41"/>
  <c r="N107" i="41"/>
  <c r="L107" i="41"/>
  <c r="J107" i="41"/>
  <c r="H107" i="41"/>
  <c r="F107" i="41"/>
  <c r="D107" i="41"/>
  <c r="Z106" i="41"/>
  <c r="X106" i="41"/>
  <c r="V106" i="41"/>
  <c r="T106" i="41"/>
  <c r="R106" i="41"/>
  <c r="P106" i="41"/>
  <c r="N106" i="41"/>
  <c r="L106" i="41"/>
  <c r="J106" i="41"/>
  <c r="H106" i="41"/>
  <c r="F106" i="41"/>
  <c r="D106" i="41"/>
  <c r="Z105" i="41"/>
  <c r="X105" i="41"/>
  <c r="V105" i="41"/>
  <c r="T105" i="41"/>
  <c r="R105" i="41"/>
  <c r="P105" i="41"/>
  <c r="N105" i="41"/>
  <c r="L105" i="41"/>
  <c r="J105" i="41"/>
  <c r="H105" i="41"/>
  <c r="F105" i="41"/>
  <c r="D105" i="41"/>
  <c r="Z104" i="41"/>
  <c r="X104" i="41"/>
  <c r="V104" i="41"/>
  <c r="T104" i="41"/>
  <c r="R104" i="41"/>
  <c r="P104" i="41"/>
  <c r="N104" i="41"/>
  <c r="L104" i="41"/>
  <c r="J104" i="41"/>
  <c r="H104" i="41"/>
  <c r="F104" i="41"/>
  <c r="D104" i="41"/>
  <c r="Z103" i="41"/>
  <c r="X103" i="41"/>
  <c r="V103" i="41"/>
  <c r="T103" i="41"/>
  <c r="R103" i="41"/>
  <c r="P103" i="41"/>
  <c r="N103" i="41"/>
  <c r="L103" i="41"/>
  <c r="J103" i="41"/>
  <c r="H103" i="41"/>
  <c r="F103" i="41"/>
  <c r="D103" i="41"/>
  <c r="Z102" i="41"/>
  <c r="X102" i="41"/>
  <c r="V102" i="41"/>
  <c r="T102" i="41"/>
  <c r="R102" i="41"/>
  <c r="P102" i="41"/>
  <c r="N102" i="41"/>
  <c r="L102" i="41"/>
  <c r="J102" i="41"/>
  <c r="H102" i="41"/>
  <c r="F102" i="41"/>
  <c r="D102" i="41"/>
  <c r="AA101" i="41"/>
  <c r="Z101" i="41"/>
  <c r="X101" i="41"/>
  <c r="V101" i="41"/>
  <c r="T101" i="41"/>
  <c r="R101" i="41"/>
  <c r="P101" i="41"/>
  <c r="N101" i="41"/>
  <c r="L101" i="41"/>
  <c r="J101" i="41"/>
  <c r="H101" i="41"/>
  <c r="F101" i="41"/>
  <c r="D101" i="41"/>
  <c r="AA100" i="41"/>
  <c r="Z100" i="41"/>
  <c r="X100" i="41"/>
  <c r="V100" i="41"/>
  <c r="T100" i="41"/>
  <c r="R100" i="41"/>
  <c r="P100" i="41"/>
  <c r="N100" i="41"/>
  <c r="L100" i="41"/>
  <c r="J100" i="41"/>
  <c r="H100" i="41"/>
  <c r="F100" i="41"/>
  <c r="D100" i="41"/>
  <c r="AA99" i="41"/>
  <c r="Z99" i="41"/>
  <c r="X99" i="41"/>
  <c r="V99" i="41"/>
  <c r="T99" i="41"/>
  <c r="R99" i="41"/>
  <c r="P99" i="41"/>
  <c r="N99" i="41"/>
  <c r="L99" i="41"/>
  <c r="J99" i="41"/>
  <c r="H99" i="41"/>
  <c r="F99" i="41"/>
  <c r="D99" i="41"/>
  <c r="AA98" i="41"/>
  <c r="Z98" i="41"/>
  <c r="X98" i="41"/>
  <c r="V98" i="41"/>
  <c r="T98" i="41"/>
  <c r="R98" i="41"/>
  <c r="P98" i="41"/>
  <c r="N98" i="41"/>
  <c r="L98" i="41"/>
  <c r="J98" i="41"/>
  <c r="H98" i="41"/>
  <c r="F98" i="41"/>
  <c r="D98" i="41"/>
  <c r="AA96" i="41"/>
  <c r="Z96" i="41"/>
  <c r="X96" i="41"/>
  <c r="V96" i="41"/>
  <c r="T96" i="41"/>
  <c r="R96" i="41"/>
  <c r="P96" i="41"/>
  <c r="N96" i="41"/>
  <c r="L96" i="41"/>
  <c r="J96" i="41"/>
  <c r="H96" i="41"/>
  <c r="F96" i="41"/>
  <c r="D96" i="41"/>
  <c r="AA95" i="41"/>
  <c r="Z95" i="41"/>
  <c r="X95" i="41"/>
  <c r="V95" i="41"/>
  <c r="T95" i="41"/>
  <c r="R95" i="41"/>
  <c r="P95" i="41"/>
  <c r="N95" i="41"/>
  <c r="L95" i="41"/>
  <c r="J95" i="41"/>
  <c r="H95" i="41"/>
  <c r="F95" i="41"/>
  <c r="D95" i="41"/>
  <c r="AA93" i="41"/>
  <c r="Z93" i="41"/>
  <c r="X93" i="41"/>
  <c r="V93" i="41"/>
  <c r="T93" i="41"/>
  <c r="R93" i="41"/>
  <c r="P93" i="41"/>
  <c r="N93" i="41"/>
  <c r="L93" i="41"/>
  <c r="J93" i="41"/>
  <c r="H93" i="41"/>
  <c r="F93" i="41"/>
  <c r="D93" i="41"/>
  <c r="AA92" i="41"/>
  <c r="Z92" i="41"/>
  <c r="X92" i="41"/>
  <c r="V92" i="41"/>
  <c r="T92" i="41"/>
  <c r="R92" i="41"/>
  <c r="P92" i="41"/>
  <c r="N92" i="41"/>
  <c r="L92" i="41"/>
  <c r="J92" i="41"/>
  <c r="H92" i="41"/>
  <c r="F92" i="41"/>
  <c r="D92" i="41"/>
  <c r="AA91" i="41"/>
  <c r="Z91" i="41"/>
  <c r="X91" i="41"/>
  <c r="V91" i="41"/>
  <c r="T91" i="41"/>
  <c r="R91" i="41"/>
  <c r="P91" i="41"/>
  <c r="N91" i="41"/>
  <c r="L91" i="41"/>
  <c r="J91" i="41"/>
  <c r="H91" i="41"/>
  <c r="F91" i="41"/>
  <c r="D91" i="41"/>
  <c r="AA90" i="41"/>
  <c r="Z90" i="41"/>
  <c r="X90" i="41"/>
  <c r="V90" i="41"/>
  <c r="T90" i="41"/>
  <c r="R90" i="41"/>
  <c r="P90" i="41"/>
  <c r="N90" i="41"/>
  <c r="L90" i="41"/>
  <c r="J90" i="41"/>
  <c r="H90" i="41"/>
  <c r="F90" i="41"/>
  <c r="D90" i="41"/>
  <c r="AA88" i="41"/>
  <c r="Z88" i="41"/>
  <c r="X88" i="41"/>
  <c r="V88" i="41"/>
  <c r="T88" i="41"/>
  <c r="R88" i="41"/>
  <c r="P88" i="41"/>
  <c r="N88" i="41"/>
  <c r="L88" i="41"/>
  <c r="J88" i="41"/>
  <c r="H88" i="41"/>
  <c r="F88" i="41"/>
  <c r="D88" i="41"/>
  <c r="AA87" i="41"/>
  <c r="Z87" i="41"/>
  <c r="X87" i="41"/>
  <c r="V87" i="41"/>
  <c r="T87" i="41"/>
  <c r="R87" i="41"/>
  <c r="P87" i="41"/>
  <c r="N87" i="41"/>
  <c r="L87" i="41"/>
  <c r="J87" i="41"/>
  <c r="H87" i="41"/>
  <c r="F87" i="41"/>
  <c r="D87" i="41"/>
  <c r="AA86" i="41"/>
  <c r="Z86" i="41"/>
  <c r="X86" i="41"/>
  <c r="V86" i="41"/>
  <c r="T86" i="41"/>
  <c r="R86" i="41"/>
  <c r="P86" i="41"/>
  <c r="N86" i="41"/>
  <c r="L86" i="41"/>
  <c r="J86" i="41"/>
  <c r="H86" i="41"/>
  <c r="F86" i="41"/>
  <c r="D86" i="41"/>
  <c r="AA85" i="41"/>
  <c r="Z85" i="41"/>
  <c r="X85" i="41"/>
  <c r="V85" i="41"/>
  <c r="T85" i="41"/>
  <c r="R85" i="41"/>
  <c r="P85" i="41"/>
  <c r="N85" i="41"/>
  <c r="L85" i="41"/>
  <c r="J85" i="41"/>
  <c r="H85" i="41"/>
  <c r="F85" i="41"/>
  <c r="D85" i="41"/>
  <c r="AA84" i="41"/>
  <c r="Z84" i="41"/>
  <c r="X84" i="41"/>
  <c r="V84" i="41"/>
  <c r="T84" i="41"/>
  <c r="N84" i="41"/>
  <c r="H84" i="41"/>
  <c r="F84" i="41"/>
  <c r="D84" i="41"/>
  <c r="AA82" i="41"/>
  <c r="Z82" i="41"/>
  <c r="X82" i="41"/>
  <c r="V82" i="41"/>
  <c r="T82" i="41"/>
  <c r="R82" i="41"/>
  <c r="P82" i="41"/>
  <c r="N82" i="41"/>
  <c r="L82" i="41"/>
  <c r="J82" i="41"/>
  <c r="H82" i="41"/>
  <c r="F82" i="41"/>
  <c r="D82" i="41"/>
  <c r="Z81" i="41"/>
  <c r="X81" i="41"/>
  <c r="V81" i="41"/>
  <c r="T81" i="41"/>
  <c r="N81" i="41"/>
  <c r="L81" i="41"/>
  <c r="J81" i="41"/>
  <c r="H81" i="41"/>
  <c r="F81" i="41"/>
  <c r="D81" i="41"/>
  <c r="AA80" i="41"/>
  <c r="Z80" i="41"/>
  <c r="X80" i="41"/>
  <c r="V80" i="41"/>
  <c r="T80" i="41"/>
  <c r="R80" i="41"/>
  <c r="P80" i="41"/>
  <c r="N80" i="41"/>
  <c r="L80" i="41"/>
  <c r="J80" i="41"/>
  <c r="H80" i="41"/>
  <c r="F80" i="41"/>
  <c r="D80" i="41"/>
  <c r="AA79" i="41"/>
  <c r="AB107" i="41" s="1"/>
  <c r="Z79" i="41"/>
  <c r="X79" i="41"/>
  <c r="V79" i="41"/>
  <c r="T79" i="41"/>
  <c r="R79" i="41"/>
  <c r="P79" i="41"/>
  <c r="N79" i="41"/>
  <c r="L79" i="41"/>
  <c r="J79" i="41"/>
  <c r="H79" i="41"/>
  <c r="F79" i="41"/>
  <c r="D79" i="41"/>
  <c r="Z138" i="41"/>
  <c r="X138" i="41"/>
  <c r="V138" i="41"/>
  <c r="T138" i="41"/>
  <c r="R138" i="41"/>
  <c r="P138" i="41"/>
  <c r="N138" i="41"/>
  <c r="L138" i="41"/>
  <c r="J138" i="41"/>
  <c r="H138" i="41"/>
  <c r="F138" i="41"/>
  <c r="D138" i="41"/>
  <c r="Z137" i="41"/>
  <c r="X137" i="41"/>
  <c r="V137" i="41"/>
  <c r="T137" i="41"/>
  <c r="R137" i="41"/>
  <c r="P137" i="41"/>
  <c r="N137" i="41"/>
  <c r="L137" i="41"/>
  <c r="J137" i="41"/>
  <c r="H137" i="41"/>
  <c r="F137" i="41"/>
  <c r="D137" i="41"/>
  <c r="Z136" i="41"/>
  <c r="X136" i="41"/>
  <c r="V136" i="41"/>
  <c r="T136" i="41"/>
  <c r="R136" i="41"/>
  <c r="P136" i="41"/>
  <c r="N136" i="41"/>
  <c r="L136" i="41"/>
  <c r="J136" i="41"/>
  <c r="H136" i="41"/>
  <c r="F136" i="41"/>
  <c r="D136" i="41"/>
  <c r="Z135" i="41"/>
  <c r="X135" i="41"/>
  <c r="V135" i="41"/>
  <c r="T135" i="41"/>
  <c r="R135" i="41"/>
  <c r="P135" i="41"/>
  <c r="N135" i="41"/>
  <c r="L135" i="41"/>
  <c r="J135" i="41"/>
  <c r="H135" i="41"/>
  <c r="F135" i="41"/>
  <c r="D135" i="41"/>
  <c r="Z134" i="41"/>
  <c r="X134" i="41"/>
  <c r="V134" i="41"/>
  <c r="T134" i="41"/>
  <c r="R134" i="41"/>
  <c r="P134" i="41"/>
  <c r="N134" i="41"/>
  <c r="L134" i="41"/>
  <c r="J134" i="41"/>
  <c r="H134" i="41"/>
  <c r="F134" i="41"/>
  <c r="D134" i="41"/>
  <c r="Z133" i="41"/>
  <c r="X133" i="41"/>
  <c r="V133" i="41"/>
  <c r="T133" i="41"/>
  <c r="R133" i="41"/>
  <c r="P133" i="41"/>
  <c r="N133" i="41"/>
  <c r="L133" i="41"/>
  <c r="J133" i="41"/>
  <c r="H133" i="41"/>
  <c r="F133" i="41"/>
  <c r="D133" i="41"/>
  <c r="AA132" i="41"/>
  <c r="Z132" i="41"/>
  <c r="X132" i="41"/>
  <c r="V132" i="41"/>
  <c r="T132" i="41"/>
  <c r="R132" i="41"/>
  <c r="P132" i="41"/>
  <c r="N132" i="41"/>
  <c r="L132" i="41"/>
  <c r="J132" i="41"/>
  <c r="H132" i="41"/>
  <c r="F132" i="41"/>
  <c r="D132" i="41"/>
  <c r="AA131" i="41"/>
  <c r="Z131" i="41"/>
  <c r="X131" i="41"/>
  <c r="V131" i="41"/>
  <c r="T131" i="41"/>
  <c r="R131" i="41"/>
  <c r="P131" i="41"/>
  <c r="N131" i="41"/>
  <c r="L131" i="41"/>
  <c r="J131" i="41"/>
  <c r="H131" i="41"/>
  <c r="F131" i="41"/>
  <c r="D131" i="41"/>
  <c r="AA130" i="41"/>
  <c r="Z130" i="41"/>
  <c r="X130" i="41"/>
  <c r="V130" i="41"/>
  <c r="T130" i="41"/>
  <c r="R130" i="41"/>
  <c r="P130" i="41"/>
  <c r="N130" i="41"/>
  <c r="L130" i="41"/>
  <c r="J130" i="41"/>
  <c r="H130" i="41"/>
  <c r="F130" i="41"/>
  <c r="D130" i="41"/>
  <c r="AA129" i="41"/>
  <c r="Z129" i="41"/>
  <c r="X129" i="41"/>
  <c r="V129" i="41"/>
  <c r="T129" i="41"/>
  <c r="R129" i="41"/>
  <c r="P129" i="41"/>
  <c r="N129" i="41"/>
  <c r="L129" i="41"/>
  <c r="J129" i="41"/>
  <c r="H129" i="41"/>
  <c r="F129" i="41"/>
  <c r="D129" i="41"/>
  <c r="AA127" i="41"/>
  <c r="Z127" i="41"/>
  <c r="X127" i="41"/>
  <c r="V127" i="41"/>
  <c r="T127" i="41"/>
  <c r="R127" i="41"/>
  <c r="P127" i="41"/>
  <c r="N127" i="41"/>
  <c r="L127" i="41"/>
  <c r="J127" i="41"/>
  <c r="H127" i="41"/>
  <c r="F127" i="41"/>
  <c r="D127" i="41"/>
  <c r="AA126" i="41"/>
  <c r="Z126" i="41"/>
  <c r="X126" i="41"/>
  <c r="V126" i="41"/>
  <c r="T126" i="41"/>
  <c r="R126" i="41"/>
  <c r="P126" i="41"/>
  <c r="N126" i="41"/>
  <c r="L126" i="41"/>
  <c r="J126" i="41"/>
  <c r="H126" i="41"/>
  <c r="F126" i="41"/>
  <c r="D126" i="41"/>
  <c r="AA125" i="41"/>
  <c r="Z125" i="41"/>
  <c r="X125" i="41"/>
  <c r="V125" i="41"/>
  <c r="T125" i="41"/>
  <c r="R125" i="41"/>
  <c r="P125" i="41"/>
  <c r="N125" i="41"/>
  <c r="L125" i="41"/>
  <c r="J125" i="41"/>
  <c r="H125" i="41"/>
  <c r="F125" i="41"/>
  <c r="D125" i="41"/>
  <c r="AA124" i="41"/>
  <c r="Z124" i="41"/>
  <c r="X124" i="41"/>
  <c r="V124" i="41"/>
  <c r="T124" i="41"/>
  <c r="R124" i="41"/>
  <c r="P124" i="41"/>
  <c r="N124" i="41"/>
  <c r="L124" i="41"/>
  <c r="J124" i="41"/>
  <c r="H124" i="41"/>
  <c r="F124" i="41"/>
  <c r="D124" i="41"/>
  <c r="AA123" i="41"/>
  <c r="Z123" i="41"/>
  <c r="X123" i="41"/>
  <c r="V123" i="41"/>
  <c r="T123" i="41"/>
  <c r="R123" i="41"/>
  <c r="P123" i="41"/>
  <c r="N123" i="41"/>
  <c r="L123" i="41"/>
  <c r="J123" i="41"/>
  <c r="H123" i="41"/>
  <c r="F123" i="41"/>
  <c r="D123" i="41"/>
  <c r="AA122" i="41"/>
  <c r="Z122" i="41"/>
  <c r="X122" i="41"/>
  <c r="V122" i="41"/>
  <c r="T122" i="41"/>
  <c r="R122" i="41"/>
  <c r="P122" i="41"/>
  <c r="N122" i="41"/>
  <c r="L122" i="41"/>
  <c r="J122" i="41"/>
  <c r="H122" i="41"/>
  <c r="F122" i="41"/>
  <c r="D122" i="41"/>
  <c r="AA121" i="41"/>
  <c r="Z121" i="41"/>
  <c r="X121" i="41"/>
  <c r="V121" i="41"/>
  <c r="T121" i="41"/>
  <c r="R121" i="41"/>
  <c r="P121" i="41"/>
  <c r="N121" i="41"/>
  <c r="L121" i="41"/>
  <c r="J121" i="41"/>
  <c r="H121" i="41"/>
  <c r="F121" i="41"/>
  <c r="D121" i="41"/>
  <c r="AA119" i="41"/>
  <c r="Z119" i="41"/>
  <c r="X119" i="41"/>
  <c r="V119" i="41"/>
  <c r="T119" i="41"/>
  <c r="R119" i="41"/>
  <c r="P119" i="41"/>
  <c r="N119" i="41"/>
  <c r="L119" i="41"/>
  <c r="J119" i="41"/>
  <c r="H119" i="41"/>
  <c r="F119" i="41"/>
  <c r="D119" i="41"/>
  <c r="AA118" i="41"/>
  <c r="Z118" i="41"/>
  <c r="X118" i="41"/>
  <c r="V118" i="41"/>
  <c r="T118" i="41"/>
  <c r="R118" i="41"/>
  <c r="P118" i="41"/>
  <c r="N118" i="41"/>
  <c r="L118" i="41"/>
  <c r="J118" i="41"/>
  <c r="H118" i="41"/>
  <c r="F118" i="41"/>
  <c r="D118" i="41"/>
  <c r="AA117" i="41"/>
  <c r="Z117" i="41"/>
  <c r="X117" i="41"/>
  <c r="V117" i="41"/>
  <c r="T117" i="41"/>
  <c r="R117" i="41"/>
  <c r="P117" i="41"/>
  <c r="N117" i="41"/>
  <c r="L117" i="41"/>
  <c r="J117" i="41"/>
  <c r="H117" i="41"/>
  <c r="F117" i="41"/>
  <c r="D117" i="41"/>
  <c r="AA116" i="41"/>
  <c r="Z116" i="41"/>
  <c r="X116" i="41"/>
  <c r="V116" i="41"/>
  <c r="T116" i="41"/>
  <c r="R116" i="41"/>
  <c r="P116" i="41"/>
  <c r="N116" i="41"/>
  <c r="L116" i="41"/>
  <c r="J116" i="41"/>
  <c r="H116" i="41"/>
  <c r="F116" i="41"/>
  <c r="D116" i="41"/>
  <c r="AA115" i="41"/>
  <c r="Z115" i="41"/>
  <c r="X115" i="41"/>
  <c r="V115" i="41"/>
  <c r="T115" i="41"/>
  <c r="N115" i="41"/>
  <c r="H115" i="41"/>
  <c r="F115" i="41"/>
  <c r="D115" i="41"/>
  <c r="AA113" i="41"/>
  <c r="Z113" i="41"/>
  <c r="X113" i="41"/>
  <c r="V113" i="41"/>
  <c r="T113" i="41"/>
  <c r="R113" i="41"/>
  <c r="P113" i="41"/>
  <c r="N113" i="41"/>
  <c r="L113" i="41"/>
  <c r="J113" i="41"/>
  <c r="H113" i="41"/>
  <c r="F113" i="41"/>
  <c r="D113" i="41"/>
  <c r="Z112" i="41"/>
  <c r="X112" i="41"/>
  <c r="V112" i="41"/>
  <c r="T112" i="41"/>
  <c r="N112" i="41"/>
  <c r="L112" i="41"/>
  <c r="J112" i="41"/>
  <c r="H112" i="41"/>
  <c r="F112" i="41"/>
  <c r="D112" i="41"/>
  <c r="AA111" i="41"/>
  <c r="Z111" i="41"/>
  <c r="X111" i="41"/>
  <c r="V111" i="41"/>
  <c r="T111" i="41"/>
  <c r="R111" i="41"/>
  <c r="P111" i="41"/>
  <c r="N111" i="41"/>
  <c r="L111" i="41"/>
  <c r="J111" i="41"/>
  <c r="H111" i="41"/>
  <c r="F111" i="41"/>
  <c r="D111" i="41"/>
  <c r="AA110" i="41"/>
  <c r="AB137" i="41" s="1"/>
  <c r="Z110" i="41"/>
  <c r="X110" i="41"/>
  <c r="V110" i="41"/>
  <c r="T110" i="41"/>
  <c r="R110" i="41"/>
  <c r="P110" i="41"/>
  <c r="N110" i="41"/>
  <c r="L110" i="41"/>
  <c r="J110" i="41"/>
  <c r="H110" i="41"/>
  <c r="F110" i="41"/>
  <c r="D110" i="41"/>
  <c r="Y109" i="41"/>
  <c r="W109" i="41"/>
  <c r="U109" i="41"/>
  <c r="S109" i="41"/>
  <c r="Q109" i="41"/>
  <c r="O109" i="41"/>
  <c r="M109" i="41"/>
  <c r="K109" i="41"/>
  <c r="I109" i="41"/>
  <c r="G109" i="41"/>
  <c r="E109" i="41"/>
  <c r="C109" i="41"/>
  <c r="Z72" i="41"/>
  <c r="X72" i="41"/>
  <c r="V72" i="41"/>
  <c r="T72" i="41"/>
  <c r="R72" i="41"/>
  <c r="P72" i="41"/>
  <c r="N72" i="41"/>
  <c r="L72" i="41"/>
  <c r="J72" i="41"/>
  <c r="H72" i="41"/>
  <c r="F72" i="41"/>
  <c r="D72" i="41"/>
  <c r="Z71" i="41"/>
  <c r="X71" i="41"/>
  <c r="V71" i="41"/>
  <c r="T71" i="41"/>
  <c r="R71" i="41"/>
  <c r="P71" i="41"/>
  <c r="N71" i="41"/>
  <c r="L71" i="41"/>
  <c r="J71" i="41"/>
  <c r="H71" i="41"/>
  <c r="F71" i="41"/>
  <c r="D71" i="41"/>
  <c r="Z70" i="41"/>
  <c r="X70" i="41"/>
  <c r="V70" i="41"/>
  <c r="T70" i="41"/>
  <c r="R70" i="41"/>
  <c r="P70" i="41"/>
  <c r="N70" i="41"/>
  <c r="L70" i="41"/>
  <c r="J70" i="41"/>
  <c r="H70" i="41"/>
  <c r="F70" i="41"/>
  <c r="D70" i="41"/>
  <c r="Z69" i="41"/>
  <c r="X69" i="41"/>
  <c r="V69" i="41"/>
  <c r="T69" i="41"/>
  <c r="R69" i="41"/>
  <c r="P69" i="41"/>
  <c r="N69" i="41"/>
  <c r="L69" i="41"/>
  <c r="J69" i="41"/>
  <c r="H69" i="41"/>
  <c r="F69" i="41"/>
  <c r="D69" i="41"/>
  <c r="Z68" i="41"/>
  <c r="X68" i="41"/>
  <c r="V68" i="41"/>
  <c r="T68" i="41"/>
  <c r="R68" i="41"/>
  <c r="P68" i="41"/>
  <c r="N68" i="41"/>
  <c r="L68" i="41"/>
  <c r="J68" i="41"/>
  <c r="H68" i="41"/>
  <c r="F68" i="41"/>
  <c r="D68" i="41"/>
  <c r="Z67" i="41"/>
  <c r="X67" i="41"/>
  <c r="V67" i="41"/>
  <c r="T67" i="41"/>
  <c r="R67" i="41"/>
  <c r="P67" i="41"/>
  <c r="N67" i="41"/>
  <c r="L67" i="41"/>
  <c r="J67" i="41"/>
  <c r="H67" i="41"/>
  <c r="F67" i="41"/>
  <c r="D67" i="41"/>
  <c r="AA66" i="41"/>
  <c r="Z66" i="41"/>
  <c r="X66" i="41"/>
  <c r="V66" i="41"/>
  <c r="T66" i="41"/>
  <c r="R66" i="41"/>
  <c r="P66" i="41"/>
  <c r="N66" i="41"/>
  <c r="L66" i="41"/>
  <c r="J66" i="41"/>
  <c r="H66" i="41"/>
  <c r="F66" i="41"/>
  <c r="D66" i="41"/>
  <c r="AA65" i="41"/>
  <c r="Z65" i="41"/>
  <c r="X65" i="41"/>
  <c r="V65" i="41"/>
  <c r="T65" i="41"/>
  <c r="R65" i="41"/>
  <c r="P65" i="41"/>
  <c r="N65" i="41"/>
  <c r="L65" i="41"/>
  <c r="J65" i="41"/>
  <c r="H65" i="41"/>
  <c r="F65" i="41"/>
  <c r="D65" i="41"/>
  <c r="AA64" i="41"/>
  <c r="Z64" i="41"/>
  <c r="X64" i="41"/>
  <c r="V64" i="41"/>
  <c r="T64" i="41"/>
  <c r="R64" i="41"/>
  <c r="P64" i="41"/>
  <c r="N64" i="41"/>
  <c r="L64" i="41"/>
  <c r="J64" i="41"/>
  <c r="H64" i="41"/>
  <c r="F64" i="41"/>
  <c r="D64" i="41"/>
  <c r="AA63" i="41"/>
  <c r="Z63" i="41"/>
  <c r="X63" i="41"/>
  <c r="V63" i="41"/>
  <c r="T63" i="41"/>
  <c r="R63" i="41"/>
  <c r="P63" i="41"/>
  <c r="N63" i="41"/>
  <c r="L63" i="41"/>
  <c r="J63" i="41"/>
  <c r="H63" i="41"/>
  <c r="F63" i="41"/>
  <c r="D63" i="41"/>
  <c r="Z61" i="41"/>
  <c r="X61" i="41"/>
  <c r="V61" i="41"/>
  <c r="T61" i="41"/>
  <c r="R61" i="41"/>
  <c r="P61" i="41"/>
  <c r="N61" i="41"/>
  <c r="L61" i="41"/>
  <c r="J61" i="41"/>
  <c r="H61" i="41"/>
  <c r="F61" i="41"/>
  <c r="C61" i="41"/>
  <c r="D61" i="41" s="1"/>
  <c r="AA60" i="41"/>
  <c r="Z60" i="41"/>
  <c r="X60" i="41"/>
  <c r="V60" i="41"/>
  <c r="T60" i="41"/>
  <c r="R60" i="41"/>
  <c r="P60" i="41"/>
  <c r="N60" i="41"/>
  <c r="L60" i="41"/>
  <c r="J60" i="41"/>
  <c r="H60" i="41"/>
  <c r="F60" i="41"/>
  <c r="D60" i="41"/>
  <c r="AA58" i="41"/>
  <c r="Z58" i="41"/>
  <c r="X58" i="41"/>
  <c r="V58" i="41"/>
  <c r="T58" i="41"/>
  <c r="R58" i="41"/>
  <c r="P58" i="41"/>
  <c r="N58" i="41"/>
  <c r="L58" i="41"/>
  <c r="J58" i="41"/>
  <c r="H58" i="41"/>
  <c r="F58" i="41"/>
  <c r="D58" i="41"/>
  <c r="AA57" i="41"/>
  <c r="Z57" i="41"/>
  <c r="X57" i="41"/>
  <c r="V57" i="41"/>
  <c r="T57" i="41"/>
  <c r="R57" i="41"/>
  <c r="P57" i="41"/>
  <c r="N57" i="41"/>
  <c r="L57" i="41"/>
  <c r="J57" i="41"/>
  <c r="H57" i="41"/>
  <c r="F57" i="41"/>
  <c r="D57" i="41"/>
  <c r="AA56" i="41"/>
  <c r="Z56" i="41"/>
  <c r="X56" i="41"/>
  <c r="V56" i="41"/>
  <c r="T56" i="41"/>
  <c r="R56" i="41"/>
  <c r="P56" i="41"/>
  <c r="N56" i="41"/>
  <c r="L56" i="41"/>
  <c r="J56" i="41"/>
  <c r="H56" i="41"/>
  <c r="F56" i="41"/>
  <c r="D56" i="41"/>
  <c r="AA55" i="41"/>
  <c r="Z55" i="41"/>
  <c r="X55" i="41"/>
  <c r="V55" i="41"/>
  <c r="T55" i="41"/>
  <c r="R55" i="41"/>
  <c r="P55" i="41"/>
  <c r="N55" i="41"/>
  <c r="L55" i="41"/>
  <c r="J55" i="41"/>
  <c r="H55" i="41"/>
  <c r="F55" i="41"/>
  <c r="D55" i="41"/>
  <c r="AA53" i="41"/>
  <c r="Z53" i="41"/>
  <c r="X53" i="41"/>
  <c r="V53" i="41"/>
  <c r="T53" i="41"/>
  <c r="R53" i="41"/>
  <c r="P53" i="41"/>
  <c r="N53" i="41"/>
  <c r="L53" i="41"/>
  <c r="J53" i="41"/>
  <c r="H53" i="41"/>
  <c r="F53" i="41"/>
  <c r="D53" i="41"/>
  <c r="AA52" i="41"/>
  <c r="Z52" i="41"/>
  <c r="X52" i="41"/>
  <c r="V52" i="41"/>
  <c r="T52" i="41"/>
  <c r="R52" i="41"/>
  <c r="P52" i="41"/>
  <c r="N52" i="41"/>
  <c r="L52" i="41"/>
  <c r="J52" i="41"/>
  <c r="H52" i="41"/>
  <c r="F52" i="41"/>
  <c r="D52" i="41"/>
  <c r="AA51" i="41"/>
  <c r="Z51" i="41"/>
  <c r="X51" i="41"/>
  <c r="V51" i="41"/>
  <c r="T51" i="41"/>
  <c r="R51" i="41"/>
  <c r="P51" i="41"/>
  <c r="N51" i="41"/>
  <c r="L51" i="41"/>
  <c r="J51" i="41"/>
  <c r="H51" i="41"/>
  <c r="F51" i="41"/>
  <c r="D51" i="41"/>
  <c r="AA50" i="41"/>
  <c r="Z50" i="41"/>
  <c r="X50" i="41"/>
  <c r="V50" i="41"/>
  <c r="T50" i="41"/>
  <c r="R50" i="41"/>
  <c r="P50" i="41"/>
  <c r="N50" i="41"/>
  <c r="L50" i="41"/>
  <c r="J50" i="41"/>
  <c r="H50" i="41"/>
  <c r="F50" i="41"/>
  <c r="D50" i="41"/>
  <c r="AA49" i="41"/>
  <c r="Z49" i="41"/>
  <c r="X49" i="41"/>
  <c r="V49" i="41"/>
  <c r="T49" i="41"/>
  <c r="R49" i="41"/>
  <c r="P49" i="41"/>
  <c r="N49" i="41"/>
  <c r="H49" i="41"/>
  <c r="F49" i="41"/>
  <c r="D49" i="41"/>
  <c r="AA47" i="41"/>
  <c r="Z47" i="41"/>
  <c r="X47" i="41"/>
  <c r="V47" i="41"/>
  <c r="T47" i="41"/>
  <c r="R47" i="41"/>
  <c r="P47" i="41"/>
  <c r="N47" i="41"/>
  <c r="L47" i="41"/>
  <c r="J47" i="41"/>
  <c r="H47" i="41"/>
  <c r="F47" i="41"/>
  <c r="D47" i="41"/>
  <c r="Z46" i="41"/>
  <c r="X46" i="41"/>
  <c r="V46" i="41"/>
  <c r="T46" i="41"/>
  <c r="R46" i="41"/>
  <c r="P46" i="41"/>
  <c r="N46" i="41"/>
  <c r="L46" i="41"/>
  <c r="J46" i="41"/>
  <c r="H46" i="41"/>
  <c r="F46" i="41"/>
  <c r="D46" i="41"/>
  <c r="AA45" i="41"/>
  <c r="Z45" i="41"/>
  <c r="X45" i="41"/>
  <c r="V45" i="41"/>
  <c r="T45" i="41"/>
  <c r="R45" i="41"/>
  <c r="P45" i="41"/>
  <c r="N45" i="41"/>
  <c r="L45" i="41"/>
  <c r="J45" i="41"/>
  <c r="H45" i="41"/>
  <c r="F45" i="41"/>
  <c r="D45" i="41"/>
  <c r="AA44" i="41"/>
  <c r="AB72" i="41" s="1"/>
  <c r="Z44" i="41"/>
  <c r="X44" i="41"/>
  <c r="V44" i="41"/>
  <c r="T44" i="41"/>
  <c r="R44" i="41"/>
  <c r="P44" i="41"/>
  <c r="N44" i="41"/>
  <c r="L44" i="41"/>
  <c r="J44" i="41"/>
  <c r="H44" i="41"/>
  <c r="F44" i="41"/>
  <c r="D44" i="41"/>
  <c r="Y31" i="41"/>
  <c r="W31" i="41"/>
  <c r="U31" i="41"/>
  <c r="S31" i="41"/>
  <c r="Q31" i="41"/>
  <c r="O31" i="41"/>
  <c r="M31" i="41"/>
  <c r="K31" i="41"/>
  <c r="I31" i="41"/>
  <c r="G31" i="41"/>
  <c r="E31" i="41"/>
  <c r="C31" i="41"/>
  <c r="Y30" i="41"/>
  <c r="W30" i="41"/>
  <c r="U30" i="41"/>
  <c r="S30" i="41"/>
  <c r="Q30" i="41"/>
  <c r="O30" i="41"/>
  <c r="M30" i="41"/>
  <c r="K30" i="41"/>
  <c r="I30" i="41"/>
  <c r="G30" i="41"/>
  <c r="E30" i="41"/>
  <c r="C30" i="41"/>
  <c r="Y28" i="41"/>
  <c r="W28" i="41"/>
  <c r="U28" i="41"/>
  <c r="S28" i="41"/>
  <c r="Q28" i="41"/>
  <c r="O28" i="41"/>
  <c r="M28" i="41"/>
  <c r="K28" i="41"/>
  <c r="K32" i="41" s="1"/>
  <c r="I28" i="41"/>
  <c r="Y27" i="41"/>
  <c r="W27" i="41"/>
  <c r="U27" i="41"/>
  <c r="S27" i="41"/>
  <c r="Q27" i="41"/>
  <c r="O27" i="41"/>
  <c r="M27" i="41"/>
  <c r="K27" i="41"/>
  <c r="I27" i="41"/>
  <c r="Y26" i="41"/>
  <c r="W26" i="41"/>
  <c r="U26" i="41"/>
  <c r="S26" i="41"/>
  <c r="Q26" i="41"/>
  <c r="O26" i="41"/>
  <c r="M26" i="41"/>
  <c r="K26" i="41"/>
  <c r="I26" i="41"/>
  <c r="G26" i="41"/>
  <c r="E26" i="41"/>
  <c r="C26" i="41"/>
  <c r="Y25" i="41"/>
  <c r="W25" i="41"/>
  <c r="U25" i="41"/>
  <c r="S25" i="41"/>
  <c r="Q25" i="41"/>
  <c r="O25" i="41"/>
  <c r="M25" i="41"/>
  <c r="K25" i="41"/>
  <c r="I25" i="41"/>
  <c r="G25" i="41"/>
  <c r="E25" i="41"/>
  <c r="C25" i="41"/>
  <c r="Y24" i="41"/>
  <c r="W24" i="41"/>
  <c r="U24" i="41"/>
  <c r="S24" i="41"/>
  <c r="Q24" i="41"/>
  <c r="O24" i="41"/>
  <c r="M24" i="41"/>
  <c r="K24" i="41"/>
  <c r="I24" i="41"/>
  <c r="G24" i="41"/>
  <c r="E24" i="41"/>
  <c r="C24" i="41"/>
  <c r="Y23" i="41"/>
  <c r="W23" i="41"/>
  <c r="U23" i="41"/>
  <c r="S23" i="41"/>
  <c r="Q23" i="41"/>
  <c r="O23" i="41"/>
  <c r="M23" i="41"/>
  <c r="K23" i="41"/>
  <c r="I23" i="41"/>
  <c r="G23" i="41"/>
  <c r="E23" i="41"/>
  <c r="E27" i="41" s="1"/>
  <c r="C23" i="41"/>
  <c r="Y22" i="41"/>
  <c r="W22" i="41"/>
  <c r="U22" i="41"/>
  <c r="S22" i="41"/>
  <c r="Q22" i="41"/>
  <c r="O22" i="41"/>
  <c r="M22" i="41"/>
  <c r="K22" i="41"/>
  <c r="I22" i="41"/>
  <c r="G22" i="41"/>
  <c r="E22" i="41"/>
  <c r="C22" i="41"/>
  <c r="Y20" i="41"/>
  <c r="W20" i="41"/>
  <c r="U20" i="41"/>
  <c r="S20" i="41"/>
  <c r="Q20" i="41"/>
  <c r="O20" i="41"/>
  <c r="M20" i="41"/>
  <c r="K20" i="41"/>
  <c r="I20" i="41"/>
  <c r="Y19" i="41"/>
  <c r="W19" i="41"/>
  <c r="U19" i="41"/>
  <c r="S19" i="41"/>
  <c r="Q19" i="41"/>
  <c r="O19" i="41"/>
  <c r="M19" i="41"/>
  <c r="K19" i="41"/>
  <c r="I19" i="41"/>
  <c r="Y18" i="41"/>
  <c r="W18" i="41"/>
  <c r="U18" i="41"/>
  <c r="S18" i="41"/>
  <c r="Q18" i="41"/>
  <c r="O18" i="41"/>
  <c r="M18" i="41"/>
  <c r="K18" i="41"/>
  <c r="I18" i="41"/>
  <c r="G18" i="41"/>
  <c r="E18" i="41"/>
  <c r="C18" i="41"/>
  <c r="Y17" i="41"/>
  <c r="W17" i="41"/>
  <c r="U17" i="41"/>
  <c r="S17" i="41"/>
  <c r="Q17" i="41"/>
  <c r="O17" i="41"/>
  <c r="M17" i="41"/>
  <c r="K17" i="41"/>
  <c r="I17" i="41"/>
  <c r="G17" i="41"/>
  <c r="E17" i="41"/>
  <c r="C17" i="41"/>
  <c r="Y16" i="41"/>
  <c r="W16" i="41"/>
  <c r="U16" i="41"/>
  <c r="S16" i="41"/>
  <c r="Q16" i="41"/>
  <c r="O16" i="41"/>
  <c r="M16" i="41"/>
  <c r="K16" i="41"/>
  <c r="I16" i="41"/>
  <c r="G16" i="41"/>
  <c r="E16" i="41"/>
  <c r="C16" i="41"/>
  <c r="C19" i="41" s="1"/>
  <c r="Y14" i="41"/>
  <c r="W14" i="41"/>
  <c r="U14" i="41"/>
  <c r="S14" i="41"/>
  <c r="Q14" i="41"/>
  <c r="O14" i="41"/>
  <c r="M14" i="41"/>
  <c r="K14" i="41"/>
  <c r="I14" i="41"/>
  <c r="Y13" i="41"/>
  <c r="W13" i="41"/>
  <c r="U13" i="41"/>
  <c r="S13" i="41"/>
  <c r="Q13" i="41"/>
  <c r="O13" i="41"/>
  <c r="M13" i="41"/>
  <c r="K13" i="41"/>
  <c r="I13" i="41"/>
  <c r="G13" i="41"/>
  <c r="E13" i="41"/>
  <c r="C13" i="41"/>
  <c r="Y12" i="41"/>
  <c r="W12" i="41"/>
  <c r="U12" i="41"/>
  <c r="S12" i="41"/>
  <c r="Q12" i="41"/>
  <c r="O12" i="41"/>
  <c r="M12" i="41"/>
  <c r="K12" i="41"/>
  <c r="I12" i="41"/>
  <c r="G12" i="41"/>
  <c r="E12" i="41"/>
  <c r="C12" i="41"/>
  <c r="Y11" i="41"/>
  <c r="W11" i="41"/>
  <c r="X39" i="41" s="1"/>
  <c r="U11" i="41"/>
  <c r="S11" i="41"/>
  <c r="T38" i="41" s="1"/>
  <c r="Q11" i="41"/>
  <c r="O11" i="41"/>
  <c r="P11" i="41" s="1"/>
  <c r="M11" i="41"/>
  <c r="N38" i="41" s="1"/>
  <c r="K11" i="41"/>
  <c r="I11" i="41"/>
  <c r="J37" i="41" s="1"/>
  <c r="G11" i="41"/>
  <c r="E11" i="41"/>
  <c r="F36" i="41" s="1"/>
  <c r="C11" i="41"/>
  <c r="D38" i="41" s="1"/>
  <c r="A6" i="41"/>
  <c r="Z237" i="32"/>
  <c r="X237" i="32"/>
  <c r="V237" i="32"/>
  <c r="T237" i="32"/>
  <c r="R237" i="32"/>
  <c r="P237" i="32"/>
  <c r="N237" i="32"/>
  <c r="L237" i="32"/>
  <c r="J237" i="32"/>
  <c r="H237" i="32"/>
  <c r="F237" i="32"/>
  <c r="D237" i="32"/>
  <c r="Z236" i="32"/>
  <c r="X236" i="32"/>
  <c r="V236" i="32"/>
  <c r="T236" i="32"/>
  <c r="R236" i="32"/>
  <c r="P236" i="32"/>
  <c r="N236" i="32"/>
  <c r="L236" i="32"/>
  <c r="J236" i="32"/>
  <c r="H236" i="32"/>
  <c r="F236" i="32"/>
  <c r="D236" i="32"/>
  <c r="Z235" i="32"/>
  <c r="X235" i="32"/>
  <c r="V235" i="32"/>
  <c r="T235" i="32"/>
  <c r="R235" i="32"/>
  <c r="P235" i="32"/>
  <c r="N235" i="32"/>
  <c r="L235" i="32"/>
  <c r="J235" i="32"/>
  <c r="H235" i="32"/>
  <c r="F235" i="32"/>
  <c r="D235" i="32"/>
  <c r="Z234" i="32"/>
  <c r="X234" i="32"/>
  <c r="V234" i="32"/>
  <c r="T234" i="32"/>
  <c r="R234" i="32"/>
  <c r="P234" i="32"/>
  <c r="N234" i="32"/>
  <c r="L234" i="32"/>
  <c r="J234" i="32"/>
  <c r="H234" i="32"/>
  <c r="F234" i="32"/>
  <c r="D234" i="32"/>
  <c r="Z233" i="32"/>
  <c r="X233" i="32"/>
  <c r="V233" i="32"/>
  <c r="T233" i="32"/>
  <c r="R233" i="32"/>
  <c r="P233" i="32"/>
  <c r="N233" i="32"/>
  <c r="L233" i="32"/>
  <c r="J233" i="32"/>
  <c r="H233" i="32"/>
  <c r="F233" i="32"/>
  <c r="D233" i="32"/>
  <c r="Z232" i="32"/>
  <c r="X232" i="32"/>
  <c r="V232" i="32"/>
  <c r="T232" i="32"/>
  <c r="R232" i="32"/>
  <c r="P232" i="32"/>
  <c r="N232" i="32"/>
  <c r="L232" i="32"/>
  <c r="J232" i="32"/>
  <c r="H232" i="32"/>
  <c r="F232" i="32"/>
  <c r="D232" i="32"/>
  <c r="AA231" i="32"/>
  <c r="Z231" i="32"/>
  <c r="X231" i="32"/>
  <c r="V231" i="32"/>
  <c r="T231" i="32"/>
  <c r="R231" i="32"/>
  <c r="P231" i="32"/>
  <c r="N231" i="32"/>
  <c r="L231" i="32"/>
  <c r="J231" i="32"/>
  <c r="H231" i="32"/>
  <c r="F231" i="32"/>
  <c r="D231" i="32"/>
  <c r="AA230" i="32"/>
  <c r="Z230" i="32"/>
  <c r="X230" i="32"/>
  <c r="V230" i="32"/>
  <c r="T230" i="32"/>
  <c r="R230" i="32"/>
  <c r="P230" i="32"/>
  <c r="N230" i="32"/>
  <c r="L230" i="32"/>
  <c r="J230" i="32"/>
  <c r="H230" i="32"/>
  <c r="F230" i="32"/>
  <c r="D230" i="32"/>
  <c r="AA229" i="32"/>
  <c r="Z229" i="32"/>
  <c r="X229" i="32"/>
  <c r="V229" i="32"/>
  <c r="T229" i="32"/>
  <c r="R229" i="32"/>
  <c r="P229" i="32"/>
  <c r="N229" i="32"/>
  <c r="L229" i="32"/>
  <c r="J229" i="32"/>
  <c r="H229" i="32"/>
  <c r="F229" i="32"/>
  <c r="D229" i="32"/>
  <c r="AA228" i="32"/>
  <c r="Z228" i="32"/>
  <c r="X228" i="32"/>
  <c r="V228" i="32"/>
  <c r="T228" i="32"/>
  <c r="R228" i="32"/>
  <c r="P228" i="32"/>
  <c r="N228" i="32"/>
  <c r="L228" i="32"/>
  <c r="J228" i="32"/>
  <c r="H228" i="32"/>
  <c r="F228" i="32"/>
  <c r="D228" i="32"/>
  <c r="AA226" i="32"/>
  <c r="Z226" i="32"/>
  <c r="X226" i="32"/>
  <c r="V226" i="32"/>
  <c r="T226" i="32"/>
  <c r="R226" i="32"/>
  <c r="P226" i="32"/>
  <c r="N226" i="32"/>
  <c r="L226" i="32"/>
  <c r="J226" i="32"/>
  <c r="H226" i="32"/>
  <c r="F226" i="32"/>
  <c r="D226" i="32"/>
  <c r="AA225" i="32"/>
  <c r="Z225" i="32"/>
  <c r="X225" i="32"/>
  <c r="V225" i="32"/>
  <c r="T225" i="32"/>
  <c r="R225" i="32"/>
  <c r="P225" i="32"/>
  <c r="N225" i="32"/>
  <c r="L225" i="32"/>
  <c r="J225" i="32"/>
  <c r="H225" i="32"/>
  <c r="F225" i="32"/>
  <c r="D225" i="32"/>
  <c r="AA224" i="32"/>
  <c r="AA223" i="32"/>
  <c r="Z223" i="32"/>
  <c r="X223" i="32"/>
  <c r="V223" i="32"/>
  <c r="T223" i="32"/>
  <c r="R223" i="32"/>
  <c r="P223" i="32"/>
  <c r="N223" i="32"/>
  <c r="L223" i="32"/>
  <c r="J223" i="32"/>
  <c r="H223" i="32"/>
  <c r="F223" i="32"/>
  <c r="D223" i="32"/>
  <c r="AA222" i="32"/>
  <c r="Z222" i="32"/>
  <c r="X222" i="32"/>
  <c r="V222" i="32"/>
  <c r="T222" i="32"/>
  <c r="R222" i="32"/>
  <c r="P222" i="32"/>
  <c r="N222" i="32"/>
  <c r="L222" i="32"/>
  <c r="J222" i="32"/>
  <c r="H222" i="32"/>
  <c r="F222" i="32"/>
  <c r="D222" i="32"/>
  <c r="AA221" i="32"/>
  <c r="Z221" i="32"/>
  <c r="X221" i="32"/>
  <c r="V221" i="32"/>
  <c r="T221" i="32"/>
  <c r="R221" i="32"/>
  <c r="P221" i="32"/>
  <c r="N221" i="32"/>
  <c r="L221" i="32"/>
  <c r="J221" i="32"/>
  <c r="H221" i="32"/>
  <c r="F221" i="32"/>
  <c r="D221" i="32"/>
  <c r="AA220" i="32"/>
  <c r="AA218" i="32"/>
  <c r="Z218" i="32"/>
  <c r="X218" i="32"/>
  <c r="V218" i="32"/>
  <c r="T218" i="32"/>
  <c r="R218" i="32"/>
  <c r="P218" i="32"/>
  <c r="N218" i="32"/>
  <c r="L218" i="32"/>
  <c r="J218" i="32"/>
  <c r="H218" i="32"/>
  <c r="F218" i="32"/>
  <c r="D218" i="32"/>
  <c r="AA217" i="32"/>
  <c r="Z217" i="32"/>
  <c r="X217" i="32"/>
  <c r="V217" i="32"/>
  <c r="T217" i="32"/>
  <c r="R217" i="32"/>
  <c r="P217" i="32"/>
  <c r="N217" i="32"/>
  <c r="L217" i="32"/>
  <c r="J217" i="32"/>
  <c r="H217" i="32"/>
  <c r="F217" i="32"/>
  <c r="D217" i="32"/>
  <c r="AA216" i="32"/>
  <c r="Z216" i="32"/>
  <c r="X216" i="32"/>
  <c r="V216" i="32"/>
  <c r="T216" i="32"/>
  <c r="R216" i="32"/>
  <c r="P216" i="32"/>
  <c r="N216" i="32"/>
  <c r="L216" i="32"/>
  <c r="J216" i="32"/>
  <c r="H216" i="32"/>
  <c r="F216" i="32"/>
  <c r="D216" i="32"/>
  <c r="AA215" i="32"/>
  <c r="Z215" i="32"/>
  <c r="X215" i="32"/>
  <c r="V215" i="32"/>
  <c r="T215" i="32"/>
  <c r="R215" i="32"/>
  <c r="P215" i="32"/>
  <c r="N215" i="32"/>
  <c r="L215" i="32"/>
  <c r="J215" i="32"/>
  <c r="H215" i="32"/>
  <c r="F215" i="32"/>
  <c r="D215" i="32"/>
  <c r="AA214" i="32"/>
  <c r="Z214" i="32"/>
  <c r="X214" i="32"/>
  <c r="V214" i="32"/>
  <c r="T214" i="32"/>
  <c r="R214" i="32"/>
  <c r="P214" i="32"/>
  <c r="N214" i="32"/>
  <c r="L214" i="32"/>
  <c r="J214" i="32"/>
  <c r="H214" i="32"/>
  <c r="F214" i="32"/>
  <c r="D214" i="32"/>
  <c r="AA212" i="32"/>
  <c r="Z212" i="32"/>
  <c r="X212" i="32"/>
  <c r="V212" i="32"/>
  <c r="T212" i="32"/>
  <c r="R212" i="32"/>
  <c r="P212" i="32"/>
  <c r="N212" i="32"/>
  <c r="L212" i="32"/>
  <c r="J212" i="32"/>
  <c r="H212" i="32"/>
  <c r="F212" i="32"/>
  <c r="D212" i="32"/>
  <c r="AA211" i="32"/>
  <c r="Z211" i="32"/>
  <c r="X211" i="32"/>
  <c r="V211" i="32"/>
  <c r="T211" i="32"/>
  <c r="R211" i="32"/>
  <c r="P211" i="32"/>
  <c r="N211" i="32"/>
  <c r="L211" i="32"/>
  <c r="J211" i="32"/>
  <c r="H211" i="32"/>
  <c r="F211" i="32"/>
  <c r="D211" i="32"/>
  <c r="Z210" i="32"/>
  <c r="X210" i="32"/>
  <c r="V210" i="32"/>
  <c r="T210" i="32"/>
  <c r="R210" i="32"/>
  <c r="P210" i="32"/>
  <c r="N210" i="32"/>
  <c r="L210" i="32"/>
  <c r="J210" i="32"/>
  <c r="H210" i="32"/>
  <c r="F210" i="32"/>
  <c r="D210" i="32"/>
  <c r="AA209" i="32"/>
  <c r="AB236" i="32" s="1"/>
  <c r="Z209" i="32"/>
  <c r="X209" i="32"/>
  <c r="V209" i="32"/>
  <c r="T209" i="32"/>
  <c r="R209" i="32"/>
  <c r="P209" i="32"/>
  <c r="N209" i="32"/>
  <c r="L209" i="32"/>
  <c r="J209" i="32"/>
  <c r="H209" i="32"/>
  <c r="F209" i="32"/>
  <c r="D209" i="32"/>
  <c r="Z173" i="32"/>
  <c r="X173" i="32"/>
  <c r="V173" i="32"/>
  <c r="T173" i="32"/>
  <c r="R173" i="32"/>
  <c r="P173" i="32"/>
  <c r="N173" i="32"/>
  <c r="L173" i="32"/>
  <c r="J173" i="32"/>
  <c r="H173" i="32"/>
  <c r="F173" i="32"/>
  <c r="D173" i="32"/>
  <c r="Z172" i="32"/>
  <c r="X172" i="32"/>
  <c r="V172" i="32"/>
  <c r="T172" i="32"/>
  <c r="R172" i="32"/>
  <c r="P172" i="32"/>
  <c r="N172" i="32"/>
  <c r="L172" i="32"/>
  <c r="J172" i="32"/>
  <c r="H172" i="32"/>
  <c r="F172" i="32"/>
  <c r="D172" i="32"/>
  <c r="Z171" i="32"/>
  <c r="X171" i="32"/>
  <c r="V171" i="32"/>
  <c r="T171" i="32"/>
  <c r="R171" i="32"/>
  <c r="P171" i="32"/>
  <c r="N171" i="32"/>
  <c r="L171" i="32"/>
  <c r="J171" i="32"/>
  <c r="H171" i="32"/>
  <c r="F171" i="32"/>
  <c r="D171" i="32"/>
  <c r="Z170" i="32"/>
  <c r="X170" i="32"/>
  <c r="V170" i="32"/>
  <c r="T170" i="32"/>
  <c r="R170" i="32"/>
  <c r="P170" i="32"/>
  <c r="N170" i="32"/>
  <c r="L170" i="32"/>
  <c r="J170" i="32"/>
  <c r="H170" i="32"/>
  <c r="F170" i="32"/>
  <c r="D170" i="32"/>
  <c r="Z169" i="32"/>
  <c r="X169" i="32"/>
  <c r="V169" i="32"/>
  <c r="T169" i="32"/>
  <c r="R169" i="32"/>
  <c r="P169" i="32"/>
  <c r="N169" i="32"/>
  <c r="L169" i="32"/>
  <c r="J169" i="32"/>
  <c r="H169" i="32"/>
  <c r="F169" i="32"/>
  <c r="D169" i="32"/>
  <c r="Z168" i="32"/>
  <c r="X168" i="32"/>
  <c r="V168" i="32"/>
  <c r="T168" i="32"/>
  <c r="R168" i="32"/>
  <c r="P168" i="32"/>
  <c r="N168" i="32"/>
  <c r="L168" i="32"/>
  <c r="J168" i="32"/>
  <c r="H168" i="32"/>
  <c r="F168" i="32"/>
  <c r="D168" i="32"/>
  <c r="AA167" i="32"/>
  <c r="Z167" i="32"/>
  <c r="X167" i="32"/>
  <c r="V167" i="32"/>
  <c r="T167" i="32"/>
  <c r="R167" i="32"/>
  <c r="P167" i="32"/>
  <c r="N167" i="32"/>
  <c r="L167" i="32"/>
  <c r="J167" i="32"/>
  <c r="H167" i="32"/>
  <c r="F167" i="32"/>
  <c r="D167" i="32"/>
  <c r="AA166" i="32"/>
  <c r="Z166" i="32"/>
  <c r="X166" i="32"/>
  <c r="V166" i="32"/>
  <c r="T166" i="32"/>
  <c r="R166" i="32"/>
  <c r="P166" i="32"/>
  <c r="N166" i="32"/>
  <c r="L166" i="32"/>
  <c r="J166" i="32"/>
  <c r="H166" i="32"/>
  <c r="F166" i="32"/>
  <c r="D166" i="32"/>
  <c r="AA165" i="32"/>
  <c r="Z165" i="32"/>
  <c r="X165" i="32"/>
  <c r="V165" i="32"/>
  <c r="T165" i="32"/>
  <c r="R165" i="32"/>
  <c r="P165" i="32"/>
  <c r="N165" i="32"/>
  <c r="L165" i="32"/>
  <c r="J165" i="32"/>
  <c r="H165" i="32"/>
  <c r="F165" i="32"/>
  <c r="D165" i="32"/>
  <c r="AA164" i="32"/>
  <c r="Z164" i="32"/>
  <c r="X164" i="32"/>
  <c r="V164" i="32"/>
  <c r="T164" i="32"/>
  <c r="R164" i="32"/>
  <c r="P164" i="32"/>
  <c r="N164" i="32"/>
  <c r="L164" i="32"/>
  <c r="J164" i="32"/>
  <c r="H164" i="32"/>
  <c r="F164" i="32"/>
  <c r="D164" i="32"/>
  <c r="AA162" i="32"/>
  <c r="Z162" i="32"/>
  <c r="X162" i="32"/>
  <c r="V162" i="32"/>
  <c r="T162" i="32"/>
  <c r="R162" i="32"/>
  <c r="P162" i="32"/>
  <c r="N162" i="32"/>
  <c r="L162" i="32"/>
  <c r="J162" i="32"/>
  <c r="H162" i="32"/>
  <c r="F162" i="32"/>
  <c r="D162" i="32"/>
  <c r="AA161" i="32"/>
  <c r="Z161" i="32"/>
  <c r="X161" i="32"/>
  <c r="V161" i="32"/>
  <c r="T161" i="32"/>
  <c r="R161" i="32"/>
  <c r="P161" i="32"/>
  <c r="N161" i="32"/>
  <c r="L161" i="32"/>
  <c r="J161" i="32"/>
  <c r="H161" i="32"/>
  <c r="F161" i="32"/>
  <c r="D161" i="32"/>
  <c r="AA160" i="32"/>
  <c r="Z160" i="32"/>
  <c r="X160" i="32"/>
  <c r="V160" i="32"/>
  <c r="T160" i="32"/>
  <c r="R160" i="32"/>
  <c r="P160" i="32"/>
  <c r="N160" i="32"/>
  <c r="L160" i="32"/>
  <c r="J160" i="32"/>
  <c r="H160" i="32"/>
  <c r="F160" i="32"/>
  <c r="D160" i="32"/>
  <c r="AA159" i="32"/>
  <c r="Z159" i="32"/>
  <c r="X159" i="32"/>
  <c r="V159" i="32"/>
  <c r="T159" i="32"/>
  <c r="R159" i="32"/>
  <c r="P159" i="32"/>
  <c r="N159" i="32"/>
  <c r="L159" i="32"/>
  <c r="J159" i="32"/>
  <c r="H159" i="32"/>
  <c r="F159" i="32"/>
  <c r="D159" i="32"/>
  <c r="AA158" i="32"/>
  <c r="Z158" i="32"/>
  <c r="X158" i="32"/>
  <c r="V158" i="32"/>
  <c r="T158" i="32"/>
  <c r="R158" i="32"/>
  <c r="P158" i="32"/>
  <c r="N158" i="32"/>
  <c r="L158" i="32"/>
  <c r="J158" i="32"/>
  <c r="H158" i="32"/>
  <c r="F158" i="32"/>
  <c r="D158" i="32"/>
  <c r="AA157" i="32"/>
  <c r="Z157" i="32"/>
  <c r="X157" i="32"/>
  <c r="V157" i="32"/>
  <c r="T157" i="32"/>
  <c r="R157" i="32"/>
  <c r="P157" i="32"/>
  <c r="N157" i="32"/>
  <c r="L157" i="32"/>
  <c r="J157" i="32"/>
  <c r="H157" i="32"/>
  <c r="F157" i="32"/>
  <c r="D157" i="32"/>
  <c r="AA156" i="32"/>
  <c r="Z156" i="32"/>
  <c r="X156" i="32"/>
  <c r="V156" i="32"/>
  <c r="T156" i="32"/>
  <c r="R156" i="32"/>
  <c r="P156" i="32"/>
  <c r="N156" i="32"/>
  <c r="L156" i="32"/>
  <c r="J156" i="32"/>
  <c r="H156" i="32"/>
  <c r="F156" i="32"/>
  <c r="D156" i="32"/>
  <c r="AA154" i="32"/>
  <c r="Z154" i="32"/>
  <c r="X154" i="32"/>
  <c r="V154" i="32"/>
  <c r="T154" i="32"/>
  <c r="R154" i="32"/>
  <c r="P154" i="32"/>
  <c r="N154" i="32"/>
  <c r="L154" i="32"/>
  <c r="J154" i="32"/>
  <c r="H154" i="32"/>
  <c r="F154" i="32"/>
  <c r="D154" i="32"/>
  <c r="AA153" i="32"/>
  <c r="Z153" i="32"/>
  <c r="X153" i="32"/>
  <c r="V153" i="32"/>
  <c r="T153" i="32"/>
  <c r="R153" i="32"/>
  <c r="P153" i="32"/>
  <c r="N153" i="32"/>
  <c r="L153" i="32"/>
  <c r="J153" i="32"/>
  <c r="H153" i="32"/>
  <c r="F153" i="32"/>
  <c r="D153" i="32"/>
  <c r="AA152" i="32"/>
  <c r="Z152" i="32"/>
  <c r="X152" i="32"/>
  <c r="V152" i="32"/>
  <c r="T152" i="32"/>
  <c r="R152" i="32"/>
  <c r="P152" i="32"/>
  <c r="N152" i="32"/>
  <c r="L152" i="32"/>
  <c r="J152" i="32"/>
  <c r="H152" i="32"/>
  <c r="F152" i="32"/>
  <c r="D152" i="32"/>
  <c r="AA151" i="32"/>
  <c r="Z151" i="32"/>
  <c r="X151" i="32"/>
  <c r="V151" i="32"/>
  <c r="T151" i="32"/>
  <c r="R151" i="32"/>
  <c r="P151" i="32"/>
  <c r="N151" i="32"/>
  <c r="L151" i="32"/>
  <c r="J151" i="32"/>
  <c r="H151" i="32"/>
  <c r="F151" i="32"/>
  <c r="D151" i="32"/>
  <c r="AA150" i="32"/>
  <c r="Z150" i="32"/>
  <c r="X150" i="32"/>
  <c r="V150" i="32"/>
  <c r="T150" i="32"/>
  <c r="R150" i="32"/>
  <c r="P150" i="32"/>
  <c r="N150" i="32"/>
  <c r="L150" i="32"/>
  <c r="J150" i="32"/>
  <c r="H150" i="32"/>
  <c r="F150" i="32"/>
  <c r="D150" i="32"/>
  <c r="AA148" i="32"/>
  <c r="Z148" i="32"/>
  <c r="X148" i="32"/>
  <c r="V148" i="32"/>
  <c r="T148" i="32"/>
  <c r="R148" i="32"/>
  <c r="P148" i="32"/>
  <c r="N148" i="32"/>
  <c r="L148" i="32"/>
  <c r="J148" i="32"/>
  <c r="H148" i="32"/>
  <c r="F148" i="32"/>
  <c r="D148" i="32"/>
  <c r="Z147" i="32"/>
  <c r="X147" i="32"/>
  <c r="V147" i="32"/>
  <c r="T147" i="32"/>
  <c r="R147" i="32"/>
  <c r="P147" i="32"/>
  <c r="N147" i="32"/>
  <c r="L147" i="32"/>
  <c r="J147" i="32"/>
  <c r="H147" i="32"/>
  <c r="F147" i="32"/>
  <c r="D147" i="32"/>
  <c r="AA146" i="32"/>
  <c r="Z146" i="32"/>
  <c r="X146" i="32"/>
  <c r="V146" i="32"/>
  <c r="T146" i="32"/>
  <c r="R146" i="32"/>
  <c r="P146" i="32"/>
  <c r="N146" i="32"/>
  <c r="L146" i="32"/>
  <c r="J146" i="32"/>
  <c r="H146" i="32"/>
  <c r="F146" i="32"/>
  <c r="D146" i="32"/>
  <c r="AA145" i="32"/>
  <c r="Z145" i="32"/>
  <c r="X145" i="32"/>
  <c r="V145" i="32"/>
  <c r="T145" i="32"/>
  <c r="R145" i="32"/>
  <c r="P145" i="32"/>
  <c r="N145" i="32"/>
  <c r="L145" i="32"/>
  <c r="J145" i="32"/>
  <c r="H145" i="32"/>
  <c r="F145" i="32"/>
  <c r="D145" i="32"/>
  <c r="Z204" i="32"/>
  <c r="X204" i="32"/>
  <c r="V204" i="32"/>
  <c r="T204" i="32"/>
  <c r="R204" i="32"/>
  <c r="P204" i="32"/>
  <c r="N204" i="32"/>
  <c r="L204" i="32"/>
  <c r="J204" i="32"/>
  <c r="H204" i="32"/>
  <c r="F204" i="32"/>
  <c r="D204" i="32"/>
  <c r="Z203" i="32"/>
  <c r="X203" i="32"/>
  <c r="V203" i="32"/>
  <c r="T203" i="32"/>
  <c r="R203" i="32"/>
  <c r="P203" i="32"/>
  <c r="N203" i="32"/>
  <c r="L203" i="32"/>
  <c r="J203" i="32"/>
  <c r="H203" i="32"/>
  <c r="F203" i="32"/>
  <c r="D203" i="32"/>
  <c r="Z202" i="32"/>
  <c r="X202" i="32"/>
  <c r="V202" i="32"/>
  <c r="T202" i="32"/>
  <c r="R202" i="32"/>
  <c r="P202" i="32"/>
  <c r="N202" i="32"/>
  <c r="L202" i="32"/>
  <c r="J202" i="32"/>
  <c r="H202" i="32"/>
  <c r="F202" i="32"/>
  <c r="D202" i="32"/>
  <c r="Z201" i="32"/>
  <c r="X201" i="32"/>
  <c r="V201" i="32"/>
  <c r="T201" i="32"/>
  <c r="R201" i="32"/>
  <c r="P201" i="32"/>
  <c r="N201" i="32"/>
  <c r="L201" i="32"/>
  <c r="J201" i="32"/>
  <c r="H201" i="32"/>
  <c r="F201" i="32"/>
  <c r="D201" i="32"/>
  <c r="Z200" i="32"/>
  <c r="X200" i="32"/>
  <c r="V200" i="32"/>
  <c r="T200" i="32"/>
  <c r="R200" i="32"/>
  <c r="P200" i="32"/>
  <c r="N200" i="32"/>
  <c r="L200" i="32"/>
  <c r="J200" i="32"/>
  <c r="H200" i="32"/>
  <c r="F200" i="32"/>
  <c r="D200" i="32"/>
  <c r="Z199" i="32"/>
  <c r="X199" i="32"/>
  <c r="V199" i="32"/>
  <c r="T199" i="32"/>
  <c r="R199" i="32"/>
  <c r="P199" i="32"/>
  <c r="N199" i="32"/>
  <c r="L199" i="32"/>
  <c r="J199" i="32"/>
  <c r="H199" i="32"/>
  <c r="F199" i="32"/>
  <c r="D199" i="32"/>
  <c r="AA198" i="32"/>
  <c r="Z198" i="32"/>
  <c r="X198" i="32"/>
  <c r="V198" i="32"/>
  <c r="T198" i="32"/>
  <c r="R198" i="32"/>
  <c r="P198" i="32"/>
  <c r="N198" i="32"/>
  <c r="L198" i="32"/>
  <c r="J198" i="32"/>
  <c r="H198" i="32"/>
  <c r="F198" i="32"/>
  <c r="D198" i="32"/>
  <c r="AA197" i="32"/>
  <c r="Z197" i="32"/>
  <c r="X197" i="32"/>
  <c r="V197" i="32"/>
  <c r="T197" i="32"/>
  <c r="R197" i="32"/>
  <c r="P197" i="32"/>
  <c r="N197" i="32"/>
  <c r="L197" i="32"/>
  <c r="J197" i="32"/>
  <c r="H197" i="32"/>
  <c r="F197" i="32"/>
  <c r="D197" i="32"/>
  <c r="AA196" i="32"/>
  <c r="Z196" i="32"/>
  <c r="X196" i="32"/>
  <c r="V196" i="32"/>
  <c r="T196" i="32"/>
  <c r="R196" i="32"/>
  <c r="P196" i="32"/>
  <c r="N196" i="32"/>
  <c r="L196" i="32"/>
  <c r="J196" i="32"/>
  <c r="H196" i="32"/>
  <c r="F196" i="32"/>
  <c r="D196" i="32"/>
  <c r="AA195" i="32"/>
  <c r="Z195" i="32"/>
  <c r="X195" i="32"/>
  <c r="V195" i="32"/>
  <c r="T195" i="32"/>
  <c r="R195" i="32"/>
  <c r="P195" i="32"/>
  <c r="N195" i="32"/>
  <c r="L195" i="32"/>
  <c r="J195" i="32"/>
  <c r="H195" i="32"/>
  <c r="F195" i="32"/>
  <c r="D195" i="32"/>
  <c r="AA193" i="32"/>
  <c r="Z193" i="32"/>
  <c r="X193" i="32"/>
  <c r="V193" i="32"/>
  <c r="T193" i="32"/>
  <c r="R193" i="32"/>
  <c r="P193" i="32"/>
  <c r="N193" i="32"/>
  <c r="L193" i="32"/>
  <c r="J193" i="32"/>
  <c r="H193" i="32"/>
  <c r="F193" i="32"/>
  <c r="D193" i="32"/>
  <c r="AA192" i="32"/>
  <c r="Z192" i="32"/>
  <c r="X192" i="32"/>
  <c r="V192" i="32"/>
  <c r="T192" i="32"/>
  <c r="R192" i="32"/>
  <c r="P192" i="32"/>
  <c r="N192" i="32"/>
  <c r="L192" i="32"/>
  <c r="J192" i="32"/>
  <c r="H192" i="32"/>
  <c r="F192" i="32"/>
  <c r="D192" i="32"/>
  <c r="AA191" i="32"/>
  <c r="AA190" i="32"/>
  <c r="Z190" i="32"/>
  <c r="X190" i="32"/>
  <c r="V190" i="32"/>
  <c r="T190" i="32"/>
  <c r="R190" i="32"/>
  <c r="P190" i="32"/>
  <c r="N190" i="32"/>
  <c r="L190" i="32"/>
  <c r="J190" i="32"/>
  <c r="H190" i="32"/>
  <c r="F190" i="32"/>
  <c r="D190" i="32"/>
  <c r="AA189" i="32"/>
  <c r="Z189" i="32"/>
  <c r="X189" i="32"/>
  <c r="V189" i="32"/>
  <c r="T189" i="32"/>
  <c r="R189" i="32"/>
  <c r="P189" i="32"/>
  <c r="N189" i="32"/>
  <c r="L189" i="32"/>
  <c r="J189" i="32"/>
  <c r="H189" i="32"/>
  <c r="F189" i="32"/>
  <c r="D189" i="32"/>
  <c r="AA188" i="32"/>
  <c r="Z188" i="32"/>
  <c r="X188" i="32"/>
  <c r="V188" i="32"/>
  <c r="T188" i="32"/>
  <c r="R188" i="32"/>
  <c r="P188" i="32"/>
  <c r="N188" i="32"/>
  <c r="L188" i="32"/>
  <c r="J188" i="32"/>
  <c r="H188" i="32"/>
  <c r="F188" i="32"/>
  <c r="D188" i="32"/>
  <c r="AA187" i="32"/>
  <c r="AA185" i="32"/>
  <c r="Z185" i="32"/>
  <c r="X185" i="32"/>
  <c r="V185" i="32"/>
  <c r="T185" i="32"/>
  <c r="R185" i="32"/>
  <c r="P185" i="32"/>
  <c r="N185" i="32"/>
  <c r="L185" i="32"/>
  <c r="J185" i="32"/>
  <c r="H185" i="32"/>
  <c r="F185" i="32"/>
  <c r="D185" i="32"/>
  <c r="AA184" i="32"/>
  <c r="Z184" i="32"/>
  <c r="X184" i="32"/>
  <c r="V184" i="32"/>
  <c r="T184" i="32"/>
  <c r="R184" i="32"/>
  <c r="P184" i="32"/>
  <c r="N184" i="32"/>
  <c r="L184" i="32"/>
  <c r="J184" i="32"/>
  <c r="H184" i="32"/>
  <c r="F184" i="32"/>
  <c r="D184" i="32"/>
  <c r="AA183" i="32"/>
  <c r="Z183" i="32"/>
  <c r="X183" i="32"/>
  <c r="V183" i="32"/>
  <c r="T183" i="32"/>
  <c r="R183" i="32"/>
  <c r="P183" i="32"/>
  <c r="N183" i="32"/>
  <c r="L183" i="32"/>
  <c r="J183" i="32"/>
  <c r="H183" i="32"/>
  <c r="F183" i="32"/>
  <c r="D183" i="32"/>
  <c r="AA182" i="32"/>
  <c r="Z182" i="32"/>
  <c r="X182" i="32"/>
  <c r="V182" i="32"/>
  <c r="T182" i="32"/>
  <c r="R182" i="32"/>
  <c r="P182" i="32"/>
  <c r="N182" i="32"/>
  <c r="L182" i="32"/>
  <c r="J182" i="32"/>
  <c r="H182" i="32"/>
  <c r="F182" i="32"/>
  <c r="D182" i="32"/>
  <c r="AA181" i="32"/>
  <c r="Z181" i="32"/>
  <c r="X181" i="32"/>
  <c r="V181" i="32"/>
  <c r="T181" i="32"/>
  <c r="R181" i="32"/>
  <c r="P181" i="32"/>
  <c r="N181" i="32"/>
  <c r="L181" i="32"/>
  <c r="J181" i="32"/>
  <c r="H181" i="32"/>
  <c r="F181" i="32"/>
  <c r="D181" i="32"/>
  <c r="AA179" i="32"/>
  <c r="Z179" i="32"/>
  <c r="X179" i="32"/>
  <c r="V179" i="32"/>
  <c r="T179" i="32"/>
  <c r="R179" i="32"/>
  <c r="P179" i="32"/>
  <c r="N179" i="32"/>
  <c r="L179" i="32"/>
  <c r="J179" i="32"/>
  <c r="H179" i="32"/>
  <c r="F179" i="32"/>
  <c r="D179" i="32"/>
  <c r="Z178" i="32"/>
  <c r="X178" i="32"/>
  <c r="V178" i="32"/>
  <c r="T178" i="32"/>
  <c r="R178" i="32"/>
  <c r="P178" i="32"/>
  <c r="N178" i="32"/>
  <c r="L178" i="32"/>
  <c r="J178" i="32"/>
  <c r="H178" i="32"/>
  <c r="F178" i="32"/>
  <c r="D178" i="32"/>
  <c r="AA177" i="32"/>
  <c r="Z177" i="32"/>
  <c r="X177" i="32"/>
  <c r="V177" i="32"/>
  <c r="T177" i="32"/>
  <c r="R177" i="32"/>
  <c r="P177" i="32"/>
  <c r="N177" i="32"/>
  <c r="L177" i="32"/>
  <c r="J177" i="32"/>
  <c r="H177" i="32"/>
  <c r="F177" i="32"/>
  <c r="D177" i="32"/>
  <c r="AA176" i="32"/>
  <c r="AB203" i="32" s="1"/>
  <c r="Z176" i="32"/>
  <c r="X176" i="32"/>
  <c r="V176" i="32"/>
  <c r="T176" i="32"/>
  <c r="R176" i="32"/>
  <c r="P176" i="32"/>
  <c r="N176" i="32"/>
  <c r="L176" i="32"/>
  <c r="J176" i="32"/>
  <c r="H176" i="32"/>
  <c r="F176" i="32"/>
  <c r="D176" i="32"/>
  <c r="Z105" i="32"/>
  <c r="X105" i="32"/>
  <c r="V105" i="32"/>
  <c r="T105" i="32"/>
  <c r="R105" i="32"/>
  <c r="P105" i="32"/>
  <c r="N105" i="32"/>
  <c r="L105" i="32"/>
  <c r="J105" i="32"/>
  <c r="H105" i="32"/>
  <c r="F105" i="32"/>
  <c r="D105" i="32"/>
  <c r="Z104" i="32"/>
  <c r="X104" i="32"/>
  <c r="V104" i="32"/>
  <c r="T104" i="32"/>
  <c r="R104" i="32"/>
  <c r="P104" i="32"/>
  <c r="N104" i="32"/>
  <c r="L104" i="32"/>
  <c r="J104" i="32"/>
  <c r="H104" i="32"/>
  <c r="F104" i="32"/>
  <c r="D104" i="32"/>
  <c r="Z103" i="32"/>
  <c r="X103" i="32"/>
  <c r="V103" i="32"/>
  <c r="T103" i="32"/>
  <c r="R103" i="32"/>
  <c r="P103" i="32"/>
  <c r="N103" i="32"/>
  <c r="L103" i="32"/>
  <c r="J103" i="32"/>
  <c r="H103" i="32"/>
  <c r="F103" i="32"/>
  <c r="D103" i="32"/>
  <c r="Z102" i="32"/>
  <c r="X102" i="32"/>
  <c r="V102" i="32"/>
  <c r="T102" i="32"/>
  <c r="R102" i="32"/>
  <c r="P102" i="32"/>
  <c r="N102" i="32"/>
  <c r="L102" i="32"/>
  <c r="J102" i="32"/>
  <c r="H102" i="32"/>
  <c r="F102" i="32"/>
  <c r="D102" i="32"/>
  <c r="Z101" i="32"/>
  <c r="X101" i="32"/>
  <c r="V101" i="32"/>
  <c r="T101" i="32"/>
  <c r="R101" i="32"/>
  <c r="P101" i="32"/>
  <c r="N101" i="32"/>
  <c r="L101" i="32"/>
  <c r="J101" i="32"/>
  <c r="H101" i="32"/>
  <c r="F101" i="32"/>
  <c r="D101" i="32"/>
  <c r="Z100" i="32"/>
  <c r="X100" i="32"/>
  <c r="V100" i="32"/>
  <c r="T100" i="32"/>
  <c r="R100" i="32"/>
  <c r="P100" i="32"/>
  <c r="N100" i="32"/>
  <c r="L100" i="32"/>
  <c r="J100" i="32"/>
  <c r="H100" i="32"/>
  <c r="F100" i="32"/>
  <c r="D100" i="32"/>
  <c r="AA99" i="32"/>
  <c r="Z99" i="32"/>
  <c r="X99" i="32"/>
  <c r="V99" i="32"/>
  <c r="T99" i="32"/>
  <c r="R99" i="32"/>
  <c r="P99" i="32"/>
  <c r="N99" i="32"/>
  <c r="L99" i="32"/>
  <c r="J99" i="32"/>
  <c r="H99" i="32"/>
  <c r="F99" i="32"/>
  <c r="D99" i="32"/>
  <c r="AA98" i="32"/>
  <c r="Z98" i="32"/>
  <c r="X98" i="32"/>
  <c r="V98" i="32"/>
  <c r="T98" i="32"/>
  <c r="R98" i="32"/>
  <c r="P98" i="32"/>
  <c r="N98" i="32"/>
  <c r="L98" i="32"/>
  <c r="J98" i="32"/>
  <c r="H98" i="32"/>
  <c r="F98" i="32"/>
  <c r="D98" i="32"/>
  <c r="AA97" i="32"/>
  <c r="Z97" i="32"/>
  <c r="X97" i="32"/>
  <c r="V97" i="32"/>
  <c r="T97" i="32"/>
  <c r="R97" i="32"/>
  <c r="P97" i="32"/>
  <c r="N97" i="32"/>
  <c r="L97" i="32"/>
  <c r="J97" i="32"/>
  <c r="H97" i="32"/>
  <c r="F97" i="32"/>
  <c r="D97" i="32"/>
  <c r="AA96" i="32"/>
  <c r="Z96" i="32"/>
  <c r="X96" i="32"/>
  <c r="V96" i="32"/>
  <c r="T96" i="32"/>
  <c r="R96" i="32"/>
  <c r="P96" i="32"/>
  <c r="N96" i="32"/>
  <c r="L96" i="32"/>
  <c r="J96" i="32"/>
  <c r="H96" i="32"/>
  <c r="F96" i="32"/>
  <c r="D96" i="32"/>
  <c r="AA94" i="32"/>
  <c r="Z94" i="32"/>
  <c r="X94" i="32"/>
  <c r="V94" i="32"/>
  <c r="T94" i="32"/>
  <c r="R94" i="32"/>
  <c r="P94" i="32"/>
  <c r="N94" i="32"/>
  <c r="L94" i="32"/>
  <c r="J94" i="32"/>
  <c r="H94" i="32"/>
  <c r="F94" i="32"/>
  <c r="D94" i="32"/>
  <c r="AA93" i="32"/>
  <c r="Z93" i="32"/>
  <c r="X93" i="32"/>
  <c r="V93" i="32"/>
  <c r="T93" i="32"/>
  <c r="R93" i="32"/>
  <c r="P93" i="32"/>
  <c r="N93" i="32"/>
  <c r="L93" i="32"/>
  <c r="J93" i="32"/>
  <c r="H93" i="32"/>
  <c r="F93" i="32"/>
  <c r="D93" i="32"/>
  <c r="AA92" i="32"/>
  <c r="AA91" i="32"/>
  <c r="Z91" i="32"/>
  <c r="X91" i="32"/>
  <c r="V91" i="32"/>
  <c r="T91" i="32"/>
  <c r="R91" i="32"/>
  <c r="P91" i="32"/>
  <c r="N91" i="32"/>
  <c r="L91" i="32"/>
  <c r="J91" i="32"/>
  <c r="H91" i="32"/>
  <c r="F91" i="32"/>
  <c r="D91" i="32"/>
  <c r="AA90" i="32"/>
  <c r="Z90" i="32"/>
  <c r="X90" i="32"/>
  <c r="V90" i="32"/>
  <c r="T90" i="32"/>
  <c r="R90" i="32"/>
  <c r="P90" i="32"/>
  <c r="N90" i="32"/>
  <c r="L90" i="32"/>
  <c r="J90" i="32"/>
  <c r="H90" i="32"/>
  <c r="F90" i="32"/>
  <c r="D90" i="32"/>
  <c r="AA89" i="32"/>
  <c r="Z89" i="32"/>
  <c r="X89" i="32"/>
  <c r="V89" i="32"/>
  <c r="T89" i="32"/>
  <c r="R89" i="32"/>
  <c r="P89" i="32"/>
  <c r="N89" i="32"/>
  <c r="L89" i="32"/>
  <c r="J89" i="32"/>
  <c r="H89" i="32"/>
  <c r="F89" i="32"/>
  <c r="D89" i="32"/>
  <c r="AA88" i="32"/>
  <c r="Z88" i="32"/>
  <c r="X88" i="32"/>
  <c r="V88" i="32"/>
  <c r="T88" i="32"/>
  <c r="R88" i="32"/>
  <c r="P88" i="32"/>
  <c r="N88" i="32"/>
  <c r="L88" i="32"/>
  <c r="J88" i="32"/>
  <c r="H88" i="32"/>
  <c r="F88" i="32"/>
  <c r="D88" i="32"/>
  <c r="AA86" i="32"/>
  <c r="Z86" i="32"/>
  <c r="X86" i="32"/>
  <c r="V86" i="32"/>
  <c r="T86" i="32"/>
  <c r="R86" i="32"/>
  <c r="P86" i="32"/>
  <c r="N86" i="32"/>
  <c r="L86" i="32"/>
  <c r="J86" i="32"/>
  <c r="H86" i="32"/>
  <c r="F86" i="32"/>
  <c r="D86" i="32"/>
  <c r="AA85" i="32"/>
  <c r="Z85" i="32"/>
  <c r="X85" i="32"/>
  <c r="V85" i="32"/>
  <c r="T85" i="32"/>
  <c r="R85" i="32"/>
  <c r="P85" i="32"/>
  <c r="N85" i="32"/>
  <c r="L85" i="32"/>
  <c r="J85" i="32"/>
  <c r="H85" i="32"/>
  <c r="F85" i="32"/>
  <c r="D85" i="32"/>
  <c r="AA84" i="32"/>
  <c r="Z84" i="32"/>
  <c r="X84" i="32"/>
  <c r="V84" i="32"/>
  <c r="T84" i="32"/>
  <c r="R84" i="32"/>
  <c r="P84" i="32"/>
  <c r="N84" i="32"/>
  <c r="L84" i="32"/>
  <c r="J84" i="32"/>
  <c r="H84" i="32"/>
  <c r="F84" i="32"/>
  <c r="D84" i="32"/>
  <c r="AA83" i="32"/>
  <c r="Z83" i="32"/>
  <c r="X83" i="32"/>
  <c r="V83" i="32"/>
  <c r="T83" i="32"/>
  <c r="R83" i="32"/>
  <c r="P83" i="32"/>
  <c r="N83" i="32"/>
  <c r="L83" i="32"/>
  <c r="J83" i="32"/>
  <c r="H83" i="32"/>
  <c r="F83" i="32"/>
  <c r="D83" i="32"/>
  <c r="AA82" i="32"/>
  <c r="Z82" i="32"/>
  <c r="X82" i="32"/>
  <c r="V82" i="32"/>
  <c r="T82" i="32"/>
  <c r="R82" i="32"/>
  <c r="P82" i="32"/>
  <c r="N82" i="32"/>
  <c r="L82" i="32"/>
  <c r="J82" i="32"/>
  <c r="H82" i="32"/>
  <c r="F82" i="32"/>
  <c r="D82" i="32"/>
  <c r="AA80" i="32"/>
  <c r="Z80" i="32"/>
  <c r="X80" i="32"/>
  <c r="V80" i="32"/>
  <c r="T80" i="32"/>
  <c r="R80" i="32"/>
  <c r="P80" i="32"/>
  <c r="N80" i="32"/>
  <c r="L80" i="32"/>
  <c r="J80" i="32"/>
  <c r="H80" i="32"/>
  <c r="F80" i="32"/>
  <c r="D80" i="32"/>
  <c r="Z79" i="32"/>
  <c r="X79" i="32"/>
  <c r="V79" i="32"/>
  <c r="T79" i="32"/>
  <c r="R79" i="32"/>
  <c r="P79" i="32"/>
  <c r="N79" i="32"/>
  <c r="L79" i="32"/>
  <c r="J79" i="32"/>
  <c r="H79" i="32"/>
  <c r="F79" i="32"/>
  <c r="D79" i="32"/>
  <c r="AA78" i="32"/>
  <c r="Z78" i="32"/>
  <c r="X78" i="32"/>
  <c r="V78" i="32"/>
  <c r="T78" i="32"/>
  <c r="R78" i="32"/>
  <c r="P78" i="32"/>
  <c r="N78" i="32"/>
  <c r="L78" i="32"/>
  <c r="J78" i="32"/>
  <c r="H78" i="32"/>
  <c r="F78" i="32"/>
  <c r="D78" i="32"/>
  <c r="AA77" i="32"/>
  <c r="AB103" i="32" s="1"/>
  <c r="Z77" i="32"/>
  <c r="X77" i="32"/>
  <c r="V77" i="32"/>
  <c r="T77" i="32"/>
  <c r="R77" i="32"/>
  <c r="P77" i="32"/>
  <c r="N77" i="32"/>
  <c r="L77" i="32"/>
  <c r="J77" i="32"/>
  <c r="H77" i="32"/>
  <c r="F77" i="32"/>
  <c r="D77" i="32"/>
  <c r="Z141" i="32"/>
  <c r="X141" i="32"/>
  <c r="V141" i="32"/>
  <c r="T141" i="32"/>
  <c r="R141" i="32"/>
  <c r="P141" i="32"/>
  <c r="N141" i="32"/>
  <c r="L141" i="32"/>
  <c r="J141" i="32"/>
  <c r="H141" i="32"/>
  <c r="F141" i="32"/>
  <c r="D141" i="32"/>
  <c r="Z140" i="32"/>
  <c r="X140" i="32"/>
  <c r="V140" i="32"/>
  <c r="T140" i="32"/>
  <c r="R140" i="32"/>
  <c r="P140" i="32"/>
  <c r="N140" i="32"/>
  <c r="L140" i="32"/>
  <c r="J140" i="32"/>
  <c r="H140" i="32"/>
  <c r="F140" i="32"/>
  <c r="D140" i="32"/>
  <c r="Z139" i="32"/>
  <c r="X139" i="32"/>
  <c r="V139" i="32"/>
  <c r="T139" i="32"/>
  <c r="R139" i="32"/>
  <c r="P139" i="32"/>
  <c r="N139" i="32"/>
  <c r="L139" i="32"/>
  <c r="J139" i="32"/>
  <c r="H139" i="32"/>
  <c r="F139" i="32"/>
  <c r="D139" i="32"/>
  <c r="Z138" i="32"/>
  <c r="X138" i="32"/>
  <c r="V138" i="32"/>
  <c r="T138" i="32"/>
  <c r="R138" i="32"/>
  <c r="P138" i="32"/>
  <c r="N138" i="32"/>
  <c r="L138" i="32"/>
  <c r="J138" i="32"/>
  <c r="H138" i="32"/>
  <c r="F138" i="32"/>
  <c r="D138" i="32"/>
  <c r="Z137" i="32"/>
  <c r="X137" i="32"/>
  <c r="V137" i="32"/>
  <c r="T137" i="32"/>
  <c r="R137" i="32"/>
  <c r="P137" i="32"/>
  <c r="N137" i="32"/>
  <c r="L137" i="32"/>
  <c r="J137" i="32"/>
  <c r="H137" i="32"/>
  <c r="F137" i="32"/>
  <c r="D137" i="32"/>
  <c r="Z136" i="32"/>
  <c r="X136" i="32"/>
  <c r="V136" i="32"/>
  <c r="T136" i="32"/>
  <c r="R136" i="32"/>
  <c r="P136" i="32"/>
  <c r="N136" i="32"/>
  <c r="L136" i="32"/>
  <c r="J136" i="32"/>
  <c r="H136" i="32"/>
  <c r="F136" i="32"/>
  <c r="D136" i="32"/>
  <c r="AA135" i="32"/>
  <c r="Z135" i="32"/>
  <c r="X135" i="32"/>
  <c r="V135" i="32"/>
  <c r="T135" i="32"/>
  <c r="R135" i="32"/>
  <c r="P135" i="32"/>
  <c r="N135" i="32"/>
  <c r="L135" i="32"/>
  <c r="J135" i="32"/>
  <c r="H135" i="32"/>
  <c r="F135" i="32"/>
  <c r="D135" i="32"/>
  <c r="AA134" i="32"/>
  <c r="Z134" i="32"/>
  <c r="X134" i="32"/>
  <c r="V134" i="32"/>
  <c r="T134" i="32"/>
  <c r="R134" i="32"/>
  <c r="P134" i="32"/>
  <c r="N134" i="32"/>
  <c r="L134" i="32"/>
  <c r="J134" i="32"/>
  <c r="H134" i="32"/>
  <c r="F134" i="32"/>
  <c r="D134" i="32"/>
  <c r="AA133" i="32"/>
  <c r="Z133" i="32"/>
  <c r="X133" i="32"/>
  <c r="V133" i="32"/>
  <c r="T133" i="32"/>
  <c r="R133" i="32"/>
  <c r="P133" i="32"/>
  <c r="N133" i="32"/>
  <c r="L133" i="32"/>
  <c r="J133" i="32"/>
  <c r="H133" i="32"/>
  <c r="F133" i="32"/>
  <c r="D133" i="32"/>
  <c r="AA132" i="32"/>
  <c r="Z132" i="32"/>
  <c r="X132" i="32"/>
  <c r="V132" i="32"/>
  <c r="T132" i="32"/>
  <c r="R132" i="32"/>
  <c r="P132" i="32"/>
  <c r="N132" i="32"/>
  <c r="L132" i="32"/>
  <c r="J132" i="32"/>
  <c r="H132" i="32"/>
  <c r="F132" i="32"/>
  <c r="D132" i="32"/>
  <c r="AA130" i="32"/>
  <c r="Z130" i="32"/>
  <c r="X130" i="32"/>
  <c r="V130" i="32"/>
  <c r="T130" i="32"/>
  <c r="R130" i="32"/>
  <c r="P130" i="32"/>
  <c r="N130" i="32"/>
  <c r="L130" i="32"/>
  <c r="J130" i="32"/>
  <c r="H130" i="32"/>
  <c r="F130" i="32"/>
  <c r="D130" i="32"/>
  <c r="AA129" i="32"/>
  <c r="Z129" i="32"/>
  <c r="X129" i="32"/>
  <c r="V129" i="32"/>
  <c r="T129" i="32"/>
  <c r="R129" i="32"/>
  <c r="P129" i="32"/>
  <c r="N129" i="32"/>
  <c r="L129" i="32"/>
  <c r="J129" i="32"/>
  <c r="H129" i="32"/>
  <c r="F129" i="32"/>
  <c r="D129" i="32"/>
  <c r="AA128" i="32"/>
  <c r="Z128" i="32"/>
  <c r="X128" i="32"/>
  <c r="V128" i="32"/>
  <c r="T128" i="32"/>
  <c r="R128" i="32"/>
  <c r="P128" i="32"/>
  <c r="N128" i="32"/>
  <c r="L128" i="32"/>
  <c r="J128" i="32"/>
  <c r="H128" i="32"/>
  <c r="F128" i="32"/>
  <c r="D128" i="32"/>
  <c r="AA127" i="32"/>
  <c r="Z127" i="32"/>
  <c r="X127" i="32"/>
  <c r="V127" i="32"/>
  <c r="T127" i="32"/>
  <c r="R127" i="32"/>
  <c r="P127" i="32"/>
  <c r="N127" i="32"/>
  <c r="L127" i="32"/>
  <c r="J127" i="32"/>
  <c r="H127" i="32"/>
  <c r="F127" i="32"/>
  <c r="D127" i="32"/>
  <c r="AA126" i="32"/>
  <c r="Z126" i="32"/>
  <c r="X126" i="32"/>
  <c r="V126" i="32"/>
  <c r="T126" i="32"/>
  <c r="R126" i="32"/>
  <c r="P126" i="32"/>
  <c r="N126" i="32"/>
  <c r="L126" i="32"/>
  <c r="J126" i="32"/>
  <c r="H126" i="32"/>
  <c r="F126" i="32"/>
  <c r="D126" i="32"/>
  <c r="AA125" i="32"/>
  <c r="Z125" i="32"/>
  <c r="X125" i="32"/>
  <c r="V125" i="32"/>
  <c r="T125" i="32"/>
  <c r="R125" i="32"/>
  <c r="P125" i="32"/>
  <c r="N125" i="32"/>
  <c r="L125" i="32"/>
  <c r="J125" i="32"/>
  <c r="H125" i="32"/>
  <c r="F125" i="32"/>
  <c r="D125" i="32"/>
  <c r="AA122" i="32"/>
  <c r="Z122" i="32"/>
  <c r="X122" i="32"/>
  <c r="V122" i="32"/>
  <c r="T122" i="32"/>
  <c r="R122" i="32"/>
  <c r="P122" i="32"/>
  <c r="N122" i="32"/>
  <c r="L122" i="32"/>
  <c r="J122" i="32"/>
  <c r="H122" i="32"/>
  <c r="F122" i="32"/>
  <c r="D122" i="32"/>
  <c r="AA121" i="32"/>
  <c r="Z121" i="32"/>
  <c r="X121" i="32"/>
  <c r="V121" i="32"/>
  <c r="T121" i="32"/>
  <c r="R121" i="32"/>
  <c r="P121" i="32"/>
  <c r="N121" i="32"/>
  <c r="L121" i="32"/>
  <c r="J121" i="32"/>
  <c r="H121" i="32"/>
  <c r="F121" i="32"/>
  <c r="D121" i="32"/>
  <c r="AA120" i="32"/>
  <c r="Z120" i="32"/>
  <c r="X120" i="32"/>
  <c r="V120" i="32"/>
  <c r="T120" i="32"/>
  <c r="R120" i="32"/>
  <c r="P120" i="32"/>
  <c r="N120" i="32"/>
  <c r="L120" i="32"/>
  <c r="J120" i="32"/>
  <c r="H120" i="32"/>
  <c r="F120" i="32"/>
  <c r="D120" i="32"/>
  <c r="AA119" i="32"/>
  <c r="Z119" i="32"/>
  <c r="X119" i="32"/>
  <c r="V119" i="32"/>
  <c r="T119" i="32"/>
  <c r="R119" i="32"/>
  <c r="P119" i="32"/>
  <c r="N119" i="32"/>
  <c r="L119" i="32"/>
  <c r="J119" i="32"/>
  <c r="H119" i="32"/>
  <c r="F119" i="32"/>
  <c r="D119" i="32"/>
  <c r="AA118" i="32"/>
  <c r="Z118" i="32"/>
  <c r="X118" i="32"/>
  <c r="V118" i="32"/>
  <c r="T118" i="32"/>
  <c r="R118" i="32"/>
  <c r="P118" i="32"/>
  <c r="N118" i="32"/>
  <c r="L118" i="32"/>
  <c r="J118" i="32"/>
  <c r="H118" i="32"/>
  <c r="F118" i="32"/>
  <c r="D118" i="32"/>
  <c r="AA116" i="32"/>
  <c r="Z116" i="32"/>
  <c r="X116" i="32"/>
  <c r="V116" i="32"/>
  <c r="T116" i="32"/>
  <c r="R116" i="32"/>
  <c r="P116" i="32"/>
  <c r="N116" i="32"/>
  <c r="L116" i="32"/>
  <c r="J116" i="32"/>
  <c r="H116" i="32"/>
  <c r="F116" i="32"/>
  <c r="D116" i="32"/>
  <c r="Z115" i="32"/>
  <c r="X115" i="32"/>
  <c r="V115" i="32"/>
  <c r="T115" i="32"/>
  <c r="R115" i="32"/>
  <c r="P115" i="32"/>
  <c r="N115" i="32"/>
  <c r="L115" i="32"/>
  <c r="J115" i="32"/>
  <c r="H115" i="32"/>
  <c r="F115" i="32"/>
  <c r="D115" i="32"/>
  <c r="AA114" i="32"/>
  <c r="Z114" i="32"/>
  <c r="X114" i="32"/>
  <c r="V114" i="32"/>
  <c r="T114" i="32"/>
  <c r="R114" i="32"/>
  <c r="P114" i="32"/>
  <c r="N114" i="32"/>
  <c r="L114" i="32"/>
  <c r="J114" i="32"/>
  <c r="H114" i="32"/>
  <c r="F114" i="32"/>
  <c r="D114" i="32"/>
  <c r="AA113" i="32"/>
  <c r="AB136" i="32" s="1"/>
  <c r="Z113" i="32"/>
  <c r="X113" i="32"/>
  <c r="V113" i="32"/>
  <c r="T113" i="32"/>
  <c r="R113" i="32"/>
  <c r="P113" i="32"/>
  <c r="N113" i="32"/>
  <c r="L113" i="32"/>
  <c r="J113" i="32"/>
  <c r="H113" i="32"/>
  <c r="F113" i="32"/>
  <c r="D113" i="32"/>
  <c r="Z72" i="32"/>
  <c r="X72" i="32"/>
  <c r="V72" i="32"/>
  <c r="T72" i="32"/>
  <c r="R72" i="32"/>
  <c r="P72" i="32"/>
  <c r="N72" i="32"/>
  <c r="L72" i="32"/>
  <c r="J72" i="32"/>
  <c r="H72" i="32"/>
  <c r="F72" i="32"/>
  <c r="D72" i="32"/>
  <c r="Z71" i="32"/>
  <c r="X71" i="32"/>
  <c r="V71" i="32"/>
  <c r="T71" i="32"/>
  <c r="R71" i="32"/>
  <c r="P71" i="32"/>
  <c r="N71" i="32"/>
  <c r="L71" i="32"/>
  <c r="J71" i="32"/>
  <c r="H71" i="32"/>
  <c r="F71" i="32"/>
  <c r="D71" i="32"/>
  <c r="Z70" i="32"/>
  <c r="X70" i="32"/>
  <c r="V70" i="32"/>
  <c r="T70" i="32"/>
  <c r="R70" i="32"/>
  <c r="P70" i="32"/>
  <c r="N70" i="32"/>
  <c r="L70" i="32"/>
  <c r="J70" i="32"/>
  <c r="H70" i="32"/>
  <c r="D70" i="32"/>
  <c r="Z69" i="32"/>
  <c r="X69" i="32"/>
  <c r="V69" i="32"/>
  <c r="T69" i="32"/>
  <c r="R69" i="32"/>
  <c r="P69" i="32"/>
  <c r="N69" i="32"/>
  <c r="L69" i="32"/>
  <c r="J69" i="32"/>
  <c r="H69" i="32"/>
  <c r="F69" i="32"/>
  <c r="D69" i="32"/>
  <c r="AA66" i="32"/>
  <c r="AA65" i="32"/>
  <c r="AA64" i="32"/>
  <c r="Z64" i="32"/>
  <c r="X64" i="32"/>
  <c r="V64" i="32"/>
  <c r="T64" i="32"/>
  <c r="R64" i="32"/>
  <c r="P64" i="32"/>
  <c r="N64" i="32"/>
  <c r="L64" i="32"/>
  <c r="J64" i="32"/>
  <c r="H64" i="32"/>
  <c r="F64" i="32"/>
  <c r="D64" i="32"/>
  <c r="AA63" i="32"/>
  <c r="Z63" i="32"/>
  <c r="X63" i="32"/>
  <c r="V63" i="32"/>
  <c r="T63" i="32"/>
  <c r="P63" i="32"/>
  <c r="N63" i="32"/>
  <c r="L63" i="32"/>
  <c r="J63" i="32"/>
  <c r="H63" i="32"/>
  <c r="F63" i="32"/>
  <c r="D63" i="32"/>
  <c r="AA61" i="32"/>
  <c r="Z61" i="32"/>
  <c r="X61" i="32"/>
  <c r="V61" i="32"/>
  <c r="T61" i="32"/>
  <c r="R61" i="32"/>
  <c r="P61" i="32"/>
  <c r="N61" i="32"/>
  <c r="L61" i="32"/>
  <c r="J61" i="32"/>
  <c r="H61" i="32"/>
  <c r="F61" i="32"/>
  <c r="D61" i="32"/>
  <c r="AA60" i="32"/>
  <c r="Z60" i="32"/>
  <c r="X60" i="32"/>
  <c r="V60" i="32"/>
  <c r="T60" i="32"/>
  <c r="R60" i="32"/>
  <c r="P60" i="32"/>
  <c r="N60" i="32"/>
  <c r="L60" i="32"/>
  <c r="J60" i="32"/>
  <c r="H60" i="32"/>
  <c r="F60" i="32"/>
  <c r="D60" i="32"/>
  <c r="AA59" i="32"/>
  <c r="AA58" i="32"/>
  <c r="Z58" i="32"/>
  <c r="X58" i="32"/>
  <c r="V58" i="32"/>
  <c r="T58" i="32"/>
  <c r="R58" i="32"/>
  <c r="P58" i="32"/>
  <c r="N58" i="32"/>
  <c r="L58" i="32"/>
  <c r="J58" i="32"/>
  <c r="H58" i="32"/>
  <c r="F58" i="32"/>
  <c r="D58" i="32"/>
  <c r="AA57" i="32"/>
  <c r="Z57" i="32"/>
  <c r="X57" i="32"/>
  <c r="V57" i="32"/>
  <c r="T57" i="32"/>
  <c r="R57" i="32"/>
  <c r="P57" i="32"/>
  <c r="N57" i="32"/>
  <c r="L57" i="32"/>
  <c r="J57" i="32"/>
  <c r="H57" i="32"/>
  <c r="F57" i="32"/>
  <c r="D57" i="32"/>
  <c r="AA56" i="32"/>
  <c r="Z56" i="32"/>
  <c r="X56" i="32"/>
  <c r="V56" i="32"/>
  <c r="T56" i="32"/>
  <c r="R56" i="32"/>
  <c r="P56" i="32"/>
  <c r="N56" i="32"/>
  <c r="L56" i="32"/>
  <c r="J56" i="32"/>
  <c r="H56" i="32"/>
  <c r="F56" i="32"/>
  <c r="D56" i="32"/>
  <c r="AA55" i="32"/>
  <c r="Z55" i="32"/>
  <c r="X55" i="32"/>
  <c r="V55" i="32"/>
  <c r="T55" i="32"/>
  <c r="R55" i="32"/>
  <c r="P55" i="32"/>
  <c r="N55" i="32"/>
  <c r="L55" i="32"/>
  <c r="J55" i="32"/>
  <c r="H55" i="32"/>
  <c r="F55" i="32"/>
  <c r="D55" i="32"/>
  <c r="AA53" i="32"/>
  <c r="Z53" i="32"/>
  <c r="X53" i="32"/>
  <c r="V53" i="32"/>
  <c r="T53" i="32"/>
  <c r="R53" i="32"/>
  <c r="P53" i="32"/>
  <c r="N53" i="32"/>
  <c r="L53" i="32"/>
  <c r="J53" i="32"/>
  <c r="H53" i="32"/>
  <c r="F53" i="32"/>
  <c r="D53" i="32"/>
  <c r="AA52" i="32"/>
  <c r="Z52" i="32"/>
  <c r="X52" i="32"/>
  <c r="V52" i="32"/>
  <c r="T52" i="32"/>
  <c r="R52" i="32"/>
  <c r="P52" i="32"/>
  <c r="N52" i="32"/>
  <c r="L52" i="32"/>
  <c r="J52" i="32"/>
  <c r="H52" i="32"/>
  <c r="F52" i="32"/>
  <c r="D52" i="32"/>
  <c r="AA51" i="32"/>
  <c r="Z51" i="32"/>
  <c r="X51" i="32"/>
  <c r="V51" i="32"/>
  <c r="T51" i="32"/>
  <c r="R51" i="32"/>
  <c r="P51" i="32"/>
  <c r="N51" i="32"/>
  <c r="L51" i="32"/>
  <c r="J51" i="32"/>
  <c r="H51" i="32"/>
  <c r="F51" i="32"/>
  <c r="D51" i="32"/>
  <c r="AA50" i="32"/>
  <c r="Z50" i="32"/>
  <c r="X50" i="32"/>
  <c r="V50" i="32"/>
  <c r="T50" i="32"/>
  <c r="R50" i="32"/>
  <c r="P50" i="32"/>
  <c r="N50" i="32"/>
  <c r="L50" i="32"/>
  <c r="J50" i="32"/>
  <c r="H50" i="32"/>
  <c r="F50" i="32"/>
  <c r="D50" i="32"/>
  <c r="AA49" i="32"/>
  <c r="Z49" i="32"/>
  <c r="X49" i="32"/>
  <c r="V49" i="32"/>
  <c r="T49" i="32"/>
  <c r="R49" i="32"/>
  <c r="P49" i="32"/>
  <c r="N49" i="32"/>
  <c r="L49" i="32"/>
  <c r="J49" i="32"/>
  <c r="H49" i="32"/>
  <c r="F49" i="32"/>
  <c r="D49" i="32"/>
  <c r="AA47" i="32"/>
  <c r="Z47" i="32"/>
  <c r="X47" i="32"/>
  <c r="V47" i="32"/>
  <c r="T47" i="32"/>
  <c r="R47" i="32"/>
  <c r="P47" i="32"/>
  <c r="N47" i="32"/>
  <c r="L47" i="32"/>
  <c r="J47" i="32"/>
  <c r="H47" i="32"/>
  <c r="F47" i="32"/>
  <c r="D47" i="32"/>
  <c r="Z46" i="32"/>
  <c r="X46" i="32"/>
  <c r="V46" i="32"/>
  <c r="T46" i="32"/>
  <c r="R46" i="32"/>
  <c r="P46" i="32"/>
  <c r="N46" i="32"/>
  <c r="L46" i="32"/>
  <c r="J46" i="32"/>
  <c r="H46" i="32"/>
  <c r="F46" i="32"/>
  <c r="D46" i="32"/>
  <c r="AA45" i="32"/>
  <c r="Z45" i="32"/>
  <c r="X45" i="32"/>
  <c r="V45" i="32"/>
  <c r="T45" i="32"/>
  <c r="R45" i="32"/>
  <c r="P45" i="32"/>
  <c r="N45" i="32"/>
  <c r="L45" i="32"/>
  <c r="J45" i="32"/>
  <c r="H45" i="32"/>
  <c r="F45" i="32"/>
  <c r="D45" i="32"/>
  <c r="AA44" i="32"/>
  <c r="AB71" i="32" s="1"/>
  <c r="Z44" i="32"/>
  <c r="X44" i="32"/>
  <c r="V44" i="32"/>
  <c r="T44" i="32"/>
  <c r="R44" i="32"/>
  <c r="P44" i="32"/>
  <c r="N44" i="32"/>
  <c r="L44" i="32"/>
  <c r="J44" i="32"/>
  <c r="H44" i="32"/>
  <c r="F44" i="32"/>
  <c r="D44" i="32"/>
  <c r="Y33" i="32"/>
  <c r="W33" i="32"/>
  <c r="U33" i="32"/>
  <c r="S33" i="32"/>
  <c r="Q33" i="32"/>
  <c r="O33" i="32"/>
  <c r="M33" i="32"/>
  <c r="K33" i="32"/>
  <c r="I33" i="32"/>
  <c r="G33" i="32"/>
  <c r="Y32" i="32"/>
  <c r="W32" i="32"/>
  <c r="U32" i="32"/>
  <c r="S32" i="32"/>
  <c r="Q32" i="32"/>
  <c r="O32" i="32"/>
  <c r="M32" i="32"/>
  <c r="K32" i="32"/>
  <c r="I32" i="32"/>
  <c r="G32" i="32"/>
  <c r="Y31" i="32"/>
  <c r="W31" i="32"/>
  <c r="U31" i="32"/>
  <c r="S31" i="32"/>
  <c r="Q31" i="32"/>
  <c r="O31" i="32"/>
  <c r="M31" i="32"/>
  <c r="K31" i="32"/>
  <c r="I31" i="32"/>
  <c r="G31" i="32"/>
  <c r="E31" i="32"/>
  <c r="C31" i="32"/>
  <c r="Y30" i="32"/>
  <c r="W30" i="32"/>
  <c r="U30" i="32"/>
  <c r="S30" i="32"/>
  <c r="Q30" i="32"/>
  <c r="O30" i="32"/>
  <c r="M30" i="32"/>
  <c r="K30" i="32"/>
  <c r="I30" i="32"/>
  <c r="G30" i="32"/>
  <c r="E30" i="32"/>
  <c r="C30" i="32"/>
  <c r="Y28" i="32"/>
  <c r="W28" i="32"/>
  <c r="U28" i="32"/>
  <c r="S28" i="32"/>
  <c r="Q28" i="32"/>
  <c r="O28" i="32"/>
  <c r="M28" i="32"/>
  <c r="K28" i="32"/>
  <c r="I28" i="32"/>
  <c r="G28" i="32"/>
  <c r="Y26" i="32"/>
  <c r="W26" i="32"/>
  <c r="U26" i="32"/>
  <c r="S26" i="32"/>
  <c r="Q26" i="32"/>
  <c r="O26" i="32"/>
  <c r="M26" i="32"/>
  <c r="K26" i="32"/>
  <c r="I26" i="32"/>
  <c r="G26" i="32"/>
  <c r="E26" i="32"/>
  <c r="C26" i="32"/>
  <c r="Y25" i="32"/>
  <c r="W25" i="32"/>
  <c r="U25" i="32"/>
  <c r="S25" i="32"/>
  <c r="Q25" i="32"/>
  <c r="O25" i="32"/>
  <c r="M25" i="32"/>
  <c r="K25" i="32"/>
  <c r="I25" i="32"/>
  <c r="G25" i="32"/>
  <c r="E25" i="32"/>
  <c r="C25" i="32"/>
  <c r="Y24" i="32"/>
  <c r="W24" i="32"/>
  <c r="U24" i="32"/>
  <c r="S24" i="32"/>
  <c r="Q24" i="32"/>
  <c r="O24" i="32"/>
  <c r="M24" i="32"/>
  <c r="K24" i="32"/>
  <c r="I24" i="32"/>
  <c r="G24" i="32"/>
  <c r="E24" i="32"/>
  <c r="C24" i="32"/>
  <c r="Y23" i="32"/>
  <c r="W23" i="32"/>
  <c r="U23" i="32"/>
  <c r="S23" i="32"/>
  <c r="Q23" i="32"/>
  <c r="Q27" i="32" s="1"/>
  <c r="O23" i="32"/>
  <c r="M23" i="32"/>
  <c r="K23" i="32"/>
  <c r="I23" i="32"/>
  <c r="G23" i="32"/>
  <c r="E23" i="32"/>
  <c r="E27" i="32" s="1"/>
  <c r="C23" i="32"/>
  <c r="Y22" i="32"/>
  <c r="W22" i="32"/>
  <c r="U22" i="32"/>
  <c r="S22" i="32"/>
  <c r="Q22" i="32"/>
  <c r="O22" i="32"/>
  <c r="M22" i="32"/>
  <c r="K22" i="32"/>
  <c r="I22" i="32"/>
  <c r="G22" i="32"/>
  <c r="E22" i="32"/>
  <c r="C22" i="32"/>
  <c r="Y20" i="32"/>
  <c r="W20" i="32"/>
  <c r="U20" i="32"/>
  <c r="S20" i="32"/>
  <c r="Q20" i="32"/>
  <c r="O20" i="32"/>
  <c r="M20" i="32"/>
  <c r="K20" i="32"/>
  <c r="I20" i="32"/>
  <c r="G20" i="32"/>
  <c r="Y19" i="32"/>
  <c r="W19" i="32"/>
  <c r="U19" i="32"/>
  <c r="S19" i="32"/>
  <c r="Q19" i="32"/>
  <c r="O19" i="32"/>
  <c r="M19" i="32"/>
  <c r="K19" i="32"/>
  <c r="I19" i="32"/>
  <c r="G19" i="32"/>
  <c r="Y18" i="32"/>
  <c r="W18" i="32"/>
  <c r="U18" i="32"/>
  <c r="S18" i="32"/>
  <c r="Q18" i="32"/>
  <c r="O18" i="32"/>
  <c r="M18" i="32"/>
  <c r="K18" i="32"/>
  <c r="I18" i="32"/>
  <c r="G18" i="32"/>
  <c r="E18" i="32"/>
  <c r="C18" i="32"/>
  <c r="Y17" i="32"/>
  <c r="W17" i="32"/>
  <c r="U17" i="32"/>
  <c r="S17" i="32"/>
  <c r="Q17" i="32"/>
  <c r="O17" i="32"/>
  <c r="M17" i="32"/>
  <c r="K17" i="32"/>
  <c r="I17" i="32"/>
  <c r="G17" i="32"/>
  <c r="E17" i="32"/>
  <c r="C17" i="32"/>
  <c r="Y16" i="32"/>
  <c r="W16" i="32"/>
  <c r="U16" i="32"/>
  <c r="S16" i="32"/>
  <c r="Q16" i="32"/>
  <c r="O16" i="32"/>
  <c r="M16" i="32"/>
  <c r="K16" i="32"/>
  <c r="I16" i="32"/>
  <c r="G16" i="32"/>
  <c r="E16" i="32"/>
  <c r="C16" i="32"/>
  <c r="Y14" i="32"/>
  <c r="W14" i="32"/>
  <c r="U14" i="32"/>
  <c r="S14" i="32"/>
  <c r="Q14" i="32"/>
  <c r="O14" i="32"/>
  <c r="M14" i="32"/>
  <c r="K14" i="32"/>
  <c r="I14" i="32"/>
  <c r="G14" i="32"/>
  <c r="Y13" i="32"/>
  <c r="W13" i="32"/>
  <c r="U13" i="32"/>
  <c r="S13" i="32"/>
  <c r="Q13" i="32"/>
  <c r="O13" i="32"/>
  <c r="M13" i="32"/>
  <c r="K13" i="32"/>
  <c r="I13" i="32"/>
  <c r="G13" i="32"/>
  <c r="E13" i="32"/>
  <c r="C13" i="32"/>
  <c r="Y12" i="32"/>
  <c r="W12" i="32"/>
  <c r="U12" i="32"/>
  <c r="S12" i="32"/>
  <c r="Q12" i="32"/>
  <c r="O12" i="32"/>
  <c r="M12" i="32"/>
  <c r="K12" i="32"/>
  <c r="I12" i="32"/>
  <c r="G12" i="32"/>
  <c r="E12" i="32"/>
  <c r="C12" i="32"/>
  <c r="Y11" i="32"/>
  <c r="Z17" i="32" s="1"/>
  <c r="W11" i="32"/>
  <c r="X17" i="32" s="1"/>
  <c r="U11" i="32"/>
  <c r="V30" i="32" s="1"/>
  <c r="S11" i="32"/>
  <c r="T18" i="32" s="1"/>
  <c r="Q11" i="32"/>
  <c r="R25" i="32" s="1"/>
  <c r="O11" i="32"/>
  <c r="P32" i="32" s="1"/>
  <c r="M11" i="32"/>
  <c r="K11" i="32"/>
  <c r="I11" i="32"/>
  <c r="J38" i="32" s="1"/>
  <c r="G11" i="32"/>
  <c r="E11" i="32"/>
  <c r="C11" i="32"/>
  <c r="A6" i="32"/>
  <c r="AN237" i="43"/>
  <c r="AM237" i="43"/>
  <c r="AF237" i="43"/>
  <c r="AN235" i="43"/>
  <c r="AM235" i="43"/>
  <c r="AL235" i="43"/>
  <c r="AK235" i="43"/>
  <c r="AF235" i="43"/>
  <c r="L235" i="43"/>
  <c r="J235" i="43"/>
  <c r="AN234" i="43"/>
  <c r="AM234" i="43"/>
  <c r="AL234" i="43"/>
  <c r="AK234" i="43"/>
  <c r="AF234" i="43"/>
  <c r="L234" i="43"/>
  <c r="J234" i="43"/>
  <c r="AF231" i="43"/>
  <c r="AF230" i="43"/>
  <c r="AE227" i="43"/>
  <c r="BA25" i="43" s="1"/>
  <c r="AW58" i="43" s="1"/>
  <c r="AF225" i="43"/>
  <c r="AF224" i="43"/>
  <c r="AF223" i="43"/>
  <c r="AE219" i="43"/>
  <c r="AF219" i="43" s="1"/>
  <c r="AF218" i="43"/>
  <c r="AF217" i="43"/>
  <c r="AF216" i="43"/>
  <c r="AE214" i="43"/>
  <c r="AF214" i="43" s="1"/>
  <c r="AF213" i="43"/>
  <c r="AF212" i="43"/>
  <c r="AD209" i="43"/>
  <c r="AE205" i="43"/>
  <c r="E205" i="43"/>
  <c r="AN203" i="43"/>
  <c r="AM203" i="43"/>
  <c r="AF203" i="43"/>
  <c r="J203" i="43"/>
  <c r="AN201" i="43"/>
  <c r="AM201" i="43"/>
  <c r="AL201" i="43"/>
  <c r="AK201" i="43"/>
  <c r="AF201" i="43"/>
  <c r="L201" i="43"/>
  <c r="J201" i="43"/>
  <c r="AN200" i="43"/>
  <c r="AM200" i="43"/>
  <c r="AL200" i="43"/>
  <c r="AK200" i="43"/>
  <c r="AF200" i="43"/>
  <c r="L200" i="43"/>
  <c r="J200" i="43"/>
  <c r="AF197" i="43"/>
  <c r="AF196" i="43"/>
  <c r="AE193" i="43"/>
  <c r="AF193" i="43" s="1"/>
  <c r="AF191" i="43"/>
  <c r="AF190" i="43"/>
  <c r="AF189" i="43"/>
  <c r="AF184" i="43"/>
  <c r="AF183" i="43"/>
  <c r="AF178" i="43"/>
  <c r="AD175" i="43"/>
  <c r="AE170" i="43"/>
  <c r="E170" i="43"/>
  <c r="AN168" i="43"/>
  <c r="AM168" i="43"/>
  <c r="AF168" i="43"/>
  <c r="J168" i="43"/>
  <c r="AN166" i="43"/>
  <c r="AM166" i="43"/>
  <c r="AL166" i="43"/>
  <c r="AK166" i="43"/>
  <c r="AF166" i="43"/>
  <c r="L166" i="43"/>
  <c r="J166" i="43"/>
  <c r="AN165" i="43"/>
  <c r="AM165" i="43"/>
  <c r="AL165" i="43"/>
  <c r="AK165" i="43"/>
  <c r="AF165" i="43"/>
  <c r="L165" i="43"/>
  <c r="J165" i="43"/>
  <c r="AF162" i="43"/>
  <c r="AF161" i="43"/>
  <c r="AE158" i="43"/>
  <c r="AW25" i="43" s="1"/>
  <c r="AF156" i="43"/>
  <c r="AF155" i="43"/>
  <c r="AF154" i="43"/>
  <c r="AF149" i="43"/>
  <c r="AF148" i="43"/>
  <c r="AF143" i="43"/>
  <c r="AD140" i="43"/>
  <c r="AN134" i="43"/>
  <c r="AM134" i="43"/>
  <c r="AF134" i="43"/>
  <c r="AN132" i="43"/>
  <c r="AM132" i="43"/>
  <c r="AL132" i="43"/>
  <c r="AK132" i="43"/>
  <c r="AF132" i="43"/>
  <c r="L132" i="43"/>
  <c r="J132" i="43"/>
  <c r="AN131" i="43"/>
  <c r="AM131" i="43"/>
  <c r="AL131" i="43"/>
  <c r="AK131" i="43"/>
  <c r="AF131" i="43"/>
  <c r="L131" i="43"/>
  <c r="J131" i="43"/>
  <c r="AF128" i="43"/>
  <c r="AF127" i="43"/>
  <c r="AE124" i="43"/>
  <c r="AU25" i="43" s="1"/>
  <c r="AF122" i="43"/>
  <c r="AF121" i="43"/>
  <c r="AF120" i="43"/>
  <c r="AF115" i="43"/>
  <c r="AF114" i="43"/>
  <c r="AF109" i="43"/>
  <c r="AD106" i="43"/>
  <c r="AN100" i="43"/>
  <c r="AM100" i="43"/>
  <c r="AF100" i="43"/>
  <c r="AN98" i="43"/>
  <c r="AM98" i="43"/>
  <c r="AL98" i="43"/>
  <c r="AK98" i="43"/>
  <c r="AF98" i="43"/>
  <c r="L98" i="43"/>
  <c r="J98" i="43"/>
  <c r="AN97" i="43"/>
  <c r="AM97" i="43"/>
  <c r="AL97" i="43"/>
  <c r="AK97" i="43"/>
  <c r="AF97" i="43"/>
  <c r="L97" i="43"/>
  <c r="J97" i="43"/>
  <c r="AF94" i="43"/>
  <c r="AF93" i="43"/>
  <c r="AE90" i="43"/>
  <c r="AS25" i="43" s="1"/>
  <c r="AF88" i="43"/>
  <c r="AF87" i="43"/>
  <c r="AF86" i="43"/>
  <c r="AF81" i="43"/>
  <c r="AF80" i="43"/>
  <c r="AF75" i="43"/>
  <c r="AD72" i="43"/>
  <c r="AF69" i="43"/>
  <c r="AF67" i="43"/>
  <c r="AL66" i="43"/>
  <c r="AK66" i="43"/>
  <c r="AF66" i="43"/>
  <c r="AL65" i="43"/>
  <c r="AF63" i="43"/>
  <c r="AF62" i="43"/>
  <c r="AF61" i="43"/>
  <c r="AF59" i="43"/>
  <c r="AF58" i="43"/>
  <c r="AQ25" i="43"/>
  <c r="AQ58" i="43" s="1"/>
  <c r="AF56" i="43"/>
  <c r="AF55" i="43"/>
  <c r="AF54" i="43"/>
  <c r="AF50" i="43"/>
  <c r="AF49" i="43"/>
  <c r="AF47" i="43"/>
  <c r="AF45" i="43"/>
  <c r="AF43" i="43"/>
  <c r="B40" i="43"/>
  <c r="BC37" i="43"/>
  <c r="BA37" i="43"/>
  <c r="AY37" i="43"/>
  <c r="AW37" i="43"/>
  <c r="AU37" i="43"/>
  <c r="AS37" i="43"/>
  <c r="AQ37" i="43"/>
  <c r="Y37" i="43"/>
  <c r="AL33" i="43"/>
  <c r="AK33" i="43"/>
  <c r="AL32" i="43"/>
  <c r="BA29" i="43"/>
  <c r="AW62" i="43" s="1"/>
  <c r="AX62" i="43" s="1"/>
  <c r="AY29" i="43"/>
  <c r="AW29" i="43"/>
  <c r="AU29" i="43"/>
  <c r="AS29" i="43"/>
  <c r="AQ29" i="43"/>
  <c r="AQ62" i="43" s="1"/>
  <c r="AR62" i="43" s="1"/>
  <c r="AE29" i="43"/>
  <c r="BA28" i="43"/>
  <c r="AW61" i="43" s="1"/>
  <c r="AX61" i="43" s="1"/>
  <c r="AY28" i="43"/>
  <c r="AW28" i="43"/>
  <c r="AU28" i="43"/>
  <c r="AS28" i="43"/>
  <c r="AQ28" i="43"/>
  <c r="AQ61" i="43" s="1"/>
  <c r="AR61" i="43" s="1"/>
  <c r="AE28" i="43"/>
  <c r="BA23" i="43"/>
  <c r="AW56" i="43" s="1"/>
  <c r="AX56" i="43" s="1"/>
  <c r="AY23" i="43"/>
  <c r="AW23" i="43"/>
  <c r="AU23" i="43"/>
  <c r="AS23" i="43"/>
  <c r="AQ23" i="43"/>
  <c r="AQ56" i="43" s="1"/>
  <c r="AE23" i="43"/>
  <c r="BA22" i="43"/>
  <c r="AW55" i="43" s="1"/>
  <c r="AY22" i="43"/>
  <c r="AW22" i="43"/>
  <c r="AU22" i="43"/>
  <c r="AS22" i="43"/>
  <c r="AQ22" i="43"/>
  <c r="AQ55" i="43" s="1"/>
  <c r="AE22" i="43"/>
  <c r="BA21" i="43"/>
  <c r="AW54" i="43" s="1"/>
  <c r="AY21" i="43"/>
  <c r="AW21" i="43"/>
  <c r="AU21" i="43"/>
  <c r="AS21" i="43"/>
  <c r="AQ21" i="43"/>
  <c r="AQ54" i="43" s="1"/>
  <c r="AR54" i="43" s="1"/>
  <c r="AE21" i="43"/>
  <c r="AQ17" i="43"/>
  <c r="AQ50" i="43" s="1"/>
  <c r="BA16" i="43"/>
  <c r="AW49" i="43" s="1"/>
  <c r="AY16" i="43"/>
  <c r="AW16" i="43"/>
  <c r="AU16" i="43"/>
  <c r="AS16" i="43"/>
  <c r="AQ16" i="43"/>
  <c r="AQ49" i="43" s="1"/>
  <c r="AE16" i="43"/>
  <c r="BA15" i="43"/>
  <c r="AW48" i="43" s="1"/>
  <c r="AY15" i="43"/>
  <c r="AW15" i="43"/>
  <c r="AU15" i="43"/>
  <c r="AS15" i="43"/>
  <c r="BA14" i="43"/>
  <c r="AW47" i="43" s="1"/>
  <c r="AQ14" i="43"/>
  <c r="AQ47" i="43" s="1"/>
  <c r="AR47" i="43" s="1"/>
  <c r="AQ12" i="43"/>
  <c r="AQ45" i="43" s="1"/>
  <c r="BA11" i="43"/>
  <c r="AW44" i="43" s="1"/>
  <c r="AX44" i="43" s="1"/>
  <c r="BA10" i="43"/>
  <c r="AW43" i="43" s="1"/>
  <c r="AY10" i="43"/>
  <c r="AW10" i="43"/>
  <c r="AU10" i="43"/>
  <c r="AS10" i="43"/>
  <c r="AQ10" i="43"/>
  <c r="AR33" i="43" s="1"/>
  <c r="AE10" i="43"/>
  <c r="AD7" i="43"/>
  <c r="AE6" i="43"/>
  <c r="AQ6" i="43" s="1"/>
  <c r="C6" i="43"/>
  <c r="O6" i="43" s="1"/>
  <c r="BP314" i="2"/>
  <c r="BP313" i="2"/>
  <c r="BN314" i="2"/>
  <c r="BG300" i="2"/>
  <c r="BP276" i="2"/>
  <c r="BG276" i="2"/>
  <c r="BG275" i="2"/>
  <c r="BH275" i="2" s="1"/>
  <c r="BG274" i="2"/>
  <c r="BH274" i="2" s="1"/>
  <c r="BG269" i="2"/>
  <c r="BH269" i="2" s="1"/>
  <c r="BG268" i="2"/>
  <c r="BH268" i="2" s="1"/>
  <c r="BH243" i="2"/>
  <c r="AI243" i="2"/>
  <c r="AN243" i="2" s="1"/>
  <c r="AG243" i="2"/>
  <c r="AL243" i="2" s="1"/>
  <c r="AE243" i="2"/>
  <c r="BA29" i="2" s="1"/>
  <c r="G243" i="2"/>
  <c r="L243" i="2" s="1"/>
  <c r="E243" i="2"/>
  <c r="J243" i="2" s="1"/>
  <c r="C243" i="2"/>
  <c r="BH242" i="2"/>
  <c r="AI242" i="2"/>
  <c r="AN242" i="2" s="1"/>
  <c r="AG242" i="2"/>
  <c r="AE242" i="2"/>
  <c r="BA28" i="2" s="1"/>
  <c r="G242" i="2"/>
  <c r="L242" i="2" s="1"/>
  <c r="E242" i="2"/>
  <c r="J242" i="2" s="1"/>
  <c r="C242" i="2"/>
  <c r="BG239" i="2"/>
  <c r="CD25" i="2" s="1"/>
  <c r="BZ60" i="2" s="1"/>
  <c r="BP237" i="2"/>
  <c r="BH237" i="2"/>
  <c r="AN237" i="2"/>
  <c r="AI237" i="2"/>
  <c r="AN236" i="2" s="1"/>
  <c r="AG237" i="2"/>
  <c r="AL237" i="2" s="1"/>
  <c r="AE237" i="2"/>
  <c r="G237" i="2"/>
  <c r="L237" i="2" s="1"/>
  <c r="E237" i="2"/>
  <c r="J237" i="2" s="1"/>
  <c r="C237" i="2"/>
  <c r="BH236" i="2"/>
  <c r="AI236" i="2"/>
  <c r="AG236" i="2"/>
  <c r="AE236" i="2"/>
  <c r="BA22" i="2" s="1"/>
  <c r="G236" i="2"/>
  <c r="E236" i="2"/>
  <c r="C236" i="2"/>
  <c r="Y22" i="2" s="1"/>
  <c r="BH235" i="2"/>
  <c r="AI235" i="2"/>
  <c r="AG235" i="2"/>
  <c r="AE235" i="2"/>
  <c r="BA21" i="2" s="1"/>
  <c r="G235" i="2"/>
  <c r="E235" i="2"/>
  <c r="C235" i="2"/>
  <c r="Y21" i="2" s="1"/>
  <c r="BG231" i="2"/>
  <c r="CD17" i="2" s="1"/>
  <c r="BZ52" i="2" s="1"/>
  <c r="BH230" i="2"/>
  <c r="AI230" i="2"/>
  <c r="AG230" i="2"/>
  <c r="AE230" i="2"/>
  <c r="G230" i="2"/>
  <c r="E230" i="2"/>
  <c r="C230" i="2"/>
  <c r="Y16" i="2" s="1"/>
  <c r="BH229" i="2"/>
  <c r="AI229" i="2"/>
  <c r="AG229" i="2"/>
  <c r="AE229" i="2"/>
  <c r="BA15" i="2" s="1"/>
  <c r="G229" i="2"/>
  <c r="E229" i="2"/>
  <c r="C229" i="2"/>
  <c r="Y15" i="2" s="1"/>
  <c r="BH228" i="2"/>
  <c r="AI228" i="2"/>
  <c r="AG228" i="2"/>
  <c r="AE228" i="2"/>
  <c r="BA14" i="2" s="1"/>
  <c r="G228" i="2"/>
  <c r="E228" i="2"/>
  <c r="C228" i="2"/>
  <c r="Y14" i="2" s="1"/>
  <c r="BG226" i="2"/>
  <c r="CD12" i="2" s="1"/>
  <c r="BZ47" i="2" s="1"/>
  <c r="BK225" i="2"/>
  <c r="BI225" i="2"/>
  <c r="BH225" i="2"/>
  <c r="AN225" i="2"/>
  <c r="AM225" i="2"/>
  <c r="AL225" i="2"/>
  <c r="AK225" i="2"/>
  <c r="L225" i="2"/>
  <c r="K225" i="2"/>
  <c r="J225" i="2"/>
  <c r="I225" i="2"/>
  <c r="BH224" i="2"/>
  <c r="AN224" i="2"/>
  <c r="AM224" i="2"/>
  <c r="AL224" i="2"/>
  <c r="AK224" i="2"/>
  <c r="L224" i="2"/>
  <c r="K224" i="2"/>
  <c r="J224" i="2"/>
  <c r="I224" i="2"/>
  <c r="BH223" i="2"/>
  <c r="AI223" i="2"/>
  <c r="AG223" i="2"/>
  <c r="AH223" i="2" s="1"/>
  <c r="AE223" i="2"/>
  <c r="AE226" i="2" s="1"/>
  <c r="BA12" i="2" s="1"/>
  <c r="G223" i="2"/>
  <c r="E223" i="2"/>
  <c r="C223" i="2"/>
  <c r="C226" i="2" s="1"/>
  <c r="AE220" i="2"/>
  <c r="AD220" i="2"/>
  <c r="BF220" i="2" s="1"/>
  <c r="C220" i="2"/>
  <c r="BH207" i="2"/>
  <c r="AI207" i="2"/>
  <c r="AN207" i="2" s="1"/>
  <c r="AG207" i="2"/>
  <c r="AE207" i="2"/>
  <c r="G207" i="2"/>
  <c r="L207" i="2" s="1"/>
  <c r="E207" i="2"/>
  <c r="J207" i="2" s="1"/>
  <c r="C207" i="2"/>
  <c r="W29" i="2" s="1"/>
  <c r="BH206" i="2"/>
  <c r="AI206" i="2"/>
  <c r="AN206" i="2" s="1"/>
  <c r="AG206" i="2"/>
  <c r="AL206" i="2" s="1"/>
  <c r="AE206" i="2"/>
  <c r="G206" i="2"/>
  <c r="L206" i="2" s="1"/>
  <c r="E206" i="2"/>
  <c r="J206" i="2" s="1"/>
  <c r="C206" i="2"/>
  <c r="W28" i="2" s="1"/>
  <c r="BG203" i="2"/>
  <c r="CB25" i="2" s="1"/>
  <c r="BO202" i="2"/>
  <c r="BM202" i="2"/>
  <c r="AM202" i="2"/>
  <c r="AK202" i="2"/>
  <c r="K202" i="2"/>
  <c r="I202" i="2"/>
  <c r="BH201" i="2"/>
  <c r="AI201" i="2"/>
  <c r="AN201" i="2" s="1"/>
  <c r="AG201" i="2"/>
  <c r="AL201" i="2" s="1"/>
  <c r="AE201" i="2"/>
  <c r="G201" i="2"/>
  <c r="L201" i="2" s="1"/>
  <c r="E201" i="2"/>
  <c r="J201" i="2" s="1"/>
  <c r="C201" i="2"/>
  <c r="BH200" i="2"/>
  <c r="AI200" i="2"/>
  <c r="AG200" i="2"/>
  <c r="AE200" i="2"/>
  <c r="AY22" i="2" s="1"/>
  <c r="G200" i="2"/>
  <c r="E200" i="2"/>
  <c r="J200" i="2" s="1"/>
  <c r="C200" i="2"/>
  <c r="BH199" i="2"/>
  <c r="AI199" i="2"/>
  <c r="AG199" i="2"/>
  <c r="AE199" i="2"/>
  <c r="AY21" i="2" s="1"/>
  <c r="G199" i="2"/>
  <c r="E199" i="2"/>
  <c r="C199" i="2"/>
  <c r="AM198" i="2"/>
  <c r="AK198" i="2"/>
  <c r="K198" i="2"/>
  <c r="I198" i="2"/>
  <c r="BH194" i="2"/>
  <c r="AI194" i="2"/>
  <c r="AG194" i="2"/>
  <c r="AE194" i="2"/>
  <c r="AY16" i="2" s="1"/>
  <c r="G194" i="2"/>
  <c r="E194" i="2"/>
  <c r="C194" i="2"/>
  <c r="BH193" i="2"/>
  <c r="AI193" i="2"/>
  <c r="AG193" i="2"/>
  <c r="G193" i="2"/>
  <c r="E193" i="2"/>
  <c r="C193" i="2"/>
  <c r="W15" i="2" s="1"/>
  <c r="AI192" i="2"/>
  <c r="AG192" i="2"/>
  <c r="AY14" i="2"/>
  <c r="G192" i="2"/>
  <c r="E192" i="2"/>
  <c r="C192" i="2"/>
  <c r="W14" i="2" s="1"/>
  <c r="BK189" i="2"/>
  <c r="BO189" i="2" s="1"/>
  <c r="BI189" i="2"/>
  <c r="BH189" i="2"/>
  <c r="AI189" i="2"/>
  <c r="AG189" i="2"/>
  <c r="AL189" i="2" s="1"/>
  <c r="AE189" i="2"/>
  <c r="G189" i="2"/>
  <c r="L189" i="2" s="1"/>
  <c r="E189" i="2"/>
  <c r="C189" i="2"/>
  <c r="W11" i="2" s="1"/>
  <c r="AI188" i="2"/>
  <c r="AG188" i="2"/>
  <c r="AE188" i="2"/>
  <c r="AY10" i="2" s="1"/>
  <c r="G188" i="2"/>
  <c r="E188" i="2"/>
  <c r="C188" i="2"/>
  <c r="BH187" i="2"/>
  <c r="AI187" i="2"/>
  <c r="AG187" i="2"/>
  <c r="AE187" i="2"/>
  <c r="AF192" i="2" s="1"/>
  <c r="G187" i="2"/>
  <c r="E187" i="2"/>
  <c r="C187" i="2"/>
  <c r="AE184" i="2"/>
  <c r="AD184" i="2"/>
  <c r="BF184" i="2" s="1"/>
  <c r="C184" i="2"/>
  <c r="AE182" i="2"/>
  <c r="BG182" i="2" s="1"/>
  <c r="BH169" i="2"/>
  <c r="AI169" i="2"/>
  <c r="AN169" i="2" s="1"/>
  <c r="AG169" i="2"/>
  <c r="AL169" i="2" s="1"/>
  <c r="AE169" i="2"/>
  <c r="AW29" i="2" s="1"/>
  <c r="G169" i="2"/>
  <c r="E169" i="2"/>
  <c r="J169" i="2" s="1"/>
  <c r="C169" i="2"/>
  <c r="U29" i="2" s="1"/>
  <c r="BH168" i="2"/>
  <c r="AI168" i="2"/>
  <c r="AG168" i="2"/>
  <c r="AL168" i="2" s="1"/>
  <c r="AE168" i="2"/>
  <c r="AW28" i="2" s="1"/>
  <c r="G168" i="2"/>
  <c r="L168" i="2" s="1"/>
  <c r="E168" i="2"/>
  <c r="J168" i="2" s="1"/>
  <c r="C168" i="2"/>
  <c r="BG165" i="2"/>
  <c r="BZ25" i="2" s="1"/>
  <c r="BP164" i="2"/>
  <c r="BO164" i="2"/>
  <c r="BN164" i="2"/>
  <c r="BM164" i="2"/>
  <c r="BH164" i="2"/>
  <c r="AN164" i="2"/>
  <c r="AM164" i="2"/>
  <c r="AL164" i="2"/>
  <c r="AK164" i="2"/>
  <c r="L164" i="2"/>
  <c r="K164" i="2"/>
  <c r="J164" i="2"/>
  <c r="I164" i="2"/>
  <c r="BH163" i="2"/>
  <c r="AI163" i="2"/>
  <c r="AN163" i="2" s="1"/>
  <c r="AG163" i="2"/>
  <c r="AE163" i="2"/>
  <c r="AW23" i="2" s="1"/>
  <c r="G163" i="2"/>
  <c r="E163" i="2"/>
  <c r="C163" i="2"/>
  <c r="U23" i="2" s="1"/>
  <c r="BH162" i="2"/>
  <c r="AI162" i="2"/>
  <c r="AG162" i="2"/>
  <c r="AL162" i="2" s="1"/>
  <c r="AE162" i="2"/>
  <c r="G162" i="2"/>
  <c r="E162" i="2"/>
  <c r="C162" i="2"/>
  <c r="BH161" i="2"/>
  <c r="AI161" i="2"/>
  <c r="AG161" i="2"/>
  <c r="AE161" i="2"/>
  <c r="G161" i="2"/>
  <c r="E161" i="2"/>
  <c r="C161" i="2"/>
  <c r="U21" i="2" s="1"/>
  <c r="BH160" i="2"/>
  <c r="AN160" i="2"/>
  <c r="AM160" i="2"/>
  <c r="AL160" i="2"/>
  <c r="AK160" i="2"/>
  <c r="L160" i="2"/>
  <c r="K160" i="2"/>
  <c r="J160" i="2"/>
  <c r="I160" i="2"/>
  <c r="BH156" i="2"/>
  <c r="AI156" i="2"/>
  <c r="AG156" i="2"/>
  <c r="AE156" i="2"/>
  <c r="G156" i="2"/>
  <c r="E156" i="2"/>
  <c r="C156" i="2"/>
  <c r="BH155" i="2"/>
  <c r="AI155" i="2"/>
  <c r="AG155" i="2"/>
  <c r="AE155" i="2"/>
  <c r="G155" i="2"/>
  <c r="E155" i="2"/>
  <c r="C155" i="2"/>
  <c r="U15" i="2" s="1"/>
  <c r="AI154" i="2"/>
  <c r="AG154" i="2"/>
  <c r="AW14" i="2"/>
  <c r="G154" i="2"/>
  <c r="E154" i="2"/>
  <c r="C154" i="2"/>
  <c r="BK151" i="2"/>
  <c r="BI151" i="2"/>
  <c r="BG151" i="2"/>
  <c r="BG302" i="2" s="1"/>
  <c r="BH302" i="2" s="1"/>
  <c r="AI151" i="2"/>
  <c r="AG151" i="2"/>
  <c r="AE151" i="2"/>
  <c r="G151" i="2"/>
  <c r="E151" i="2"/>
  <c r="J151" i="2" s="1"/>
  <c r="C151" i="2"/>
  <c r="AI150" i="2"/>
  <c r="AG150" i="2"/>
  <c r="AE150" i="2"/>
  <c r="G150" i="2"/>
  <c r="E150" i="2"/>
  <c r="C150" i="2"/>
  <c r="BH149" i="2"/>
  <c r="AI149" i="2"/>
  <c r="AJ149" i="2" s="1"/>
  <c r="AG149" i="2"/>
  <c r="AE149" i="2"/>
  <c r="G149" i="2"/>
  <c r="H164" i="2" s="1"/>
  <c r="E149" i="2"/>
  <c r="F149" i="2" s="1"/>
  <c r="C149" i="2"/>
  <c r="D164" i="2" s="1"/>
  <c r="AE146" i="2"/>
  <c r="AD146" i="2"/>
  <c r="BF146" i="2" s="1"/>
  <c r="C146" i="2"/>
  <c r="AE144" i="2"/>
  <c r="BG144" i="2" s="1"/>
  <c r="BH134" i="2"/>
  <c r="AI134" i="2"/>
  <c r="AN134" i="2" s="1"/>
  <c r="AG134" i="2"/>
  <c r="AL134" i="2" s="1"/>
  <c r="AE134" i="2"/>
  <c r="AD97" i="33" s="1"/>
  <c r="G134" i="2"/>
  <c r="L134" i="2" s="1"/>
  <c r="E134" i="2"/>
  <c r="J134" i="2" s="1"/>
  <c r="C134" i="2"/>
  <c r="S29" i="2" s="1"/>
  <c r="BH133" i="2"/>
  <c r="AI133" i="2"/>
  <c r="AG133" i="2"/>
  <c r="AE133" i="2"/>
  <c r="AU28" i="2" s="1"/>
  <c r="G133" i="2"/>
  <c r="E133" i="2"/>
  <c r="C133" i="2"/>
  <c r="S28" i="2" s="1"/>
  <c r="BG130" i="2"/>
  <c r="BX25" i="2" s="1"/>
  <c r="BP129" i="2"/>
  <c r="BO129" i="2"/>
  <c r="BN129" i="2"/>
  <c r="BM129" i="2"/>
  <c r="BH129" i="2"/>
  <c r="AN129" i="2"/>
  <c r="AM129" i="2"/>
  <c r="AL129" i="2"/>
  <c r="AK129" i="2"/>
  <c r="L129" i="2"/>
  <c r="K129" i="2"/>
  <c r="J129" i="2"/>
  <c r="I129" i="2"/>
  <c r="BH128" i="2"/>
  <c r="AI128" i="2"/>
  <c r="AN128" i="2" s="1"/>
  <c r="AG128" i="2"/>
  <c r="AL128" i="2" s="1"/>
  <c r="AE128" i="2"/>
  <c r="AU23" i="2" s="1"/>
  <c r="G128" i="2"/>
  <c r="E128" i="2"/>
  <c r="BH127" i="2"/>
  <c r="AI127" i="2"/>
  <c r="AG127" i="2"/>
  <c r="AE127" i="2"/>
  <c r="AU22" i="2" s="1"/>
  <c r="G127" i="2"/>
  <c r="E127" i="2"/>
  <c r="C127" i="2"/>
  <c r="BH126" i="2"/>
  <c r="AI126" i="2"/>
  <c r="AG126" i="2"/>
  <c r="AE126" i="2"/>
  <c r="G126" i="2"/>
  <c r="E126" i="2"/>
  <c r="C126" i="2"/>
  <c r="BH125" i="2"/>
  <c r="AN125" i="2"/>
  <c r="AM125" i="2"/>
  <c r="AL125" i="2"/>
  <c r="AK125" i="2"/>
  <c r="L125" i="2"/>
  <c r="K125" i="2"/>
  <c r="J125" i="2"/>
  <c r="I125" i="2"/>
  <c r="BH121" i="2"/>
  <c r="AI121" i="2"/>
  <c r="AG121" i="2"/>
  <c r="AE121" i="2"/>
  <c r="G121" i="2"/>
  <c r="E121" i="2"/>
  <c r="C121" i="2"/>
  <c r="BH120" i="2"/>
  <c r="AI120" i="2"/>
  <c r="AG120" i="2"/>
  <c r="AE120" i="2"/>
  <c r="G120" i="2"/>
  <c r="E120" i="2"/>
  <c r="C120" i="2"/>
  <c r="AI119" i="2"/>
  <c r="AG119" i="2"/>
  <c r="AE119" i="2"/>
  <c r="G119" i="2"/>
  <c r="E119" i="2"/>
  <c r="C119" i="2"/>
  <c r="S14" i="2" s="1"/>
  <c r="BK116" i="2"/>
  <c r="BI116" i="2"/>
  <c r="BG116" i="2"/>
  <c r="BX11" i="2" s="1"/>
  <c r="AI116" i="2"/>
  <c r="AN116" i="2" s="1"/>
  <c r="AG116" i="2"/>
  <c r="AE116" i="2"/>
  <c r="AD79" i="33" s="1"/>
  <c r="G116" i="2"/>
  <c r="L116" i="2" s="1"/>
  <c r="E116" i="2"/>
  <c r="C116" i="2"/>
  <c r="AI115" i="2"/>
  <c r="AG115" i="2"/>
  <c r="AU10" i="2"/>
  <c r="G115" i="2"/>
  <c r="E115" i="2"/>
  <c r="C115" i="2"/>
  <c r="BH114" i="2"/>
  <c r="AI114" i="2"/>
  <c r="AG114" i="2"/>
  <c r="G114" i="2"/>
  <c r="H129" i="2" s="1"/>
  <c r="E114" i="2"/>
  <c r="C114" i="2"/>
  <c r="AE111" i="2"/>
  <c r="AD111" i="2"/>
  <c r="BF111" i="2" s="1"/>
  <c r="C111" i="2"/>
  <c r="AE109" i="2"/>
  <c r="BG109" i="2" s="1"/>
  <c r="BH99" i="2"/>
  <c r="AI99" i="2"/>
  <c r="AN99" i="2" s="1"/>
  <c r="AG99" i="2"/>
  <c r="AL99" i="2" s="1"/>
  <c r="AE99" i="2"/>
  <c r="AS29" i="2" s="1"/>
  <c r="G99" i="2"/>
  <c r="L99" i="2" s="1"/>
  <c r="E99" i="2"/>
  <c r="C99" i="2"/>
  <c r="Q29" i="2" s="1"/>
  <c r="BH98" i="2"/>
  <c r="AI98" i="2"/>
  <c r="AG98" i="2"/>
  <c r="AL98" i="2" s="1"/>
  <c r="AE98" i="2"/>
  <c r="G98" i="2"/>
  <c r="L98" i="2" s="1"/>
  <c r="E98" i="2"/>
  <c r="C98" i="2"/>
  <c r="Q28" i="2" s="1"/>
  <c r="BG95" i="2"/>
  <c r="BH95" i="2" s="1"/>
  <c r="BH93" i="2"/>
  <c r="AI93" i="2"/>
  <c r="AN93" i="2" s="1"/>
  <c r="AG93" i="2"/>
  <c r="AL93" i="2" s="1"/>
  <c r="AE93" i="2"/>
  <c r="AS23" i="2" s="1"/>
  <c r="G93" i="2"/>
  <c r="L93" i="2" s="1"/>
  <c r="E93" i="2"/>
  <c r="J93" i="2" s="1"/>
  <c r="C93" i="2"/>
  <c r="Q23" i="2" s="1"/>
  <c r="BH92" i="2"/>
  <c r="AI92" i="2"/>
  <c r="AG92" i="2"/>
  <c r="AE92" i="2"/>
  <c r="AS22" i="2" s="1"/>
  <c r="G92" i="2"/>
  <c r="E92" i="2"/>
  <c r="C92" i="2"/>
  <c r="BH91" i="2"/>
  <c r="AI91" i="2"/>
  <c r="AG91" i="2"/>
  <c r="AE91" i="2"/>
  <c r="G91" i="2"/>
  <c r="E91" i="2"/>
  <c r="C91" i="2"/>
  <c r="BH90" i="2"/>
  <c r="AN90" i="2"/>
  <c r="AM90" i="2"/>
  <c r="AL90" i="2"/>
  <c r="AK90" i="2"/>
  <c r="L90" i="2"/>
  <c r="K90" i="2"/>
  <c r="J90" i="2"/>
  <c r="I90" i="2"/>
  <c r="BH86" i="2"/>
  <c r="AI86" i="2"/>
  <c r="AG86" i="2"/>
  <c r="AL86" i="2" s="1"/>
  <c r="AS16" i="2"/>
  <c r="G86" i="2"/>
  <c r="E86" i="2"/>
  <c r="C86" i="2"/>
  <c r="Q16" i="2" s="1"/>
  <c r="BH85" i="2"/>
  <c r="AI85" i="2"/>
  <c r="AG85" i="2"/>
  <c r="AE85" i="2"/>
  <c r="G85" i="2"/>
  <c r="E85" i="2"/>
  <c r="C85" i="2"/>
  <c r="AI84" i="2"/>
  <c r="AG84" i="2"/>
  <c r="G84" i="2"/>
  <c r="E84" i="2"/>
  <c r="C84" i="2"/>
  <c r="BK81" i="2"/>
  <c r="BI81" i="2"/>
  <c r="BG81" i="2"/>
  <c r="AI81" i="2"/>
  <c r="AG81" i="2"/>
  <c r="AL81" i="2" s="1"/>
  <c r="AE81" i="2"/>
  <c r="G81" i="2"/>
  <c r="L81" i="2" s="1"/>
  <c r="E81" i="2"/>
  <c r="C81" i="2"/>
  <c r="AI80" i="2"/>
  <c r="AG80" i="2"/>
  <c r="AE80" i="2"/>
  <c r="AS10" i="2" s="1"/>
  <c r="G80" i="2"/>
  <c r="E80" i="2"/>
  <c r="C80" i="2"/>
  <c r="BH79" i="2"/>
  <c r="AI79" i="2"/>
  <c r="AG79" i="2"/>
  <c r="AE79" i="2"/>
  <c r="AS9" i="2" s="1"/>
  <c r="G79" i="2"/>
  <c r="E79" i="2"/>
  <c r="C79" i="2"/>
  <c r="AE76" i="2"/>
  <c r="AD76" i="2"/>
  <c r="BF76" i="2" s="1"/>
  <c r="C76" i="2"/>
  <c r="AE74" i="2"/>
  <c r="BG74" i="2" s="1"/>
  <c r="AI64" i="2"/>
  <c r="AG64" i="2"/>
  <c r="AE64" i="2"/>
  <c r="AQ29" i="2" s="1"/>
  <c r="E64" i="2"/>
  <c r="J64" i="2" s="1"/>
  <c r="C64" i="2"/>
  <c r="O29" i="2" s="1"/>
  <c r="AI63" i="2"/>
  <c r="AN63" i="2" s="1"/>
  <c r="AG63" i="2"/>
  <c r="AE63" i="2"/>
  <c r="E63" i="2"/>
  <c r="J63" i="2" s="1"/>
  <c r="C63" i="2"/>
  <c r="O28" i="2" s="1"/>
  <c r="AI58" i="2"/>
  <c r="AN58" i="2" s="1"/>
  <c r="AG58" i="2"/>
  <c r="AL58" i="2" s="1"/>
  <c r="AE58" i="2"/>
  <c r="C58" i="2"/>
  <c r="E58" i="2" s="1"/>
  <c r="G58" i="2" s="1"/>
  <c r="L58" i="2" s="1"/>
  <c r="AI57" i="2"/>
  <c r="AG57" i="2"/>
  <c r="AE57" i="2"/>
  <c r="AQ22" i="2" s="1"/>
  <c r="C57" i="2"/>
  <c r="E57" i="2" s="1"/>
  <c r="G57" i="2" s="1"/>
  <c r="AI56" i="2"/>
  <c r="AG56" i="2"/>
  <c r="AE56" i="2"/>
  <c r="C56" i="2"/>
  <c r="E56" i="2" s="1"/>
  <c r="G56" i="2" s="1"/>
  <c r="AN55" i="2"/>
  <c r="AM55" i="2"/>
  <c r="AL55" i="2"/>
  <c r="AK55" i="2"/>
  <c r="L55" i="2"/>
  <c r="K55" i="2"/>
  <c r="J55" i="2"/>
  <c r="I55" i="2"/>
  <c r="AI51" i="2"/>
  <c r="AG51" i="2"/>
  <c r="AE51" i="2"/>
  <c r="C51" i="2"/>
  <c r="AI50" i="2"/>
  <c r="AG50" i="2"/>
  <c r="AE50" i="2"/>
  <c r="C50" i="2"/>
  <c r="AI49" i="2"/>
  <c r="AG49" i="2"/>
  <c r="AE49" i="2"/>
  <c r="C49" i="2"/>
  <c r="E49" i="2" s="1"/>
  <c r="G49" i="2" s="1"/>
  <c r="AI46" i="2"/>
  <c r="AN46" i="2" s="1"/>
  <c r="AG46" i="2"/>
  <c r="AL46" i="2" s="1"/>
  <c r="AE46" i="2"/>
  <c r="AD46" i="33" s="1"/>
  <c r="G46" i="2"/>
  <c r="L46" i="2" s="1"/>
  <c r="E46" i="2"/>
  <c r="J46" i="2" s="1"/>
  <c r="C46" i="2"/>
  <c r="O11" i="2" s="1"/>
  <c r="AI45" i="2"/>
  <c r="AG45" i="2"/>
  <c r="AE45" i="2"/>
  <c r="C45" i="2"/>
  <c r="AI44" i="2"/>
  <c r="AG44" i="2"/>
  <c r="AE44" i="2"/>
  <c r="C44" i="2"/>
  <c r="BG146" i="2"/>
  <c r="AE41" i="2"/>
  <c r="AD41" i="2"/>
  <c r="BF41" i="2" s="1"/>
  <c r="C41" i="2"/>
  <c r="AE39" i="2"/>
  <c r="BG39" i="2" s="1"/>
  <c r="BZ37" i="2"/>
  <c r="W37" i="2"/>
  <c r="U37" i="2"/>
  <c r="BC33" i="2"/>
  <c r="AA33" i="2"/>
  <c r="BC32" i="2"/>
  <c r="AA32" i="2"/>
  <c r="CD29" i="2"/>
  <c r="BZ64" i="2" s="1"/>
  <c r="CB29" i="2"/>
  <c r="BZ29" i="2"/>
  <c r="BX29" i="2"/>
  <c r="BV29" i="2"/>
  <c r="BG29" i="2"/>
  <c r="BT64" i="2" s="1"/>
  <c r="CD28" i="2"/>
  <c r="BZ63" i="2" s="1"/>
  <c r="CB28" i="2"/>
  <c r="BZ28" i="2"/>
  <c r="BX28" i="2"/>
  <c r="BV28" i="2"/>
  <c r="BG28" i="2"/>
  <c r="BT63" i="2" s="1"/>
  <c r="CD24" i="2"/>
  <c r="BZ59" i="2" s="1"/>
  <c r="CB24" i="2"/>
  <c r="BZ24" i="2"/>
  <c r="BX24" i="2"/>
  <c r="BV24" i="2"/>
  <c r="BT59" i="2"/>
  <c r="CD23" i="2"/>
  <c r="BZ58" i="2" s="1"/>
  <c r="CB23" i="2"/>
  <c r="BZ23" i="2"/>
  <c r="BX23" i="2"/>
  <c r="BV23" i="2"/>
  <c r="BG23" i="2"/>
  <c r="BT58" i="2" s="1"/>
  <c r="CD22" i="2"/>
  <c r="BZ57" i="2" s="1"/>
  <c r="CB22" i="2"/>
  <c r="BZ22" i="2"/>
  <c r="BX22" i="2"/>
  <c r="BV22" i="2"/>
  <c r="BG22" i="2"/>
  <c r="BT57" i="2" s="1"/>
  <c r="CD21" i="2"/>
  <c r="BZ56" i="2" s="1"/>
  <c r="CB21" i="2"/>
  <c r="BZ21" i="2"/>
  <c r="BX21" i="2"/>
  <c r="BV21" i="2"/>
  <c r="BG21" i="2"/>
  <c r="CD20" i="2"/>
  <c r="CB20" i="2"/>
  <c r="BZ20" i="2"/>
  <c r="BX20" i="2"/>
  <c r="BV20" i="2"/>
  <c r="BB20" i="2"/>
  <c r="BA20" i="2"/>
  <c r="BC20" i="2" s="1"/>
  <c r="Z20" i="2"/>
  <c r="Y20" i="2"/>
  <c r="AA20" i="2" s="1"/>
  <c r="BG20" i="2"/>
  <c r="AI20" i="2"/>
  <c r="AG20" i="2"/>
  <c r="AE20" i="2"/>
  <c r="G20" i="2"/>
  <c r="L20" i="2" s="1"/>
  <c r="E20" i="2"/>
  <c r="J20" i="2" s="1"/>
  <c r="C20" i="2"/>
  <c r="CD16" i="2"/>
  <c r="BZ51" i="2" s="1"/>
  <c r="CB16" i="2"/>
  <c r="BZ16" i="2"/>
  <c r="BX16" i="2"/>
  <c r="BV16" i="2"/>
  <c r="W16" i="2"/>
  <c r="BG16" i="2"/>
  <c r="BT51" i="2" s="1"/>
  <c r="CD15" i="2"/>
  <c r="BZ50" i="2" s="1"/>
  <c r="CB15" i="2"/>
  <c r="BZ15" i="2"/>
  <c r="BX15" i="2"/>
  <c r="BV15" i="2"/>
  <c r="BG15" i="2"/>
  <c r="BT50" i="2" s="1"/>
  <c r="CD14" i="2"/>
  <c r="BZ49" i="2" s="1"/>
  <c r="CD11" i="2"/>
  <c r="BZ46" i="2" s="1"/>
  <c r="CB11" i="2"/>
  <c r="BA11" i="2"/>
  <c r="Y11" i="2"/>
  <c r="CD10" i="2"/>
  <c r="BZ45" i="2" s="1"/>
  <c r="BA10" i="2"/>
  <c r="Y10" i="2"/>
  <c r="CD9" i="2"/>
  <c r="BZ44" i="2" s="1"/>
  <c r="CB9" i="2"/>
  <c r="BZ9" i="2"/>
  <c r="BX9" i="2"/>
  <c r="BY35" i="2" s="1"/>
  <c r="BV9" i="2"/>
  <c r="AQ6" i="2"/>
  <c r="O6" i="2"/>
  <c r="AE6" i="2"/>
  <c r="C6" i="2"/>
  <c r="AE4" i="2"/>
  <c r="O4" i="2" s="1"/>
  <c r="AQ4" i="2" s="1"/>
  <c r="BT4" i="2" s="1"/>
  <c r="G48" i="9"/>
  <c r="B1" i="9"/>
  <c r="AO57" i="5"/>
  <c r="AJ57" i="5"/>
  <c r="AH57" i="5"/>
  <c r="AB57" i="5"/>
  <c r="AF57" i="5" s="1"/>
  <c r="X57" i="5"/>
  <c r="V57" i="5"/>
  <c r="F52" i="9" s="1"/>
  <c r="R57" i="5"/>
  <c r="P57" i="5"/>
  <c r="E52" i="9" s="1"/>
  <c r="L57" i="5"/>
  <c r="J57" i="5"/>
  <c r="D52" i="9" s="1"/>
  <c r="D57" i="5"/>
  <c r="C52" i="9" s="1"/>
  <c r="AJ56" i="5"/>
  <c r="AO56" i="5"/>
  <c r="AH56" i="5"/>
  <c r="AX56" i="5" s="1"/>
  <c r="AB56" i="5"/>
  <c r="AY56" i="5" s="1"/>
  <c r="X56" i="5"/>
  <c r="V56" i="5"/>
  <c r="F51" i="9" s="1"/>
  <c r="R56" i="5"/>
  <c r="P56" i="5"/>
  <c r="E51" i="9" s="1"/>
  <c r="L56" i="5"/>
  <c r="J56" i="5"/>
  <c r="D56" i="5"/>
  <c r="C51" i="9" s="1"/>
  <c r="AJ55" i="5"/>
  <c r="AH55" i="5"/>
  <c r="AB55" i="5"/>
  <c r="G50" i="9" s="1"/>
  <c r="X55" i="5"/>
  <c r="V55" i="5"/>
  <c r="AW55" i="5" s="1"/>
  <c r="R55" i="5"/>
  <c r="P55" i="5"/>
  <c r="E50" i="9" s="1"/>
  <c r="L55" i="5"/>
  <c r="J55" i="5"/>
  <c r="AO55" i="5"/>
  <c r="D55" i="5"/>
  <c r="C50" i="9" s="1"/>
  <c r="AJ54" i="5"/>
  <c r="AO54" i="5"/>
  <c r="AH54" i="5"/>
  <c r="H49" i="9" s="1"/>
  <c r="AB54" i="5"/>
  <c r="G49" i="9" s="1"/>
  <c r="X54" i="5"/>
  <c r="V54" i="5"/>
  <c r="F49" i="9" s="1"/>
  <c r="R54" i="5"/>
  <c r="P54" i="5"/>
  <c r="L54" i="5"/>
  <c r="J54" i="5"/>
  <c r="D54" i="5"/>
  <c r="C49" i="9" s="1"/>
  <c r="AY53" i="5"/>
  <c r="AJ53" i="5"/>
  <c r="AH53" i="5"/>
  <c r="H48" i="9" s="1"/>
  <c r="AF53" i="5"/>
  <c r="AE53" i="5"/>
  <c r="X53" i="5"/>
  <c r="V53" i="5"/>
  <c r="F48" i="9" s="1"/>
  <c r="R53" i="5"/>
  <c r="P53" i="5"/>
  <c r="E48" i="9" s="1"/>
  <c r="L53" i="5"/>
  <c r="J53" i="5"/>
  <c r="D48" i="9" s="1"/>
  <c r="D53" i="5"/>
  <c r="C48" i="9" s="1"/>
  <c r="AJ52" i="5"/>
  <c r="AO52" i="5"/>
  <c r="AH52" i="5"/>
  <c r="AX52" i="5" s="1"/>
  <c r="AB52" i="5"/>
  <c r="X52" i="5"/>
  <c r="V52" i="5"/>
  <c r="F47" i="9" s="1"/>
  <c r="R52" i="5"/>
  <c r="P52" i="5"/>
  <c r="E47" i="9" s="1"/>
  <c r="L52" i="5"/>
  <c r="J52" i="5"/>
  <c r="D52" i="5"/>
  <c r="C47" i="9" s="1"/>
  <c r="AP51" i="5"/>
  <c r="AN51" i="5"/>
  <c r="AL51" i="5"/>
  <c r="AK51" i="5"/>
  <c r="AO51" i="5"/>
  <c r="AO49" i="5"/>
  <c r="AJ49" i="5"/>
  <c r="AH49" i="5"/>
  <c r="H44" i="9" s="1"/>
  <c r="H45" i="9" s="1"/>
  <c r="AB49" i="5"/>
  <c r="AY49" i="5" s="1"/>
  <c r="X49" i="5"/>
  <c r="V49" i="5"/>
  <c r="Y49" i="5" s="1"/>
  <c r="R49" i="5"/>
  <c r="P49" i="5"/>
  <c r="E44" i="9" s="1"/>
  <c r="E45" i="9" s="1"/>
  <c r="L49" i="5"/>
  <c r="J49" i="5"/>
  <c r="D44" i="9" s="1"/>
  <c r="D45" i="9" s="1"/>
  <c r="D49" i="5"/>
  <c r="C44" i="9" s="1"/>
  <c r="AP48" i="5"/>
  <c r="AN48" i="5"/>
  <c r="AL48" i="5"/>
  <c r="AK48" i="5"/>
  <c r="AO48" i="5"/>
  <c r="AB48" i="5"/>
  <c r="AF48" i="5" s="1"/>
  <c r="AJ46" i="5"/>
  <c r="AO46" i="5"/>
  <c r="AH46" i="5"/>
  <c r="AB46" i="5"/>
  <c r="G41" i="9" s="1"/>
  <c r="X46" i="5"/>
  <c r="V46" i="5"/>
  <c r="F41" i="9" s="1"/>
  <c r="R46" i="5"/>
  <c r="P46" i="5"/>
  <c r="S46" i="5" s="1"/>
  <c r="L46" i="5"/>
  <c r="J46" i="5"/>
  <c r="AU46" i="5" s="1"/>
  <c r="D46" i="5"/>
  <c r="C41" i="9" s="1"/>
  <c r="AJ45" i="5"/>
  <c r="AH45" i="5"/>
  <c r="AX45" i="5" s="1"/>
  <c r="AB45" i="5"/>
  <c r="AF45" i="5" s="1"/>
  <c r="X45" i="5"/>
  <c r="V45" i="5"/>
  <c r="AW45" i="5" s="1"/>
  <c r="R45" i="5"/>
  <c r="P45" i="5"/>
  <c r="AV45" i="5" s="1"/>
  <c r="L45" i="5"/>
  <c r="J45" i="5"/>
  <c r="D45" i="5"/>
  <c r="H45" i="5" s="1"/>
  <c r="AJ44" i="5"/>
  <c r="AH44" i="5"/>
  <c r="H39" i="9" s="1"/>
  <c r="AB44" i="5"/>
  <c r="X44" i="5"/>
  <c r="V44" i="5"/>
  <c r="F39" i="9" s="1"/>
  <c r="R44" i="5"/>
  <c r="P44" i="5"/>
  <c r="E39" i="9" s="1"/>
  <c r="L44" i="5"/>
  <c r="J44" i="5"/>
  <c r="D44" i="5"/>
  <c r="AP43" i="5"/>
  <c r="AN43" i="5"/>
  <c r="AQ43" i="5" s="1"/>
  <c r="AL43" i="5"/>
  <c r="AK43" i="5"/>
  <c r="AJ41" i="5"/>
  <c r="AH41" i="5"/>
  <c r="H36" i="9" s="1"/>
  <c r="AB41" i="5"/>
  <c r="X41" i="5"/>
  <c r="V41" i="5"/>
  <c r="F36" i="9" s="1"/>
  <c r="R41" i="5"/>
  <c r="P41" i="5"/>
  <c r="E36" i="9" s="1"/>
  <c r="L41" i="5"/>
  <c r="J41" i="5"/>
  <c r="D36" i="9" s="1"/>
  <c r="D41" i="5"/>
  <c r="AT41" i="5" s="1"/>
  <c r="AJ40" i="5"/>
  <c r="AH40" i="5"/>
  <c r="AB40" i="5"/>
  <c r="G35" i="9" s="1"/>
  <c r="X40" i="5"/>
  <c r="V40" i="5"/>
  <c r="F35" i="9" s="1"/>
  <c r="R40" i="5"/>
  <c r="P40" i="5"/>
  <c r="E35" i="9" s="1"/>
  <c r="L40" i="5"/>
  <c r="J40" i="5"/>
  <c r="D35" i="9" s="1"/>
  <c r="AO40" i="5"/>
  <c r="D40" i="5"/>
  <c r="C35" i="9" s="1"/>
  <c r="AJ39" i="5"/>
  <c r="AH39" i="5"/>
  <c r="AB39" i="5"/>
  <c r="AY39" i="5" s="1"/>
  <c r="X39" i="5"/>
  <c r="V39" i="5"/>
  <c r="F34" i="9" s="1"/>
  <c r="R39" i="5"/>
  <c r="P39" i="5"/>
  <c r="E34" i="9" s="1"/>
  <c r="L39" i="5"/>
  <c r="J39" i="5"/>
  <c r="D34" i="9" s="1"/>
  <c r="AO39" i="5"/>
  <c r="D39" i="5"/>
  <c r="G39" i="5" s="1"/>
  <c r="AJ38" i="5"/>
  <c r="AH38" i="5"/>
  <c r="AB38" i="5"/>
  <c r="AY38" i="5" s="1"/>
  <c r="X38" i="5"/>
  <c r="V38" i="5"/>
  <c r="Y38" i="5" s="1"/>
  <c r="R38" i="5"/>
  <c r="P38" i="5"/>
  <c r="E33" i="9" s="1"/>
  <c r="L38" i="5"/>
  <c r="J38" i="5"/>
  <c r="D33" i="9" s="1"/>
  <c r="AO38" i="5"/>
  <c r="D38" i="5"/>
  <c r="C33" i="9" s="1"/>
  <c r="AJ37" i="5"/>
  <c r="AH37" i="5"/>
  <c r="H32" i="9" s="1"/>
  <c r="AB37" i="5"/>
  <c r="G32" i="9" s="1"/>
  <c r="X37" i="5"/>
  <c r="V37" i="5"/>
  <c r="Y37" i="5" s="1"/>
  <c r="R37" i="5"/>
  <c r="P37" i="5"/>
  <c r="S37" i="5" s="1"/>
  <c r="L37" i="5"/>
  <c r="J37" i="5"/>
  <c r="D32" i="9" s="1"/>
  <c r="AO37" i="5"/>
  <c r="D37" i="5"/>
  <c r="C32" i="9" s="1"/>
  <c r="AL36" i="5"/>
  <c r="AK36" i="5"/>
  <c r="F60" i="5"/>
  <c r="AY34" i="5"/>
  <c r="AO34" i="5"/>
  <c r="AJ34" i="5"/>
  <c r="AJ32" i="5" s="1"/>
  <c r="AH34" i="5"/>
  <c r="AX34" i="5" s="1"/>
  <c r="AF34" i="5"/>
  <c r="AE34" i="5"/>
  <c r="X34" i="5"/>
  <c r="X32" i="5" s="1"/>
  <c r="V34" i="5"/>
  <c r="R34" i="5"/>
  <c r="R32" i="5" s="1"/>
  <c r="P34" i="5"/>
  <c r="L34" i="5"/>
  <c r="L32" i="5" s="1"/>
  <c r="J34" i="5"/>
  <c r="D34" i="5"/>
  <c r="H34" i="5" s="1"/>
  <c r="AJ33" i="5"/>
  <c r="AH33" i="5"/>
  <c r="AX33" i="5" s="1"/>
  <c r="AB33" i="5"/>
  <c r="AY33" i="5" s="1"/>
  <c r="X33" i="5"/>
  <c r="V33" i="5"/>
  <c r="AW33" i="5" s="1"/>
  <c r="R33" i="5"/>
  <c r="P33" i="5"/>
  <c r="L33" i="5"/>
  <c r="J33" i="5"/>
  <c r="AU33" i="5" s="1"/>
  <c r="D33" i="5"/>
  <c r="G33" i="5" s="1"/>
  <c r="AO32" i="5"/>
  <c r="AB32" i="5"/>
  <c r="G27" i="9" s="1"/>
  <c r="G29" i="9" s="1"/>
  <c r="AB31" i="5"/>
  <c r="AE31" i="5" s="1"/>
  <c r="AO31" i="5"/>
  <c r="AJ30" i="5"/>
  <c r="AO30" i="5"/>
  <c r="AH30" i="5"/>
  <c r="H25" i="9" s="1"/>
  <c r="AB30" i="5"/>
  <c r="G25" i="9" s="1"/>
  <c r="X30" i="5"/>
  <c r="V30" i="5"/>
  <c r="AW30" i="5" s="1"/>
  <c r="R30" i="5"/>
  <c r="P30" i="5"/>
  <c r="E25" i="9" s="1"/>
  <c r="L30" i="5"/>
  <c r="J30" i="5"/>
  <c r="D25" i="9" s="1"/>
  <c r="D30" i="5"/>
  <c r="AT30" i="5" s="1"/>
  <c r="AJ29" i="5"/>
  <c r="AH29" i="5"/>
  <c r="AK29" i="5" s="1"/>
  <c r="AB29" i="5"/>
  <c r="X29" i="5"/>
  <c r="V29" i="5"/>
  <c r="AW29" i="5" s="1"/>
  <c r="R29" i="5"/>
  <c r="P29" i="5"/>
  <c r="E24" i="9" s="1"/>
  <c r="L29" i="5"/>
  <c r="J29" i="5"/>
  <c r="D24" i="9" s="1"/>
  <c r="D29" i="5"/>
  <c r="C24" i="9" s="1"/>
  <c r="AJ28" i="5"/>
  <c r="AH28" i="5"/>
  <c r="H23" i="9" s="1"/>
  <c r="AB28" i="5"/>
  <c r="G23" i="9" s="1"/>
  <c r="X28" i="5"/>
  <c r="V28" i="5"/>
  <c r="F23" i="9" s="1"/>
  <c r="R28" i="5"/>
  <c r="P28" i="5"/>
  <c r="E23" i="9" s="1"/>
  <c r="L28" i="5"/>
  <c r="J28" i="5"/>
  <c r="D23" i="9" s="1"/>
  <c r="AO28" i="5"/>
  <c r="D28" i="5"/>
  <c r="AT28" i="5" s="1"/>
  <c r="AP27" i="5"/>
  <c r="AO27" i="5"/>
  <c r="AN27" i="5"/>
  <c r="AL27" i="5"/>
  <c r="AK27" i="5"/>
  <c r="AB26" i="5"/>
  <c r="AY26" i="5" s="1"/>
  <c r="AJ25" i="5"/>
  <c r="AH25" i="5"/>
  <c r="AB25" i="5"/>
  <c r="AY25" i="5" s="1"/>
  <c r="X25" i="5"/>
  <c r="V25" i="5"/>
  <c r="F20" i="9" s="1"/>
  <c r="R25" i="5"/>
  <c r="P25" i="5"/>
  <c r="E20" i="9" s="1"/>
  <c r="L25" i="5"/>
  <c r="J25" i="5"/>
  <c r="D20" i="9" s="1"/>
  <c r="D25" i="5"/>
  <c r="AJ24" i="5"/>
  <c r="AH24" i="5"/>
  <c r="H19" i="9" s="1"/>
  <c r="AB24" i="5"/>
  <c r="G19" i="9" s="1"/>
  <c r="X24" i="5"/>
  <c r="V24" i="5"/>
  <c r="F19" i="9" s="1"/>
  <c r="R24" i="5"/>
  <c r="P24" i="5"/>
  <c r="E19" i="9" s="1"/>
  <c r="L24" i="5"/>
  <c r="J24" i="5"/>
  <c r="D19" i="9" s="1"/>
  <c r="D24" i="5"/>
  <c r="C19" i="9" s="1"/>
  <c r="AJ23" i="5"/>
  <c r="AH23" i="5"/>
  <c r="H18" i="9" s="1"/>
  <c r="AB23" i="5"/>
  <c r="G18" i="9" s="1"/>
  <c r="X23" i="5"/>
  <c r="V23" i="5"/>
  <c r="F18" i="9" s="1"/>
  <c r="R23" i="5"/>
  <c r="P23" i="5"/>
  <c r="E18" i="9" s="1"/>
  <c r="L23" i="5"/>
  <c r="J23" i="5"/>
  <c r="D18" i="9" s="1"/>
  <c r="D23" i="5"/>
  <c r="C18" i="9" s="1"/>
  <c r="AJ22" i="5"/>
  <c r="AH22" i="5"/>
  <c r="H17" i="9" s="1"/>
  <c r="AB22" i="5"/>
  <c r="G17" i="9" s="1"/>
  <c r="X22" i="5"/>
  <c r="V22" i="5"/>
  <c r="F17" i="9" s="1"/>
  <c r="R22" i="5"/>
  <c r="P22" i="5"/>
  <c r="E17" i="9" s="1"/>
  <c r="L22" i="5"/>
  <c r="J22" i="5"/>
  <c r="D17" i="9" s="1"/>
  <c r="AO22" i="5"/>
  <c r="D22" i="5"/>
  <c r="C17" i="9" s="1"/>
  <c r="AJ21" i="5"/>
  <c r="AH21" i="5"/>
  <c r="H16" i="9" s="1"/>
  <c r="AB21" i="5"/>
  <c r="G16" i="9" s="1"/>
  <c r="X21" i="5"/>
  <c r="V21" i="5"/>
  <c r="F16" i="9" s="1"/>
  <c r="R21" i="5"/>
  <c r="P21" i="5"/>
  <c r="E16" i="9" s="1"/>
  <c r="L21" i="5"/>
  <c r="J21" i="5"/>
  <c r="D16" i="9" s="1"/>
  <c r="D21" i="5"/>
  <c r="C16" i="9" s="1"/>
  <c r="AJ20" i="5"/>
  <c r="AH20" i="5"/>
  <c r="H15" i="9" s="1"/>
  <c r="AB20" i="5"/>
  <c r="G15" i="9" s="1"/>
  <c r="X20" i="5"/>
  <c r="V20" i="5"/>
  <c r="F15" i="9" s="1"/>
  <c r="R20" i="5"/>
  <c r="P20" i="5"/>
  <c r="E15" i="9" s="1"/>
  <c r="L20" i="5"/>
  <c r="J20" i="5"/>
  <c r="D15" i="9" s="1"/>
  <c r="D20" i="5"/>
  <c r="C15" i="9" s="1"/>
  <c r="AJ19" i="5"/>
  <c r="AH19" i="5"/>
  <c r="H14" i="9" s="1"/>
  <c r="AB19" i="5"/>
  <c r="G14" i="9" s="1"/>
  <c r="X19" i="5"/>
  <c r="V19" i="5"/>
  <c r="F14" i="9" s="1"/>
  <c r="R19" i="5"/>
  <c r="P19" i="5"/>
  <c r="E14" i="9" s="1"/>
  <c r="L19" i="5"/>
  <c r="J19" i="5"/>
  <c r="D14" i="9" s="1"/>
  <c r="AO19" i="5"/>
  <c r="D19" i="5"/>
  <c r="C14" i="9" s="1"/>
  <c r="AJ18" i="5"/>
  <c r="AH18" i="5"/>
  <c r="AX18" i="5" s="1"/>
  <c r="AB18" i="5"/>
  <c r="G13" i="9" s="1"/>
  <c r="X18" i="5"/>
  <c r="V18" i="5"/>
  <c r="Y18" i="5" s="1"/>
  <c r="R18" i="5"/>
  <c r="P18" i="5"/>
  <c r="E13" i="9" s="1"/>
  <c r="L18" i="5"/>
  <c r="J18" i="5"/>
  <c r="D13" i="9" s="1"/>
  <c r="AO18" i="5"/>
  <c r="D18" i="5"/>
  <c r="C13" i="9" s="1"/>
  <c r="AP17" i="5"/>
  <c r="AO17" i="5"/>
  <c r="AN17" i="5"/>
  <c r="AL17" i="5"/>
  <c r="AK17" i="5"/>
  <c r="AB16" i="5"/>
  <c r="AJ15" i="5"/>
  <c r="AH15" i="5"/>
  <c r="H10" i="9" s="1"/>
  <c r="AB15" i="5"/>
  <c r="G10" i="9" s="1"/>
  <c r="X15" i="5"/>
  <c r="V15" i="5"/>
  <c r="F10" i="9" s="1"/>
  <c r="R15" i="5"/>
  <c r="P15" i="5"/>
  <c r="E10" i="9" s="1"/>
  <c r="L15" i="5"/>
  <c r="J15" i="5"/>
  <c r="D10" i="9" s="1"/>
  <c r="D15" i="5"/>
  <c r="C10" i="9" s="1"/>
  <c r="AJ14" i="5"/>
  <c r="AH14" i="5"/>
  <c r="H9" i="9" s="1"/>
  <c r="AB14" i="5"/>
  <c r="G9" i="9" s="1"/>
  <c r="X14" i="5"/>
  <c r="V14" i="5"/>
  <c r="F9" i="9" s="1"/>
  <c r="R14" i="5"/>
  <c r="P14" i="5"/>
  <c r="E9" i="9" s="1"/>
  <c r="L14" i="5"/>
  <c r="J14" i="5"/>
  <c r="D9" i="9" s="1"/>
  <c r="D14" i="5"/>
  <c r="C9" i="9" s="1"/>
  <c r="AJ13" i="5"/>
  <c r="AH13" i="5"/>
  <c r="H8" i="9" s="1"/>
  <c r="AB13" i="5"/>
  <c r="G8" i="9" s="1"/>
  <c r="X13" i="5"/>
  <c r="V13" i="5"/>
  <c r="F8" i="9" s="1"/>
  <c r="R13" i="5"/>
  <c r="P13" i="5"/>
  <c r="E8" i="9" s="1"/>
  <c r="L13" i="5"/>
  <c r="J13" i="5"/>
  <c r="D8" i="9" s="1"/>
  <c r="AO13" i="5"/>
  <c r="D13" i="5"/>
  <c r="C8" i="9" s="1"/>
  <c r="AJ12" i="5"/>
  <c r="AH12" i="5"/>
  <c r="H7" i="9" s="1"/>
  <c r="AB12" i="5"/>
  <c r="G7" i="9" s="1"/>
  <c r="X12" i="5"/>
  <c r="V12" i="5"/>
  <c r="F7" i="9" s="1"/>
  <c r="R12" i="5"/>
  <c r="P12" i="5"/>
  <c r="E7" i="9" s="1"/>
  <c r="L12" i="5"/>
  <c r="J12" i="5"/>
  <c r="D7" i="9" s="1"/>
  <c r="AO12" i="5"/>
  <c r="D12" i="5"/>
  <c r="C7" i="9" s="1"/>
  <c r="AJ11" i="5"/>
  <c r="AH11" i="5"/>
  <c r="H6" i="9" s="1"/>
  <c r="AB11" i="5"/>
  <c r="G6" i="9" s="1"/>
  <c r="X11" i="5"/>
  <c r="V11" i="5"/>
  <c r="F6" i="9" s="1"/>
  <c r="R11" i="5"/>
  <c r="P11" i="5"/>
  <c r="E6" i="9" s="1"/>
  <c r="L11" i="5"/>
  <c r="J11" i="5"/>
  <c r="D6" i="9" s="1"/>
  <c r="AO11" i="5"/>
  <c r="C6" i="9"/>
  <c r="AJ10" i="5"/>
  <c r="AH10" i="5"/>
  <c r="H5" i="9" s="1"/>
  <c r="AB10" i="5"/>
  <c r="G5" i="9" s="1"/>
  <c r="X10" i="5"/>
  <c r="V10" i="5"/>
  <c r="F5" i="9" s="1"/>
  <c r="R10" i="5"/>
  <c r="P10" i="5"/>
  <c r="E5" i="9" s="1"/>
  <c r="L10" i="5"/>
  <c r="J10" i="5"/>
  <c r="D5" i="9" s="1"/>
  <c r="AO10" i="5"/>
  <c r="D10" i="5"/>
  <c r="C5" i="9" s="1"/>
  <c r="AJ9" i="5"/>
  <c r="AB9" i="5"/>
  <c r="AY9" i="5" s="1"/>
  <c r="X9" i="5"/>
  <c r="V9" i="5"/>
  <c r="R9" i="5"/>
  <c r="P9" i="5"/>
  <c r="L9" i="5"/>
  <c r="J9" i="5"/>
  <c r="AU9" i="5" s="1"/>
  <c r="AO9" i="5"/>
  <c r="H9" i="5"/>
  <c r="AT5" i="5"/>
  <c r="AN5" i="5"/>
  <c r="AH5" i="5"/>
  <c r="AB5" i="5"/>
  <c r="V5" i="5"/>
  <c r="P5" i="5"/>
  <c r="J5" i="5"/>
  <c r="D5" i="5"/>
  <c r="V32" i="26"/>
  <c r="D67" i="4"/>
  <c r="Q6" i="25" l="1"/>
  <c r="R4" i="28" s="1"/>
  <c r="P6" i="25"/>
  <c r="H6" i="25"/>
  <c r="H4" i="28" s="1"/>
  <c r="L6" i="25"/>
  <c r="M4" i="28" s="1"/>
  <c r="N6" i="25"/>
  <c r="F6" i="25"/>
  <c r="F4" i="28" s="1"/>
  <c r="O14" i="33"/>
  <c r="X47" i="5"/>
  <c r="G6" i="25"/>
  <c r="G4" i="28" s="1"/>
  <c r="M6" i="25"/>
  <c r="AQ17" i="5"/>
  <c r="AB47" i="5"/>
  <c r="AE47" i="5" s="1"/>
  <c r="N45" i="5"/>
  <c r="R18" i="33"/>
  <c r="AB147" i="29"/>
  <c r="F56" i="25"/>
  <c r="P56" i="25"/>
  <c r="AA154" i="29"/>
  <c r="AA155" i="29"/>
  <c r="AA157" i="29"/>
  <c r="AB157" i="29" s="1"/>
  <c r="AA159" i="29"/>
  <c r="AB159" i="29" s="1"/>
  <c r="AA160" i="29"/>
  <c r="AA161" i="29"/>
  <c r="AA162" i="29"/>
  <c r="AA163" i="29"/>
  <c r="AA165" i="29"/>
  <c r="AA166" i="29"/>
  <c r="AA167" i="29"/>
  <c r="AA170" i="29" s="1"/>
  <c r="AA168" i="29"/>
  <c r="AB168" i="29" s="1"/>
  <c r="AA169" i="29"/>
  <c r="AA174" i="29"/>
  <c r="AA175" i="29"/>
  <c r="AB175" i="29" s="1"/>
  <c r="AA176" i="29"/>
  <c r="AB176" i="29" s="1"/>
  <c r="O16" i="2"/>
  <c r="E51" i="2"/>
  <c r="G51" i="2" s="1"/>
  <c r="L51" i="2" s="1"/>
  <c r="O15" i="2"/>
  <c r="E50" i="2"/>
  <c r="G50" i="2" s="1"/>
  <c r="G15" i="2" s="1"/>
  <c r="BH239" i="2"/>
  <c r="BO276" i="2"/>
  <c r="BH276" i="2"/>
  <c r="AX41" i="5"/>
  <c r="BN151" i="2"/>
  <c r="BI302" i="2"/>
  <c r="BH326" i="2"/>
  <c r="BH318" i="2"/>
  <c r="BH313" i="2"/>
  <c r="BH307" i="2"/>
  <c r="BH323" i="2"/>
  <c r="BH312" i="2"/>
  <c r="BH306" i="2"/>
  <c r="BH320" i="2"/>
  <c r="BH315" i="2"/>
  <c r="BH311" i="2"/>
  <c r="BH304" i="2"/>
  <c r="BH319" i="2"/>
  <c r="BH314" i="2"/>
  <c r="BH310" i="2"/>
  <c r="BH300" i="2"/>
  <c r="L23" i="32"/>
  <c r="E56" i="25"/>
  <c r="H13" i="28"/>
  <c r="O13" i="28"/>
  <c r="BP151" i="2"/>
  <c r="BK302" i="2"/>
  <c r="B13" i="39"/>
  <c r="BH151" i="2"/>
  <c r="F13" i="28"/>
  <c r="F21" i="28"/>
  <c r="BH81" i="2"/>
  <c r="D17" i="33"/>
  <c r="R47" i="5"/>
  <c r="T53" i="5"/>
  <c r="T33" i="5"/>
  <c r="F85" i="2"/>
  <c r="AJ85" i="2"/>
  <c r="BH231" i="2"/>
  <c r="AV12" i="5"/>
  <c r="M53" i="5"/>
  <c r="AP55" i="5"/>
  <c r="T56" i="5"/>
  <c r="AY25" i="43"/>
  <c r="T14" i="32"/>
  <c r="W19" i="33"/>
  <c r="BV25" i="2"/>
  <c r="K14" i="33"/>
  <c r="D39" i="33"/>
  <c r="AB190" i="29"/>
  <c r="I56" i="25"/>
  <c r="R38" i="28"/>
  <c r="R39" i="28" s="1"/>
  <c r="I19" i="33"/>
  <c r="J19" i="33" s="1"/>
  <c r="AF49" i="5"/>
  <c r="AF33" i="5"/>
  <c r="I8" i="28"/>
  <c r="AK28" i="5"/>
  <c r="AL25" i="5"/>
  <c r="Q21" i="28"/>
  <c r="Q13" i="28"/>
  <c r="Y28" i="5"/>
  <c r="O56" i="25"/>
  <c r="G12" i="28"/>
  <c r="G38" i="28"/>
  <c r="G39" i="28" s="1"/>
  <c r="P13" i="28"/>
  <c r="T54" i="5"/>
  <c r="S45" i="5"/>
  <c r="BH116" i="2"/>
  <c r="N12" i="5"/>
  <c r="M33" i="5"/>
  <c r="E8" i="28"/>
  <c r="N38" i="28"/>
  <c r="N39" i="28" s="1"/>
  <c r="M13" i="28"/>
  <c r="M18" i="5"/>
  <c r="T29" i="5"/>
  <c r="AL45" i="5"/>
  <c r="BA12" i="43"/>
  <c r="AW45" i="43" s="1"/>
  <c r="BA17" i="43"/>
  <c r="AW50" i="43" s="1"/>
  <c r="AF227" i="43"/>
  <c r="D11" i="33"/>
  <c r="C14" i="33"/>
  <c r="D13" i="33"/>
  <c r="S14" i="33"/>
  <c r="M27" i="33"/>
  <c r="U27" i="33"/>
  <c r="D26" i="33"/>
  <c r="AF15" i="5"/>
  <c r="AR17" i="5"/>
  <c r="AV25" i="5"/>
  <c r="Y33" i="5"/>
  <c r="N19" i="5"/>
  <c r="AU19" i="5"/>
  <c r="S25" i="5"/>
  <c r="J47" i="5"/>
  <c r="F42" i="9"/>
  <c r="AP52" i="5"/>
  <c r="X58" i="5"/>
  <c r="S53" i="5"/>
  <c r="Z53" i="5"/>
  <c r="AK53" i="5"/>
  <c r="N54" i="5"/>
  <c r="AS56" i="43"/>
  <c r="AT56" i="43" s="1"/>
  <c r="AF90" i="43"/>
  <c r="AF124" i="43"/>
  <c r="AF158" i="43"/>
  <c r="D24" i="32"/>
  <c r="O27" i="33"/>
  <c r="W27" i="33"/>
  <c r="D31" i="33"/>
  <c r="H8" i="28"/>
  <c r="O8" i="28"/>
  <c r="F12" i="28"/>
  <c r="Q12" i="28"/>
  <c r="I21" i="28"/>
  <c r="P21" i="28"/>
  <c r="R26" i="5"/>
  <c r="Z23" i="5"/>
  <c r="T40" i="5"/>
  <c r="AX29" i="43"/>
  <c r="D22" i="33"/>
  <c r="Q8" i="28"/>
  <c r="O12" i="28"/>
  <c r="G21" i="28"/>
  <c r="R21" i="28"/>
  <c r="H38" i="28"/>
  <c r="O38" i="28"/>
  <c r="O39" i="28" s="1"/>
  <c r="AX28" i="43"/>
  <c r="AX32" i="43"/>
  <c r="AX47" i="43"/>
  <c r="AX49" i="43"/>
  <c r="AX55" i="43"/>
  <c r="AX45" i="43"/>
  <c r="AX48" i="43"/>
  <c r="AX50" i="43"/>
  <c r="AE220" i="43"/>
  <c r="AU56" i="43"/>
  <c r="AV56" i="43" s="1"/>
  <c r="AU55" i="43"/>
  <c r="AV55" i="43" s="1"/>
  <c r="AU54" i="43"/>
  <c r="AS61" i="43"/>
  <c r="AT61" i="43" s="1"/>
  <c r="AF29" i="43"/>
  <c r="BH226" i="2"/>
  <c r="BH130" i="2"/>
  <c r="BH165" i="2"/>
  <c r="BH203" i="2"/>
  <c r="D13" i="38"/>
  <c r="AV37" i="5"/>
  <c r="P16" i="5"/>
  <c r="AV16" i="5" s="1"/>
  <c r="Y15" i="5"/>
  <c r="AK24" i="5"/>
  <c r="AF25" i="5"/>
  <c r="AE30" i="5"/>
  <c r="T37" i="5"/>
  <c r="AE45" i="5"/>
  <c r="AY45" i="5"/>
  <c r="AV46" i="5"/>
  <c r="V16" i="5"/>
  <c r="Y16" i="5" s="1"/>
  <c r="AJ16" i="5"/>
  <c r="AP10" i="5"/>
  <c r="M12" i="5"/>
  <c r="S12" i="5"/>
  <c r="AU12" i="5"/>
  <c r="T15" i="5"/>
  <c r="AB35" i="5"/>
  <c r="AY35" i="5" s="1"/>
  <c r="S18" i="5"/>
  <c r="AL18" i="5"/>
  <c r="AX24" i="5"/>
  <c r="M28" i="5"/>
  <c r="AX28" i="5"/>
  <c r="AV29" i="5"/>
  <c r="AF31" i="5"/>
  <c r="AE33" i="5"/>
  <c r="N37" i="5"/>
  <c r="AU37" i="5"/>
  <c r="Z40" i="5"/>
  <c r="AW40" i="5"/>
  <c r="M41" i="5"/>
  <c r="L47" i="5"/>
  <c r="AJ47" i="5"/>
  <c r="AR48" i="5"/>
  <c r="AK49" i="5"/>
  <c r="J58" i="5"/>
  <c r="M58" i="5" s="1"/>
  <c r="N56" i="5"/>
  <c r="S56" i="5"/>
  <c r="AV56" i="5"/>
  <c r="S57" i="5"/>
  <c r="BV63" i="2"/>
  <c r="D58" i="2"/>
  <c r="P23" i="2" s="1"/>
  <c r="C9" i="2"/>
  <c r="D35" i="2" s="1"/>
  <c r="AZ33" i="43"/>
  <c r="BB17" i="43"/>
  <c r="AS55" i="43"/>
  <c r="AU61" i="43"/>
  <c r="AV61" i="43" s="1"/>
  <c r="BB28" i="43"/>
  <c r="AS62" i="43"/>
  <c r="AT62" i="43" s="1"/>
  <c r="F30" i="32"/>
  <c r="T17" i="32"/>
  <c r="Z18" i="32"/>
  <c r="L19" i="32"/>
  <c r="I14" i="33"/>
  <c r="Q14" i="33"/>
  <c r="M19" i="33"/>
  <c r="N19" i="33" s="1"/>
  <c r="D24" i="33"/>
  <c r="K27" i="33"/>
  <c r="S27" i="33"/>
  <c r="D35" i="33"/>
  <c r="H56" i="25"/>
  <c r="N56" i="25"/>
  <c r="N13" i="28"/>
  <c r="R13" i="28"/>
  <c r="F38" i="28"/>
  <c r="Q38" i="28"/>
  <c r="Q39" i="28" s="1"/>
  <c r="AB41" i="29"/>
  <c r="AB54" i="29"/>
  <c r="AB55" i="29"/>
  <c r="AB184" i="29"/>
  <c r="AB205" i="29"/>
  <c r="AT35" i="43"/>
  <c r="AS54" i="43"/>
  <c r="AY54" i="43"/>
  <c r="AX54" i="43"/>
  <c r="BB25" i="43"/>
  <c r="AT29" i="43"/>
  <c r="U19" i="33"/>
  <c r="AB45" i="29"/>
  <c r="AB59" i="29"/>
  <c r="AB185" i="29"/>
  <c r="AB187" i="29"/>
  <c r="AB196" i="29"/>
  <c r="AB197" i="29"/>
  <c r="G57" i="5"/>
  <c r="AV32" i="43"/>
  <c r="AT28" i="43"/>
  <c r="AT33" i="43"/>
  <c r="J22" i="32"/>
  <c r="AB50" i="29"/>
  <c r="AE11" i="5"/>
  <c r="AK18" i="5"/>
  <c r="R31" i="5"/>
  <c r="Y11" i="5"/>
  <c r="Y12" i="5"/>
  <c r="Z15" i="5"/>
  <c r="X26" i="5"/>
  <c r="S19" i="5"/>
  <c r="AV19" i="5"/>
  <c r="AL21" i="5"/>
  <c r="T23" i="5"/>
  <c r="N25" i="5"/>
  <c r="S28" i="5"/>
  <c r="AU28" i="5"/>
  <c r="AH32" i="5"/>
  <c r="H27" i="9" s="1"/>
  <c r="H29" i="9" s="1"/>
  <c r="AK41" i="5"/>
  <c r="S44" i="5"/>
  <c r="T46" i="5"/>
  <c r="AL46" i="5"/>
  <c r="Y55" i="5"/>
  <c r="H57" i="5"/>
  <c r="BG316" i="2"/>
  <c r="BH316" i="2" s="1"/>
  <c r="AF22" i="43"/>
  <c r="AF21" i="43"/>
  <c r="AF23" i="43"/>
  <c r="AX58" i="43"/>
  <c r="AF28" i="43"/>
  <c r="AU62" i="43"/>
  <c r="AV62" i="43" s="1"/>
  <c r="BB29" i="43"/>
  <c r="AF33" i="43"/>
  <c r="BB33" i="43"/>
  <c r="L17" i="32"/>
  <c r="O20" i="33"/>
  <c r="C19" i="33"/>
  <c r="D19" i="33" s="1"/>
  <c r="K19" i="33"/>
  <c r="K20" i="33" s="1"/>
  <c r="K28" i="33" s="1"/>
  <c r="S19" i="33"/>
  <c r="S20" i="33" s="1"/>
  <c r="S28" i="33" s="1"/>
  <c r="Y19" i="33"/>
  <c r="I27" i="33"/>
  <c r="Q27" i="33"/>
  <c r="Y27" i="33"/>
  <c r="D33" i="33"/>
  <c r="G56" i="25"/>
  <c r="M56" i="25"/>
  <c r="Q56" i="25"/>
  <c r="G8" i="28"/>
  <c r="N8" i="28"/>
  <c r="R8" i="28"/>
  <c r="E12" i="28"/>
  <c r="I12" i="28"/>
  <c r="P12" i="28"/>
  <c r="O21" i="28"/>
  <c r="E38" i="28"/>
  <c r="E39" i="28" s="1"/>
  <c r="I38" i="28"/>
  <c r="I39" i="28" s="1"/>
  <c r="P38" i="28"/>
  <c r="P39" i="28" s="1"/>
  <c r="AB39" i="29"/>
  <c r="AB51" i="29"/>
  <c r="AB191" i="29"/>
  <c r="AB192" i="29"/>
  <c r="AB200" i="29"/>
  <c r="AB201" i="29"/>
  <c r="D26" i="32"/>
  <c r="AU58" i="43"/>
  <c r="AV58" i="43" s="1"/>
  <c r="AS58" i="43"/>
  <c r="AT58" i="43" s="1"/>
  <c r="AE25" i="43"/>
  <c r="AF25" i="43" s="1"/>
  <c r="F8" i="39"/>
  <c r="J8" i="39"/>
  <c r="J14" i="39" s="1"/>
  <c r="L8" i="39"/>
  <c r="L14" i="39" s="1"/>
  <c r="N39" i="39"/>
  <c r="N91" i="39"/>
  <c r="N26" i="39"/>
  <c r="N65" i="39"/>
  <c r="N78" i="39"/>
  <c r="AA31" i="32"/>
  <c r="H17" i="32"/>
  <c r="AA14" i="32"/>
  <c r="AB140" i="32"/>
  <c r="AB200" i="32"/>
  <c r="AB182" i="32"/>
  <c r="AB215" i="32"/>
  <c r="AB223" i="32"/>
  <c r="AB228" i="32"/>
  <c r="AB234" i="32"/>
  <c r="G27" i="33"/>
  <c r="H27" i="33" s="1"/>
  <c r="G19" i="33"/>
  <c r="H19" i="33" s="1"/>
  <c r="D14" i="38"/>
  <c r="N52" i="39"/>
  <c r="M12" i="28"/>
  <c r="M38" i="28"/>
  <c r="M39" i="28" s="1"/>
  <c r="L56" i="25"/>
  <c r="M8" i="28"/>
  <c r="H37" i="5"/>
  <c r="H40" i="5"/>
  <c r="G22" i="5"/>
  <c r="H52" i="5"/>
  <c r="AT54" i="5"/>
  <c r="H38" i="5"/>
  <c r="H39" i="5"/>
  <c r="H20" i="5"/>
  <c r="AT22" i="5"/>
  <c r="G37" i="5"/>
  <c r="D47" i="5"/>
  <c r="D58" i="5"/>
  <c r="H58" i="5" s="1"/>
  <c r="H19" i="5"/>
  <c r="AT34" i="5"/>
  <c r="G55" i="5"/>
  <c r="Z12" i="5"/>
  <c r="AP28" i="5"/>
  <c r="Z44" i="5"/>
  <c r="Y45" i="5"/>
  <c r="Z57" i="5"/>
  <c r="AP15" i="5"/>
  <c r="Z29" i="5"/>
  <c r="AW53" i="5"/>
  <c r="AW49" i="5"/>
  <c r="Z9" i="5"/>
  <c r="Y19" i="5"/>
  <c r="AP29" i="5"/>
  <c r="Z37" i="5"/>
  <c r="Z39" i="5"/>
  <c r="Y44" i="5"/>
  <c r="AP45" i="5"/>
  <c r="Z46" i="5"/>
  <c r="AP53" i="5"/>
  <c r="Y53" i="5"/>
  <c r="Z56" i="5"/>
  <c r="Y57" i="5"/>
  <c r="F50" i="9"/>
  <c r="F53" i="9" s="1"/>
  <c r="AW25" i="5"/>
  <c r="AW44" i="5"/>
  <c r="X16" i="5"/>
  <c r="Z19" i="5"/>
  <c r="Y21" i="5"/>
  <c r="AP23" i="5"/>
  <c r="Y23" i="5"/>
  <c r="Y25" i="5"/>
  <c r="X31" i="5"/>
  <c r="Y30" i="5"/>
  <c r="Z33" i="5"/>
  <c r="V47" i="5"/>
  <c r="Z49" i="5"/>
  <c r="Y56" i="5"/>
  <c r="AW57" i="5"/>
  <c r="F44" i="9"/>
  <c r="F45" i="9" s="1"/>
  <c r="Y22" i="5"/>
  <c r="Z25" i="5"/>
  <c r="Z38" i="5"/>
  <c r="G13" i="28"/>
  <c r="AF37" i="5"/>
  <c r="G51" i="9"/>
  <c r="AE15" i="5"/>
  <c r="AY15" i="5"/>
  <c r="AF30" i="5"/>
  <c r="AY30" i="5"/>
  <c r="AY31" i="5"/>
  <c r="AY37" i="5"/>
  <c r="AE56" i="5"/>
  <c r="AE55" i="5"/>
  <c r="AF56" i="5"/>
  <c r="AE16" i="5"/>
  <c r="AF44" i="5"/>
  <c r="AE49" i="5"/>
  <c r="I13" i="28"/>
  <c r="L235" i="2"/>
  <c r="AY11" i="5"/>
  <c r="AE18" i="5"/>
  <c r="AE21" i="5"/>
  <c r="AY18" i="5"/>
  <c r="AY16" i="5"/>
  <c r="AY21" i="5"/>
  <c r="AE22" i="5"/>
  <c r="AF11" i="5"/>
  <c r="AY12" i="5"/>
  <c r="AF16" i="5"/>
  <c r="AF18" i="5"/>
  <c r="AE19" i="5"/>
  <c r="AF21" i="5"/>
  <c r="AF22" i="5"/>
  <c r="AY22" i="5"/>
  <c r="AE26" i="5"/>
  <c r="AE28" i="5"/>
  <c r="AY28" i="5"/>
  <c r="AF19" i="5"/>
  <c r="AF26" i="5"/>
  <c r="AF28" i="5"/>
  <c r="AE12" i="5"/>
  <c r="AY19" i="5"/>
  <c r="AE23" i="5"/>
  <c r="AY23" i="5"/>
  <c r="AF12" i="5"/>
  <c r="AF23" i="5"/>
  <c r="AX11" i="5"/>
  <c r="AK10" i="5"/>
  <c r="AL22" i="5"/>
  <c r="AX10" i="5"/>
  <c r="AL11" i="5"/>
  <c r="AK14" i="5"/>
  <c r="AJ26" i="5"/>
  <c r="AK21" i="5"/>
  <c r="AL23" i="5"/>
  <c r="AL28" i="5"/>
  <c r="AL34" i="5"/>
  <c r="AK45" i="5"/>
  <c r="AL52" i="5"/>
  <c r="AX54" i="5"/>
  <c r="AL57" i="5"/>
  <c r="H47" i="9"/>
  <c r="H52" i="9"/>
  <c r="AL30" i="5"/>
  <c r="AX49" i="5"/>
  <c r="AX22" i="5"/>
  <c r="AL9" i="5"/>
  <c r="AK11" i="5"/>
  <c r="AX14" i="5"/>
  <c r="AP21" i="5"/>
  <c r="AX21" i="5"/>
  <c r="AK22" i="5"/>
  <c r="AJ31" i="5"/>
  <c r="AP30" i="5"/>
  <c r="AX30" i="5"/>
  <c r="AL33" i="5"/>
  <c r="AL37" i="5"/>
  <c r="AL49" i="5"/>
  <c r="AJ58" i="5"/>
  <c r="AX53" i="5"/>
  <c r="AK34" i="5"/>
  <c r="R42" i="5"/>
  <c r="AP38" i="5"/>
  <c r="AV39" i="5"/>
  <c r="AP19" i="5"/>
  <c r="T9" i="5"/>
  <c r="T12" i="5"/>
  <c r="AP13" i="5"/>
  <c r="S15" i="5"/>
  <c r="AV15" i="5"/>
  <c r="T19" i="5"/>
  <c r="AP20" i="5"/>
  <c r="AV23" i="5"/>
  <c r="E26" i="9"/>
  <c r="S33" i="5"/>
  <c r="T38" i="5"/>
  <c r="AV38" i="5"/>
  <c r="T39" i="5"/>
  <c r="AP40" i="5"/>
  <c r="AP46" i="5"/>
  <c r="S49" i="5"/>
  <c r="S55" i="5"/>
  <c r="T57" i="5"/>
  <c r="R16" i="5"/>
  <c r="T16" i="5" s="1"/>
  <c r="AP11" i="5"/>
  <c r="AP12" i="5"/>
  <c r="S22" i="5"/>
  <c r="AP9" i="5"/>
  <c r="S11" i="5"/>
  <c r="S21" i="5"/>
  <c r="I17" i="9"/>
  <c r="AP22" i="5"/>
  <c r="S23" i="5"/>
  <c r="S30" i="5"/>
  <c r="AV33" i="5"/>
  <c r="AP34" i="5"/>
  <c r="T41" i="5"/>
  <c r="P42" i="5"/>
  <c r="S42" i="5" s="1"/>
  <c r="AP49" i="5"/>
  <c r="AV53" i="5"/>
  <c r="AL133" i="2"/>
  <c r="AL163" i="2"/>
  <c r="J133" i="2"/>
  <c r="J163" i="2"/>
  <c r="L163" i="2"/>
  <c r="L128" i="2"/>
  <c r="AN151" i="2"/>
  <c r="I6" i="9"/>
  <c r="AP24" i="5"/>
  <c r="AP39" i="5"/>
  <c r="M45" i="5"/>
  <c r="N9" i="5"/>
  <c r="AP14" i="5"/>
  <c r="M15" i="5"/>
  <c r="AU15" i="5"/>
  <c r="L26" i="5"/>
  <c r="I16" i="9"/>
  <c r="AU21" i="5"/>
  <c r="M22" i="5"/>
  <c r="M23" i="5"/>
  <c r="M25" i="5"/>
  <c r="AP25" i="5"/>
  <c r="M29" i="5"/>
  <c r="AU41" i="5"/>
  <c r="AU45" i="5"/>
  <c r="N53" i="5"/>
  <c r="AU57" i="5"/>
  <c r="N23" i="5"/>
  <c r="M30" i="5"/>
  <c r="N38" i="5"/>
  <c r="M49" i="5"/>
  <c r="M56" i="5"/>
  <c r="AU56" i="5"/>
  <c r="M57" i="5"/>
  <c r="D51" i="9"/>
  <c r="AU11" i="5"/>
  <c r="M11" i="5"/>
  <c r="I10" i="9"/>
  <c r="N15" i="5"/>
  <c r="D21" i="9"/>
  <c r="AU18" i="5"/>
  <c r="M19" i="5"/>
  <c r="M21" i="5"/>
  <c r="AU22" i="5"/>
  <c r="AU23" i="5"/>
  <c r="D26" i="9"/>
  <c r="AU30" i="5"/>
  <c r="M37" i="5"/>
  <c r="N39" i="5"/>
  <c r="N40" i="5"/>
  <c r="N41" i="5"/>
  <c r="N44" i="5"/>
  <c r="AP44" i="5"/>
  <c r="N46" i="5"/>
  <c r="AP54" i="5"/>
  <c r="N55" i="5"/>
  <c r="N57" i="5"/>
  <c r="AP57" i="5"/>
  <c r="J4" i="25"/>
  <c r="J17" i="25"/>
  <c r="J20" i="25"/>
  <c r="R20" i="25"/>
  <c r="J34" i="25"/>
  <c r="J26" i="28" s="1"/>
  <c r="E13" i="28"/>
  <c r="R11" i="25"/>
  <c r="J29" i="25"/>
  <c r="J37" i="25"/>
  <c r="J39" i="25"/>
  <c r="R39" i="25"/>
  <c r="J41" i="25"/>
  <c r="J43" i="25"/>
  <c r="J45" i="25"/>
  <c r="J47" i="25"/>
  <c r="R47" i="25"/>
  <c r="J49" i="25"/>
  <c r="J51" i="25"/>
  <c r="J53" i="25"/>
  <c r="AT53" i="5"/>
  <c r="H13" i="5"/>
  <c r="H15" i="5"/>
  <c r="G18" i="5"/>
  <c r="H23" i="5"/>
  <c r="AT24" i="5"/>
  <c r="G29" i="5"/>
  <c r="G53" i="5"/>
  <c r="AT56" i="5"/>
  <c r="G23" i="5"/>
  <c r="H12" i="5"/>
  <c r="AT18" i="5"/>
  <c r="G20" i="5"/>
  <c r="H24" i="5"/>
  <c r="H29" i="5"/>
  <c r="H46" i="5"/>
  <c r="AT52" i="5"/>
  <c r="H53" i="5"/>
  <c r="H56" i="5"/>
  <c r="R17" i="25"/>
  <c r="R37" i="25"/>
  <c r="R41" i="25"/>
  <c r="R43" i="25"/>
  <c r="R45" i="25"/>
  <c r="R49" i="25"/>
  <c r="R51" i="25"/>
  <c r="R53" i="25"/>
  <c r="J11" i="25"/>
  <c r="H8" i="39"/>
  <c r="H14" i="39" s="1"/>
  <c r="N34" i="39"/>
  <c r="N40" i="39" s="1"/>
  <c r="D40" i="39"/>
  <c r="N60" i="39"/>
  <c r="N66" i="39" s="1"/>
  <c r="D66" i="39"/>
  <c r="N86" i="39"/>
  <c r="N92" i="39" s="1"/>
  <c r="Y9" i="5"/>
  <c r="AF9" i="5"/>
  <c r="H10" i="5"/>
  <c r="N10" i="5"/>
  <c r="T10" i="5"/>
  <c r="Z10" i="5"/>
  <c r="AV10" i="5"/>
  <c r="AW11" i="5"/>
  <c r="I7" i="9"/>
  <c r="AT12" i="5"/>
  <c r="AX12" i="5"/>
  <c r="S13" i="5"/>
  <c r="AF13" i="5"/>
  <c r="AL13" i="5"/>
  <c r="AU13" i="5"/>
  <c r="AY13" i="5"/>
  <c r="H14" i="5"/>
  <c r="N14" i="5"/>
  <c r="T14" i="5"/>
  <c r="Z14" i="5"/>
  <c r="AV14" i="5"/>
  <c r="AT15" i="5"/>
  <c r="AX15" i="5"/>
  <c r="E21" i="9"/>
  <c r="F13" i="9"/>
  <c r="F21" i="9" s="1"/>
  <c r="V26" i="5"/>
  <c r="AP18" i="5"/>
  <c r="AW18" i="5"/>
  <c r="I14" i="9"/>
  <c r="AK19" i="5"/>
  <c r="AT19" i="5"/>
  <c r="AX19" i="5"/>
  <c r="M20" i="5"/>
  <c r="S20" i="5"/>
  <c r="Y20" i="5"/>
  <c r="AF20" i="5"/>
  <c r="AL20" i="5"/>
  <c r="AU20" i="5"/>
  <c r="AY20" i="5"/>
  <c r="AW21" i="5"/>
  <c r="AW22" i="5"/>
  <c r="I18" i="9"/>
  <c r="AK23" i="5"/>
  <c r="AT23" i="5"/>
  <c r="AX23" i="5"/>
  <c r="N24" i="5"/>
  <c r="T24" i="5"/>
  <c r="Z24" i="5"/>
  <c r="AV24" i="5"/>
  <c r="D26" i="5"/>
  <c r="G26" i="5" s="1"/>
  <c r="P26" i="5"/>
  <c r="AJ42" i="5"/>
  <c r="AL41" i="5"/>
  <c r="H62" i="25"/>
  <c r="P62" i="25" s="1"/>
  <c r="H4" i="9"/>
  <c r="H11" i="9" s="1"/>
  <c r="AV9" i="5"/>
  <c r="AW10" i="5"/>
  <c r="AT11" i="5"/>
  <c r="AL12" i="5"/>
  <c r="N13" i="5"/>
  <c r="T13" i="5"/>
  <c r="Z13" i="5"/>
  <c r="AV13" i="5"/>
  <c r="AW14" i="5"/>
  <c r="AL15" i="5"/>
  <c r="AL19" i="5"/>
  <c r="N20" i="5"/>
  <c r="T20" i="5"/>
  <c r="Z20" i="5"/>
  <c r="AV20" i="5"/>
  <c r="AT21" i="5"/>
  <c r="AW24" i="5"/>
  <c r="C20" i="9"/>
  <c r="C21" i="9" s="1"/>
  <c r="AT25" i="5"/>
  <c r="H20" i="9"/>
  <c r="AX25" i="5"/>
  <c r="J26" i="5"/>
  <c r="N33" i="5"/>
  <c r="T34" i="5"/>
  <c r="AV34" i="5"/>
  <c r="S34" i="5"/>
  <c r="AL39" i="5"/>
  <c r="AX39" i="5"/>
  <c r="AK39" i="5"/>
  <c r="H34" i="9"/>
  <c r="AP41" i="5"/>
  <c r="G36" i="9"/>
  <c r="AB42" i="5"/>
  <c r="AY41" i="5"/>
  <c r="AF41" i="5"/>
  <c r="AF47" i="5"/>
  <c r="E62" i="25"/>
  <c r="M62" i="25" s="1"/>
  <c r="D4" i="9"/>
  <c r="D11" i="9" s="1"/>
  <c r="F62" i="25"/>
  <c r="N62" i="25" s="1"/>
  <c r="E4" i="9"/>
  <c r="E11" i="9" s="1"/>
  <c r="G62" i="25"/>
  <c r="O62" i="25" s="1"/>
  <c r="F4" i="9"/>
  <c r="F11" i="9" s="1"/>
  <c r="I62" i="25"/>
  <c r="Q62" i="25" s="1"/>
  <c r="G4" i="9"/>
  <c r="G11" i="9" s="1"/>
  <c r="AK9" i="5"/>
  <c r="AW9" i="5"/>
  <c r="I5" i="9"/>
  <c r="S10" i="5"/>
  <c r="Y10" i="5"/>
  <c r="AE10" i="5"/>
  <c r="AT10" i="5"/>
  <c r="AK13" i="5"/>
  <c r="AW13" i="5"/>
  <c r="I9" i="9"/>
  <c r="M14" i="5"/>
  <c r="S14" i="5"/>
  <c r="Y14" i="5"/>
  <c r="AE14" i="5"/>
  <c r="AT14" i="5"/>
  <c r="J16" i="5"/>
  <c r="M16" i="5" s="1"/>
  <c r="AH16" i="5"/>
  <c r="AK16" i="5" s="1"/>
  <c r="AK20" i="5"/>
  <c r="AW20" i="5"/>
  <c r="M24" i="5"/>
  <c r="S24" i="5"/>
  <c r="AE24" i="5"/>
  <c r="H25" i="5"/>
  <c r="T25" i="5"/>
  <c r="AK25" i="5"/>
  <c r="G24" i="9"/>
  <c r="G26" i="9" s="1"/>
  <c r="AY29" i="5"/>
  <c r="AF29" i="5"/>
  <c r="AE29" i="5"/>
  <c r="L31" i="5"/>
  <c r="AP32" i="5"/>
  <c r="AP33" i="5"/>
  <c r="AP37" i="5"/>
  <c r="H33" i="9"/>
  <c r="AL38" i="5"/>
  <c r="AX38" i="5"/>
  <c r="AK38" i="5"/>
  <c r="X42" i="5"/>
  <c r="C45" i="9"/>
  <c r="D62" i="25"/>
  <c r="C4" i="9"/>
  <c r="M9" i="5"/>
  <c r="S9" i="5"/>
  <c r="AE9" i="5"/>
  <c r="AT9" i="5"/>
  <c r="AX9" i="5"/>
  <c r="M10" i="5"/>
  <c r="AF10" i="5"/>
  <c r="AL10" i="5"/>
  <c r="AU10" i="5"/>
  <c r="AY10" i="5"/>
  <c r="H11" i="5"/>
  <c r="N11" i="5"/>
  <c r="T11" i="5"/>
  <c r="Z11" i="5"/>
  <c r="AV11" i="5"/>
  <c r="AK12" i="5"/>
  <c r="AW12" i="5"/>
  <c r="I8" i="9"/>
  <c r="M13" i="5"/>
  <c r="Y13" i="5"/>
  <c r="AE13" i="5"/>
  <c r="AT13" i="5"/>
  <c r="AX13" i="5"/>
  <c r="G14" i="5"/>
  <c r="AF14" i="5"/>
  <c r="AL14" i="5"/>
  <c r="AU14" i="5"/>
  <c r="AY14" i="5"/>
  <c r="AK15" i="5"/>
  <c r="AW15" i="5"/>
  <c r="D16" i="5"/>
  <c r="L16" i="5"/>
  <c r="H18" i="5"/>
  <c r="N18" i="5"/>
  <c r="T18" i="5"/>
  <c r="Z18" i="5"/>
  <c r="AH26" i="5"/>
  <c r="H13" i="9"/>
  <c r="AV18" i="5"/>
  <c r="AW19" i="5"/>
  <c r="I15" i="9"/>
  <c r="AE20" i="5"/>
  <c r="AT20" i="5"/>
  <c r="AX20" i="5"/>
  <c r="H21" i="5"/>
  <c r="N21" i="5"/>
  <c r="T21" i="5"/>
  <c r="Z21" i="5"/>
  <c r="AV21" i="5"/>
  <c r="H22" i="5"/>
  <c r="N22" i="5"/>
  <c r="T22" i="5"/>
  <c r="Z22" i="5"/>
  <c r="AV22" i="5"/>
  <c r="AW23" i="5"/>
  <c r="I19" i="9"/>
  <c r="Y24" i="5"/>
  <c r="AF24" i="5"/>
  <c r="AL24" i="5"/>
  <c r="AU24" i="5"/>
  <c r="AY24" i="5"/>
  <c r="AE25" i="5"/>
  <c r="G20" i="9"/>
  <c r="G21" i="9" s="1"/>
  <c r="AU25" i="5"/>
  <c r="C23" i="9"/>
  <c r="D31" i="5"/>
  <c r="H28" i="5"/>
  <c r="N29" i="5"/>
  <c r="F24" i="9"/>
  <c r="Y29" i="5"/>
  <c r="H24" i="9"/>
  <c r="H26" i="9" s="1"/>
  <c r="AL29" i="5"/>
  <c r="AX29" i="5"/>
  <c r="H30" i="5"/>
  <c r="C25" i="9"/>
  <c r="AH31" i="5"/>
  <c r="P32" i="5"/>
  <c r="E27" i="9" s="1"/>
  <c r="E29" i="9" s="1"/>
  <c r="AT33" i="5"/>
  <c r="H33" i="5"/>
  <c r="N34" i="5"/>
  <c r="J32" i="5"/>
  <c r="D27" i="9" s="1"/>
  <c r="D29" i="9" s="1"/>
  <c r="M34" i="5"/>
  <c r="AU34" i="5"/>
  <c r="AW34" i="5"/>
  <c r="Z34" i="5"/>
  <c r="V32" i="5"/>
  <c r="F27" i="9" s="1"/>
  <c r="F29" i="9" s="1"/>
  <c r="Y34" i="5"/>
  <c r="AL40" i="5"/>
  <c r="AX40" i="5"/>
  <c r="H35" i="9"/>
  <c r="I35" i="9" s="1"/>
  <c r="C36" i="9"/>
  <c r="D42" i="5"/>
  <c r="H42" i="5" s="1"/>
  <c r="H41" i="5"/>
  <c r="AH42" i="5"/>
  <c r="AK42" i="5" s="1"/>
  <c r="AT45" i="5"/>
  <c r="AB58" i="5"/>
  <c r="G47" i="9"/>
  <c r="H50" i="9"/>
  <c r="AL55" i="5"/>
  <c r="AX55" i="5"/>
  <c r="E32" i="9"/>
  <c r="E37" i="9" s="1"/>
  <c r="F33" i="9"/>
  <c r="G34" i="9"/>
  <c r="C39" i="9"/>
  <c r="D41" i="9"/>
  <c r="D49" i="9"/>
  <c r="AW38" i="5"/>
  <c r="AW39" i="5"/>
  <c r="AT40" i="5"/>
  <c r="J42" i="5"/>
  <c r="H44" i="5"/>
  <c r="T44" i="5"/>
  <c r="AT44" i="5"/>
  <c r="AX44" i="5"/>
  <c r="G45" i="5"/>
  <c r="AW46" i="5"/>
  <c r="P47" i="5"/>
  <c r="AH47" i="5"/>
  <c r="G49" i="5"/>
  <c r="AT49" i="5"/>
  <c r="AQ51" i="5"/>
  <c r="AR51" i="5"/>
  <c r="S52" i="5"/>
  <c r="AU52" i="5"/>
  <c r="AY52" i="5"/>
  <c r="AU53" i="5"/>
  <c r="S54" i="5"/>
  <c r="Y54" i="5"/>
  <c r="AE54" i="5"/>
  <c r="AU54" i="5"/>
  <c r="AY54" i="5"/>
  <c r="H55" i="5"/>
  <c r="T55" i="5"/>
  <c r="Z55" i="5"/>
  <c r="AK55" i="5"/>
  <c r="AT55" i="5"/>
  <c r="AP56" i="5"/>
  <c r="G52" i="9"/>
  <c r="AY57" i="5"/>
  <c r="AE57" i="5"/>
  <c r="AV57" i="5"/>
  <c r="L58" i="5"/>
  <c r="F32" i="9"/>
  <c r="G33" i="9"/>
  <c r="D39" i="9"/>
  <c r="E41" i="9"/>
  <c r="E42" i="9" s="1"/>
  <c r="G44" i="9"/>
  <c r="G45" i="9" s="1"/>
  <c r="E49" i="9"/>
  <c r="H51" i="9"/>
  <c r="AQ26" i="43"/>
  <c r="AQ59" i="43" s="1"/>
  <c r="AR59" i="43" s="1"/>
  <c r="AQ27" i="5"/>
  <c r="N28" i="5"/>
  <c r="T28" i="5"/>
  <c r="Z28" i="5"/>
  <c r="AV28" i="5"/>
  <c r="AT29" i="5"/>
  <c r="N30" i="5"/>
  <c r="T30" i="5"/>
  <c r="Z30" i="5"/>
  <c r="AV30" i="5"/>
  <c r="J31" i="5"/>
  <c r="P31" i="5"/>
  <c r="S31" i="5" s="1"/>
  <c r="V31" i="5"/>
  <c r="D32" i="5"/>
  <c r="G34" i="5"/>
  <c r="D37" i="9"/>
  <c r="AK37" i="5"/>
  <c r="AW37" i="5"/>
  <c r="M38" i="5"/>
  <c r="AE38" i="5"/>
  <c r="AT38" i="5"/>
  <c r="S39" i="5"/>
  <c r="Y39" i="5"/>
  <c r="AE39" i="5"/>
  <c r="AT39" i="5"/>
  <c r="M40" i="5"/>
  <c r="S40" i="5"/>
  <c r="AE40" i="5"/>
  <c r="AU40" i="5"/>
  <c r="AY40" i="5"/>
  <c r="AV41" i="5"/>
  <c r="L42" i="5"/>
  <c r="AR43" i="5"/>
  <c r="AL44" i="5"/>
  <c r="AU44" i="5"/>
  <c r="AU47" i="5" s="1"/>
  <c r="AY44" i="5"/>
  <c r="T45" i="5"/>
  <c r="Z45" i="5"/>
  <c r="M46" i="5"/>
  <c r="Y46" i="5"/>
  <c r="AE46" i="5"/>
  <c r="AT46" i="5"/>
  <c r="AX46" i="5"/>
  <c r="H49" i="5"/>
  <c r="N49" i="5"/>
  <c r="T49" i="5"/>
  <c r="AU49" i="5"/>
  <c r="M52" i="5"/>
  <c r="R58" i="5"/>
  <c r="AF52" i="5"/>
  <c r="AV52" i="5"/>
  <c r="AL53" i="5"/>
  <c r="M54" i="5"/>
  <c r="AF54" i="5"/>
  <c r="AL54" i="5"/>
  <c r="AV54" i="5"/>
  <c r="D50" i="9"/>
  <c r="AU55" i="5"/>
  <c r="AY55" i="5"/>
  <c r="AF55" i="5"/>
  <c r="AV55" i="5"/>
  <c r="AL56" i="5"/>
  <c r="P58" i="5"/>
  <c r="F25" i="9"/>
  <c r="C34" i="9"/>
  <c r="G39" i="9"/>
  <c r="G42" i="9" s="1"/>
  <c r="H41" i="9"/>
  <c r="H42" i="9" s="1"/>
  <c r="D47" i="9"/>
  <c r="AR27" i="5"/>
  <c r="AW28" i="5"/>
  <c r="AU29" i="5"/>
  <c r="AK33" i="5"/>
  <c r="AE37" i="5"/>
  <c r="AT37" i="5"/>
  <c r="AX37" i="5"/>
  <c r="S38" i="5"/>
  <c r="AF38" i="5"/>
  <c r="AU38" i="5"/>
  <c r="M39" i="5"/>
  <c r="AF39" i="5"/>
  <c r="AU39" i="5"/>
  <c r="G40" i="5"/>
  <c r="Y40" i="5"/>
  <c r="AF40" i="5"/>
  <c r="AV40" i="5"/>
  <c r="Z41" i="5"/>
  <c r="AW41" i="5"/>
  <c r="V42" i="5"/>
  <c r="Y42" i="5" s="1"/>
  <c r="AV44" i="5"/>
  <c r="AF46" i="5"/>
  <c r="AY46" i="5"/>
  <c r="AV49" i="5"/>
  <c r="N52" i="5"/>
  <c r="T52" i="5"/>
  <c r="Z52" i="5"/>
  <c r="AH58" i="5"/>
  <c r="AX58" i="5" s="1"/>
  <c r="AW52" i="5"/>
  <c r="H54" i="5"/>
  <c r="Z54" i="5"/>
  <c r="AW54" i="5"/>
  <c r="M55" i="5"/>
  <c r="AX57" i="5"/>
  <c r="AK57" i="5"/>
  <c r="V58" i="5"/>
  <c r="AR10" i="43"/>
  <c r="AV10" i="43"/>
  <c r="AZ10" i="43"/>
  <c r="AR12" i="43"/>
  <c r="AR14" i="43"/>
  <c r="AV15" i="43"/>
  <c r="AZ15" i="43"/>
  <c r="AR16" i="43"/>
  <c r="AV16" i="43"/>
  <c r="AZ16" i="43"/>
  <c r="AY55" i="43"/>
  <c r="AR32" i="43"/>
  <c r="AZ32" i="43"/>
  <c r="AV33" i="43"/>
  <c r="BB35" i="43"/>
  <c r="X22" i="32"/>
  <c r="M27" i="32"/>
  <c r="T26" i="32"/>
  <c r="AB45" i="32"/>
  <c r="AA17" i="32"/>
  <c r="AB57" i="32"/>
  <c r="AB72" i="32"/>
  <c r="AB114" i="32"/>
  <c r="AB197" i="32"/>
  <c r="AB161" i="32"/>
  <c r="AB210" i="32"/>
  <c r="L38" i="33"/>
  <c r="L34" i="33"/>
  <c r="L30" i="33"/>
  <c r="L23" i="33"/>
  <c r="L39" i="33"/>
  <c r="L35" i="33"/>
  <c r="L31" i="33"/>
  <c r="L27" i="33"/>
  <c r="L24" i="33"/>
  <c r="L17" i="33"/>
  <c r="L13" i="33"/>
  <c r="L36" i="33"/>
  <c r="L32" i="33"/>
  <c r="L25" i="33"/>
  <c r="L20" i="33"/>
  <c r="L18" i="33"/>
  <c r="L37" i="33"/>
  <c r="L33" i="33"/>
  <c r="L28" i="33"/>
  <c r="L26" i="33"/>
  <c r="L22" i="33"/>
  <c r="L14" i="33"/>
  <c r="L11" i="33"/>
  <c r="T38" i="33"/>
  <c r="T34" i="33"/>
  <c r="T30" i="33"/>
  <c r="T23" i="33"/>
  <c r="T19" i="33"/>
  <c r="T39" i="33"/>
  <c r="T35" i="33"/>
  <c r="T31" i="33"/>
  <c r="T27" i="33"/>
  <c r="T24" i="33"/>
  <c r="T17" i="33"/>
  <c r="T13" i="33"/>
  <c r="T36" i="33"/>
  <c r="T32" i="33"/>
  <c r="T25" i="33"/>
  <c r="T20" i="33"/>
  <c r="T18" i="33"/>
  <c r="T37" i="33"/>
  <c r="T33" i="33"/>
  <c r="T28" i="33"/>
  <c r="T26" i="33"/>
  <c r="T22" i="33"/>
  <c r="T14" i="33"/>
  <c r="T11" i="33"/>
  <c r="G14" i="33"/>
  <c r="H14" i="33" s="1"/>
  <c r="W14" i="33"/>
  <c r="H16" i="33"/>
  <c r="E4" i="28"/>
  <c r="I4" i="28"/>
  <c r="P4" i="28"/>
  <c r="AW56" i="5"/>
  <c r="AT57" i="5"/>
  <c r="AS43" i="43"/>
  <c r="AU43" i="43"/>
  <c r="AS48" i="43"/>
  <c r="AU48" i="43"/>
  <c r="AS49" i="43"/>
  <c r="AT49" i="43" s="1"/>
  <c r="AU49" i="43"/>
  <c r="AV49" i="43" s="1"/>
  <c r="BA18" i="43"/>
  <c r="AW51" i="43" s="1"/>
  <c r="AX51" i="43" s="1"/>
  <c r="AT21" i="43"/>
  <c r="AX21" i="43"/>
  <c r="BB21" i="43"/>
  <c r="AT22" i="43"/>
  <c r="AX22" i="43"/>
  <c r="BB22" i="43"/>
  <c r="AT23" i="43"/>
  <c r="AX23" i="43"/>
  <c r="BB23" i="43"/>
  <c r="AT25" i="43"/>
  <c r="AX25" i="43"/>
  <c r="BC28" i="43"/>
  <c r="BC29" i="43"/>
  <c r="AT32" i="43"/>
  <c r="BB32" i="43"/>
  <c r="AX33" i="43"/>
  <c r="AV35" i="43"/>
  <c r="X18" i="32"/>
  <c r="H22" i="32"/>
  <c r="L22" i="32"/>
  <c r="H23" i="32"/>
  <c r="U27" i="32"/>
  <c r="X27" i="32"/>
  <c r="L28" i="32"/>
  <c r="T35" i="32"/>
  <c r="AA22" i="32"/>
  <c r="AA24" i="32"/>
  <c r="AB129" i="32"/>
  <c r="N39" i="33"/>
  <c r="N35" i="33"/>
  <c r="N31" i="33"/>
  <c r="N25" i="33"/>
  <c r="N36" i="33"/>
  <c r="N32" i="33"/>
  <c r="N26" i="33"/>
  <c r="N22" i="33"/>
  <c r="N11" i="33"/>
  <c r="N37" i="33"/>
  <c r="N33" i="33"/>
  <c r="N23" i="33"/>
  <c r="N16" i="33"/>
  <c r="N38" i="33"/>
  <c r="N34" i="33"/>
  <c r="N30" i="33"/>
  <c r="N27" i="33"/>
  <c r="N24" i="33"/>
  <c r="N17" i="33"/>
  <c r="N13" i="33"/>
  <c r="V39" i="33"/>
  <c r="V35" i="33"/>
  <c r="V31" i="33"/>
  <c r="V25" i="33"/>
  <c r="V20" i="33"/>
  <c r="V36" i="33"/>
  <c r="V32" i="33"/>
  <c r="V28" i="33"/>
  <c r="V26" i="33"/>
  <c r="V22" i="33"/>
  <c r="V14" i="33"/>
  <c r="V11" i="33"/>
  <c r="V37" i="33"/>
  <c r="V33" i="33"/>
  <c r="V23" i="33"/>
  <c r="V19" i="33"/>
  <c r="V16" i="33"/>
  <c r="V38" i="33"/>
  <c r="V34" i="33"/>
  <c r="V30" i="33"/>
  <c r="V27" i="33"/>
  <c r="V24" i="33"/>
  <c r="V17" i="33"/>
  <c r="V13" i="33"/>
  <c r="N12" i="33"/>
  <c r="V12" i="33"/>
  <c r="Q4" i="28"/>
  <c r="AF10" i="43"/>
  <c r="AT10" i="43"/>
  <c r="AX10" i="43"/>
  <c r="BB10" i="43"/>
  <c r="BB11" i="43"/>
  <c r="BB12" i="43"/>
  <c r="BB14" i="43"/>
  <c r="AT15" i="43"/>
  <c r="AX15" i="43"/>
  <c r="BB15" i="43"/>
  <c r="AF16" i="43"/>
  <c r="AT16" i="43"/>
  <c r="AX16" i="43"/>
  <c r="BB16" i="43"/>
  <c r="AR17" i="43"/>
  <c r="BC21" i="43"/>
  <c r="BC22" i="43"/>
  <c r="BC23" i="43"/>
  <c r="AR28" i="43"/>
  <c r="AV28" i="43"/>
  <c r="AZ28" i="43"/>
  <c r="AR29" i="43"/>
  <c r="AV29" i="43"/>
  <c r="AZ29" i="43"/>
  <c r="AX35" i="43"/>
  <c r="E19" i="32"/>
  <c r="D17" i="32"/>
  <c r="L18" i="32"/>
  <c r="T20" i="32"/>
  <c r="P23" i="32"/>
  <c r="L24" i="32"/>
  <c r="T39" i="32"/>
  <c r="AB47" i="32"/>
  <c r="AA26" i="32"/>
  <c r="AA18" i="32"/>
  <c r="H36" i="33"/>
  <c r="H32" i="33"/>
  <c r="H23" i="33"/>
  <c r="H37" i="33"/>
  <c r="H33" i="33"/>
  <c r="H24" i="33"/>
  <c r="H17" i="33"/>
  <c r="H13" i="33"/>
  <c r="H38" i="33"/>
  <c r="H34" i="33"/>
  <c r="H30" i="33"/>
  <c r="H25" i="33"/>
  <c r="H18" i="33"/>
  <c r="H39" i="33"/>
  <c r="H35" i="33"/>
  <c r="H31" i="33"/>
  <c r="H26" i="33"/>
  <c r="H22" i="33"/>
  <c r="H11" i="33"/>
  <c r="P36" i="33"/>
  <c r="P32" i="33"/>
  <c r="P23" i="33"/>
  <c r="P19" i="33"/>
  <c r="P37" i="33"/>
  <c r="P33" i="33"/>
  <c r="P27" i="33"/>
  <c r="P24" i="33"/>
  <c r="P17" i="33"/>
  <c r="P13" i="33"/>
  <c r="P38" i="33"/>
  <c r="P34" i="33"/>
  <c r="P30" i="33"/>
  <c r="P25" i="33"/>
  <c r="P20" i="33"/>
  <c r="P18" i="33"/>
  <c r="P39" i="33"/>
  <c r="P35" i="33"/>
  <c r="P31" i="33"/>
  <c r="P26" i="33"/>
  <c r="P22" i="33"/>
  <c r="P14" i="33"/>
  <c r="P11" i="33"/>
  <c r="X36" i="33"/>
  <c r="X32" i="33"/>
  <c r="X23" i="33"/>
  <c r="X19" i="33"/>
  <c r="X37" i="33"/>
  <c r="X33" i="33"/>
  <c r="X27" i="33"/>
  <c r="X24" i="33"/>
  <c r="X17" i="33"/>
  <c r="X13" i="33"/>
  <c r="X38" i="33"/>
  <c r="X34" i="33"/>
  <c r="X30" i="33"/>
  <c r="X25" i="33"/>
  <c r="X20" i="33"/>
  <c r="X18" i="33"/>
  <c r="X39" i="33"/>
  <c r="X35" i="33"/>
  <c r="X31" i="33"/>
  <c r="X28" i="33"/>
  <c r="X26" i="33"/>
  <c r="X22" i="33"/>
  <c r="X14" i="33"/>
  <c r="X11" i="33"/>
  <c r="P16" i="33"/>
  <c r="N18" i="33"/>
  <c r="N4" i="28"/>
  <c r="AQ43" i="43"/>
  <c r="AY43" i="43" s="1"/>
  <c r="AR58" i="43"/>
  <c r="BC10" i="43"/>
  <c r="AR21" i="43"/>
  <c r="AV21" i="43"/>
  <c r="AZ21" i="43"/>
  <c r="AR22" i="43"/>
  <c r="AV22" i="43"/>
  <c r="AZ22" i="43"/>
  <c r="AR23" i="43"/>
  <c r="AV23" i="43"/>
  <c r="AZ23" i="43"/>
  <c r="AR25" i="43"/>
  <c r="AV25" i="43"/>
  <c r="AZ25" i="43"/>
  <c r="AY61" i="43"/>
  <c r="AZ61" i="43" s="1"/>
  <c r="AR35" i="43"/>
  <c r="AZ35" i="43"/>
  <c r="H18" i="32"/>
  <c r="X23" i="32"/>
  <c r="AB52" i="32"/>
  <c r="AA19" i="32"/>
  <c r="AB192" i="32"/>
  <c r="AB204" i="32"/>
  <c r="J37" i="33"/>
  <c r="J33" i="33"/>
  <c r="J25" i="33"/>
  <c r="J38" i="33"/>
  <c r="J34" i="33"/>
  <c r="J30" i="33"/>
  <c r="J26" i="33"/>
  <c r="J22" i="33"/>
  <c r="J14" i="33"/>
  <c r="J11" i="33"/>
  <c r="J39" i="33"/>
  <c r="J35" i="33"/>
  <c r="J31" i="33"/>
  <c r="J23" i="33"/>
  <c r="J16" i="33"/>
  <c r="J36" i="33"/>
  <c r="J32" i="33"/>
  <c r="J27" i="33"/>
  <c r="J24" i="33"/>
  <c r="J17" i="33"/>
  <c r="J13" i="33"/>
  <c r="R37" i="33"/>
  <c r="R33" i="33"/>
  <c r="R25" i="33"/>
  <c r="R20" i="33"/>
  <c r="R38" i="33"/>
  <c r="R34" i="33"/>
  <c r="R30" i="33"/>
  <c r="R28" i="33"/>
  <c r="R26" i="33"/>
  <c r="R22" i="33"/>
  <c r="R14" i="33"/>
  <c r="R11" i="33"/>
  <c r="R39" i="33"/>
  <c r="R35" i="33"/>
  <c r="R31" i="33"/>
  <c r="R23" i="33"/>
  <c r="R19" i="33"/>
  <c r="R16" i="33"/>
  <c r="R36" i="33"/>
  <c r="R32" i="33"/>
  <c r="R27" i="33"/>
  <c r="R24" i="33"/>
  <c r="R17" i="33"/>
  <c r="R13" i="33"/>
  <c r="Z37" i="33"/>
  <c r="Z33" i="33"/>
  <c r="Z25" i="33"/>
  <c r="Z20" i="33"/>
  <c r="Z38" i="33"/>
  <c r="Z34" i="33"/>
  <c r="Z30" i="33"/>
  <c r="Z28" i="33"/>
  <c r="Z26" i="33"/>
  <c r="Z22" i="33"/>
  <c r="Z14" i="33"/>
  <c r="Z11" i="33"/>
  <c r="Z39" i="33"/>
  <c r="Z35" i="33"/>
  <c r="Z31" i="33"/>
  <c r="Z23" i="33"/>
  <c r="Z19" i="33"/>
  <c r="Z16" i="33"/>
  <c r="Y14" i="33"/>
  <c r="Y20" i="33" s="1"/>
  <c r="Z36" i="33"/>
  <c r="Z32" i="33"/>
  <c r="Z27" i="33"/>
  <c r="Z24" i="33"/>
  <c r="Z17" i="33"/>
  <c r="Z13" i="33"/>
  <c r="H12" i="33"/>
  <c r="L12" i="33"/>
  <c r="P12" i="33"/>
  <c r="T12" i="33"/>
  <c r="X12" i="33"/>
  <c r="M14" i="33"/>
  <c r="N14" i="33" s="1"/>
  <c r="U14" i="33"/>
  <c r="U20" i="33" s="1"/>
  <c r="U28" i="33" s="1"/>
  <c r="L16" i="33"/>
  <c r="Q19" i="33"/>
  <c r="J18" i="33"/>
  <c r="Z18" i="33"/>
  <c r="O4" i="28"/>
  <c r="D12" i="33"/>
  <c r="D16" i="33"/>
  <c r="D23" i="33"/>
  <c r="D27" i="33"/>
  <c r="D30" i="33"/>
  <c r="D34" i="33"/>
  <c r="D38" i="33"/>
  <c r="J5" i="25"/>
  <c r="D6" i="25"/>
  <c r="J9" i="25"/>
  <c r="J14" i="25"/>
  <c r="J10" i="28" s="1"/>
  <c r="J16" i="25"/>
  <c r="J18" i="25"/>
  <c r="H21" i="25"/>
  <c r="M21" i="25"/>
  <c r="Q21" i="25"/>
  <c r="F31" i="25"/>
  <c r="F17" i="28"/>
  <c r="J24" i="25"/>
  <c r="P17" i="28"/>
  <c r="O31" i="25"/>
  <c r="J26" i="25"/>
  <c r="J19" i="28" s="1"/>
  <c r="D21" i="28"/>
  <c r="R29" i="25"/>
  <c r="D37" i="33"/>
  <c r="R4" i="25"/>
  <c r="R10" i="25"/>
  <c r="R12" i="25"/>
  <c r="S9" i="28" s="1"/>
  <c r="R15" i="25"/>
  <c r="S11" i="28" s="1"/>
  <c r="E21" i="25"/>
  <c r="I21" i="25"/>
  <c r="N21" i="25"/>
  <c r="G17" i="28"/>
  <c r="G31" i="25"/>
  <c r="M17" i="28"/>
  <c r="L31" i="25"/>
  <c r="Q17" i="28"/>
  <c r="P31" i="25"/>
  <c r="R25" i="25"/>
  <c r="S18" i="28" s="1"/>
  <c r="M19" i="28"/>
  <c r="R26" i="25"/>
  <c r="S19" i="28" s="1"/>
  <c r="D14" i="33"/>
  <c r="D18" i="33"/>
  <c r="D25" i="33"/>
  <c r="D32" i="33"/>
  <c r="F8" i="28"/>
  <c r="J10" i="25"/>
  <c r="P8" i="28"/>
  <c r="J12" i="25"/>
  <c r="J9" i="28" s="1"/>
  <c r="J15" i="25"/>
  <c r="J11" i="28" s="1"/>
  <c r="D12" i="28"/>
  <c r="D14" i="28" s="1"/>
  <c r="H12" i="28"/>
  <c r="N12" i="28"/>
  <c r="R12" i="28"/>
  <c r="F21" i="25"/>
  <c r="O21" i="25"/>
  <c r="D17" i="28"/>
  <c r="H17" i="28"/>
  <c r="H31" i="25"/>
  <c r="N17" i="28"/>
  <c r="M31" i="25"/>
  <c r="Q31" i="25"/>
  <c r="R17" i="28"/>
  <c r="J25" i="25"/>
  <c r="J18" i="28" s="1"/>
  <c r="J28" i="25"/>
  <c r="R5" i="25"/>
  <c r="R9" i="25"/>
  <c r="R14" i="25"/>
  <c r="S10" i="28" s="1"/>
  <c r="R16" i="25"/>
  <c r="R18" i="25"/>
  <c r="G21" i="25"/>
  <c r="L21" i="25"/>
  <c r="P21" i="25"/>
  <c r="E17" i="28"/>
  <c r="E31" i="25"/>
  <c r="I17" i="28"/>
  <c r="I23" i="28" s="1"/>
  <c r="I31" i="25"/>
  <c r="O17" i="28"/>
  <c r="O23" i="28" s="1"/>
  <c r="N31" i="25"/>
  <c r="R24" i="25"/>
  <c r="S17" i="28" s="1"/>
  <c r="D20" i="28"/>
  <c r="J27" i="25"/>
  <c r="J20" i="28" s="1"/>
  <c r="R27" i="25"/>
  <c r="S20" i="28" s="1"/>
  <c r="M21" i="28"/>
  <c r="R28" i="25"/>
  <c r="E21" i="28"/>
  <c r="R30" i="25"/>
  <c r="S22" i="28" s="1"/>
  <c r="R34" i="25"/>
  <c r="S26" i="28" s="1"/>
  <c r="R36" i="25"/>
  <c r="S27" i="28" s="1"/>
  <c r="R38" i="25"/>
  <c r="S28" i="28" s="1"/>
  <c r="R40" i="25"/>
  <c r="S29" i="28" s="1"/>
  <c r="R42" i="25"/>
  <c r="S30" i="28" s="1"/>
  <c r="R44" i="25"/>
  <c r="S31" i="28" s="1"/>
  <c r="R46" i="25"/>
  <c r="S32" i="28" s="1"/>
  <c r="R48" i="25"/>
  <c r="S33" i="28" s="1"/>
  <c r="R50" i="25"/>
  <c r="S34" i="28" s="1"/>
  <c r="R52" i="25"/>
  <c r="S35" i="28" s="1"/>
  <c r="R54" i="25"/>
  <c r="S36" i="28" s="1"/>
  <c r="R59" i="25"/>
  <c r="S42" i="28" s="1"/>
  <c r="F26" i="28"/>
  <c r="J30" i="25"/>
  <c r="J22" i="28" s="1"/>
  <c r="J36" i="25"/>
  <c r="J27" i="28" s="1"/>
  <c r="J38" i="25"/>
  <c r="J28" i="28" s="1"/>
  <c r="J40" i="25"/>
  <c r="J29" i="28" s="1"/>
  <c r="J42" i="25"/>
  <c r="J30" i="28" s="1"/>
  <c r="J44" i="25"/>
  <c r="J31" i="28" s="1"/>
  <c r="J46" i="25"/>
  <c r="J32" i="28" s="1"/>
  <c r="J48" i="25"/>
  <c r="J33" i="28" s="1"/>
  <c r="J50" i="25"/>
  <c r="J34" i="28" s="1"/>
  <c r="J52" i="25"/>
  <c r="J35" i="28" s="1"/>
  <c r="J54" i="25"/>
  <c r="J36" i="28" s="1"/>
  <c r="J59" i="25"/>
  <c r="J42" i="28" s="1"/>
  <c r="R35" i="25"/>
  <c r="R55" i="25"/>
  <c r="S37" i="28" s="1"/>
  <c r="H21" i="28"/>
  <c r="N21" i="28"/>
  <c r="J35" i="25"/>
  <c r="D39" i="28"/>
  <c r="J55" i="25"/>
  <c r="J37" i="28" s="1"/>
  <c r="AB174" i="29"/>
  <c r="AB169" i="29"/>
  <c r="AB165" i="29"/>
  <c r="AB160" i="29"/>
  <c r="AB154" i="29"/>
  <c r="AB173" i="29"/>
  <c r="AB163" i="29"/>
  <c r="AB167" i="29"/>
  <c r="AB162" i="29"/>
  <c r="AB166" i="29"/>
  <c r="AB161" i="29"/>
  <c r="AB155" i="29"/>
  <c r="B14" i="39"/>
  <c r="D92" i="39"/>
  <c r="AB46" i="29"/>
  <c r="AB60" i="29"/>
  <c r="AB72" i="29"/>
  <c r="AB76" i="29"/>
  <c r="AB81" i="29"/>
  <c r="AB86" i="29"/>
  <c r="AB96" i="29"/>
  <c r="AB102" i="29"/>
  <c r="AB107" i="29"/>
  <c r="AB111" i="29"/>
  <c r="AB116" i="29"/>
  <c r="AB206" i="29"/>
  <c r="G8" i="39"/>
  <c r="G14" i="39" s="1"/>
  <c r="K8" i="39"/>
  <c r="K14" i="39" s="1"/>
  <c r="D14" i="39"/>
  <c r="AB43" i="29"/>
  <c r="AB47" i="29"/>
  <c r="AB52" i="29"/>
  <c r="AB57" i="29"/>
  <c r="AB67" i="29"/>
  <c r="AB73" i="29"/>
  <c r="AB78" i="29"/>
  <c r="AB82" i="29"/>
  <c r="AB87" i="29"/>
  <c r="AB97" i="29"/>
  <c r="AB103" i="29"/>
  <c r="AB108" i="29"/>
  <c r="AB112" i="29"/>
  <c r="AB117" i="29"/>
  <c r="AB189" i="29"/>
  <c r="AB193" i="29"/>
  <c r="AB198" i="29"/>
  <c r="AB203" i="29"/>
  <c r="AB38" i="29"/>
  <c r="AB44" i="29"/>
  <c r="AB49" i="29"/>
  <c r="AB53" i="29"/>
  <c r="AB58" i="29"/>
  <c r="AB68" i="29"/>
  <c r="AB74" i="29"/>
  <c r="AB79" i="29"/>
  <c r="AB83" i="29"/>
  <c r="AB88" i="29"/>
  <c r="AB99" i="29"/>
  <c r="AB104" i="29"/>
  <c r="AB109" i="29"/>
  <c r="AB113" i="29"/>
  <c r="AB118" i="29"/>
  <c r="AB125" i="29"/>
  <c r="AB126" i="29"/>
  <c r="AB128" i="29"/>
  <c r="AB130" i="29"/>
  <c r="AB131" i="29"/>
  <c r="AB132" i="29"/>
  <c r="AB133" i="29"/>
  <c r="AB134" i="29"/>
  <c r="AB136" i="29"/>
  <c r="AB137" i="29"/>
  <c r="AB138" i="29"/>
  <c r="AB139" i="29"/>
  <c r="AB140" i="29"/>
  <c r="AB141" i="29"/>
  <c r="AB142" i="29"/>
  <c r="AB144" i="29"/>
  <c r="AB145" i="29"/>
  <c r="AB146" i="29"/>
  <c r="E8" i="39"/>
  <c r="E14" i="39" s="1"/>
  <c r="I8" i="39"/>
  <c r="I14" i="39" s="1"/>
  <c r="M14" i="39"/>
  <c r="F14" i="39"/>
  <c r="N21" i="39"/>
  <c r="N27" i="39" s="1"/>
  <c r="N47" i="39"/>
  <c r="N53" i="39" s="1"/>
  <c r="N73" i="39"/>
  <c r="N79" i="39" s="1"/>
  <c r="AB70" i="29"/>
  <c r="AB75" i="29"/>
  <c r="AB80" i="29"/>
  <c r="AB84" i="29"/>
  <c r="AB101" i="29"/>
  <c r="AB105" i="29"/>
  <c r="AB110" i="29"/>
  <c r="AH19" i="40"/>
  <c r="AH23" i="40"/>
  <c r="BO313" i="2"/>
  <c r="BV57" i="2"/>
  <c r="BX58" i="2"/>
  <c r="CC15" i="2"/>
  <c r="CE9" i="2"/>
  <c r="BV64" i="2"/>
  <c r="CC29" i="2"/>
  <c r="H39" i="28"/>
  <c r="AB203" i="41"/>
  <c r="AB204" i="41"/>
  <c r="C53" i="9"/>
  <c r="I48" i="9"/>
  <c r="AT58" i="5"/>
  <c r="AO14" i="5"/>
  <c r="AO29" i="5"/>
  <c r="AO21" i="5"/>
  <c r="AO24" i="5"/>
  <c r="AO26" i="5"/>
  <c r="AK30" i="5"/>
  <c r="AK46" i="5"/>
  <c r="AK54" i="5"/>
  <c r="AK56" i="5"/>
  <c r="AO15" i="5"/>
  <c r="AO33" i="5"/>
  <c r="AI60" i="5"/>
  <c r="AO20" i="5"/>
  <c r="AO45" i="5"/>
  <c r="AK52" i="5"/>
  <c r="AO53" i="5"/>
  <c r="AA61" i="41"/>
  <c r="AB61" i="41" s="1"/>
  <c r="AB90" i="32"/>
  <c r="C19" i="32"/>
  <c r="D19" i="32" s="1"/>
  <c r="D18" i="32"/>
  <c r="R18" i="32"/>
  <c r="T19" i="32"/>
  <c r="L20" i="32"/>
  <c r="P22" i="32"/>
  <c r="T22" i="32"/>
  <c r="D23" i="32"/>
  <c r="I27" i="32"/>
  <c r="J27" i="32" s="1"/>
  <c r="T23" i="32"/>
  <c r="Y27" i="32"/>
  <c r="T24" i="32"/>
  <c r="L26" i="32"/>
  <c r="T28" i="32"/>
  <c r="T37" i="32"/>
  <c r="AB50" i="32"/>
  <c r="AB60" i="32"/>
  <c r="AB115" i="32"/>
  <c r="AB134" i="32"/>
  <c r="AB88" i="32"/>
  <c r="AB98" i="32"/>
  <c r="AB104" i="32"/>
  <c r="AB179" i="32"/>
  <c r="AB190" i="32"/>
  <c r="AB201" i="32"/>
  <c r="AB212" i="32"/>
  <c r="AB225" i="32"/>
  <c r="AB233" i="32"/>
  <c r="AB101" i="32"/>
  <c r="R27" i="32"/>
  <c r="AB105" i="32"/>
  <c r="AB152" i="32"/>
  <c r="AB80" i="32"/>
  <c r="AB93" i="32"/>
  <c r="J18" i="32"/>
  <c r="Z22" i="32"/>
  <c r="Z25" i="32"/>
  <c r="AA33" i="32"/>
  <c r="AB120" i="32"/>
  <c r="AB78" i="32"/>
  <c r="AB85" i="32"/>
  <c r="AA23" i="32"/>
  <c r="AA12" i="32"/>
  <c r="L14" i="32"/>
  <c r="P17" i="32"/>
  <c r="P18" i="32"/>
  <c r="D22" i="32"/>
  <c r="R22" i="32"/>
  <c r="J34" i="32"/>
  <c r="AA16" i="32"/>
  <c r="AB55" i="32"/>
  <c r="AA25" i="32"/>
  <c r="AB63" i="32"/>
  <c r="AB69" i="32"/>
  <c r="AB125" i="32"/>
  <c r="AB83" i="32"/>
  <c r="AB100" i="32"/>
  <c r="AB177" i="32"/>
  <c r="AB184" i="32"/>
  <c r="AB188" i="32"/>
  <c r="AB195" i="32"/>
  <c r="AB217" i="32"/>
  <c r="AB221" i="32"/>
  <c r="AB230" i="32"/>
  <c r="AB237" i="32"/>
  <c r="N39" i="32"/>
  <c r="N38" i="32"/>
  <c r="N37" i="32"/>
  <c r="N36" i="32"/>
  <c r="N35" i="32"/>
  <c r="N34" i="32"/>
  <c r="N32" i="32"/>
  <c r="N12" i="32"/>
  <c r="N26" i="32"/>
  <c r="N28" i="32"/>
  <c r="N27" i="32"/>
  <c r="N13" i="32"/>
  <c r="N11" i="32"/>
  <c r="N18" i="32"/>
  <c r="F22" i="32"/>
  <c r="V22" i="32"/>
  <c r="N30" i="32"/>
  <c r="N31" i="32"/>
  <c r="H33" i="32"/>
  <c r="H38" i="32"/>
  <c r="H36" i="32"/>
  <c r="H34" i="32"/>
  <c r="H31" i="32"/>
  <c r="H13" i="32"/>
  <c r="H11" i="32"/>
  <c r="H30" i="32"/>
  <c r="H32" i="32"/>
  <c r="H39" i="32"/>
  <c r="H37" i="32"/>
  <c r="H35" i="32"/>
  <c r="H12" i="32"/>
  <c r="P36" i="32"/>
  <c r="P38" i="32"/>
  <c r="P37" i="32"/>
  <c r="P34" i="32"/>
  <c r="P35" i="32"/>
  <c r="P39" i="32"/>
  <c r="P33" i="32"/>
  <c r="P31" i="32"/>
  <c r="P13" i="32"/>
  <c r="P11" i="32"/>
  <c r="P30" i="32"/>
  <c r="P12" i="32"/>
  <c r="X39" i="32"/>
  <c r="X38" i="32"/>
  <c r="X37" i="32"/>
  <c r="X36" i="32"/>
  <c r="X35" i="32"/>
  <c r="X34" i="32"/>
  <c r="X33" i="32"/>
  <c r="X31" i="32"/>
  <c r="X13" i="32"/>
  <c r="X11" i="32"/>
  <c r="X30" i="32"/>
  <c r="X25" i="32"/>
  <c r="X32" i="32"/>
  <c r="X12" i="32"/>
  <c r="H14" i="32"/>
  <c r="P14" i="32"/>
  <c r="X14" i="32"/>
  <c r="F16" i="32"/>
  <c r="J16" i="32"/>
  <c r="N16" i="32"/>
  <c r="R16" i="32"/>
  <c r="V16" i="32"/>
  <c r="Z16" i="32"/>
  <c r="H19" i="32"/>
  <c r="P19" i="32"/>
  <c r="X19" i="32"/>
  <c r="H20" i="32"/>
  <c r="P20" i="32"/>
  <c r="X20" i="32"/>
  <c r="H24" i="32"/>
  <c r="P24" i="32"/>
  <c r="X24" i="32"/>
  <c r="F25" i="32"/>
  <c r="J25" i="32"/>
  <c r="N25" i="32"/>
  <c r="V25" i="32"/>
  <c r="H26" i="32"/>
  <c r="X26" i="32"/>
  <c r="H28" i="32"/>
  <c r="X28" i="32"/>
  <c r="J30" i="32"/>
  <c r="Z30" i="32"/>
  <c r="N33" i="32"/>
  <c r="R32" i="32"/>
  <c r="R39" i="32"/>
  <c r="R37" i="32"/>
  <c r="R35" i="32"/>
  <c r="R33" i="32"/>
  <c r="R31" i="32"/>
  <c r="R12" i="32"/>
  <c r="R28" i="32"/>
  <c r="R26" i="32"/>
  <c r="R38" i="32"/>
  <c r="R36" i="32"/>
  <c r="R34" i="32"/>
  <c r="R13" i="32"/>
  <c r="R11" i="32"/>
  <c r="F17" i="32"/>
  <c r="N17" i="32"/>
  <c r="V17" i="32"/>
  <c r="J23" i="32"/>
  <c r="V23" i="32"/>
  <c r="AB172" i="32"/>
  <c r="AB168" i="32"/>
  <c r="AB146" i="32"/>
  <c r="AB171" i="32"/>
  <c r="AB167" i="32"/>
  <c r="AB165" i="32"/>
  <c r="AB162" i="32"/>
  <c r="AB160" i="32"/>
  <c r="AB158" i="32"/>
  <c r="AB156" i="32"/>
  <c r="AB153" i="32"/>
  <c r="AB151" i="32"/>
  <c r="AB148" i="32"/>
  <c r="AB170" i="32"/>
  <c r="AB145" i="32"/>
  <c r="AB164" i="32"/>
  <c r="AB154" i="32"/>
  <c r="AB166" i="32"/>
  <c r="AB157" i="32"/>
  <c r="AB147" i="32"/>
  <c r="AB173" i="32"/>
  <c r="AB159" i="32"/>
  <c r="AB150" i="32"/>
  <c r="F39" i="32"/>
  <c r="F38" i="32"/>
  <c r="F37" i="32"/>
  <c r="F36" i="32"/>
  <c r="F35" i="32"/>
  <c r="F34" i="32"/>
  <c r="F27" i="32"/>
  <c r="F12" i="32"/>
  <c r="F26" i="32"/>
  <c r="F31" i="32"/>
  <c r="E14" i="32"/>
  <c r="E20" i="32" s="1"/>
  <c r="F13" i="32"/>
  <c r="F11" i="32"/>
  <c r="V39" i="32"/>
  <c r="V38" i="32"/>
  <c r="V37" i="32"/>
  <c r="V36" i="32"/>
  <c r="V35" i="32"/>
  <c r="V34" i="32"/>
  <c r="V32" i="32"/>
  <c r="V27" i="32"/>
  <c r="V12" i="32"/>
  <c r="V31" i="32"/>
  <c r="V28" i="32"/>
  <c r="V26" i="32"/>
  <c r="V33" i="32"/>
  <c r="V13" i="32"/>
  <c r="V11" i="32"/>
  <c r="F18" i="32"/>
  <c r="V18" i="32"/>
  <c r="N22" i="32"/>
  <c r="J32" i="32"/>
  <c r="J12" i="32"/>
  <c r="J39" i="32"/>
  <c r="J37" i="32"/>
  <c r="J35" i="32"/>
  <c r="J28" i="32"/>
  <c r="J26" i="32"/>
  <c r="J33" i="32"/>
  <c r="J31" i="32"/>
  <c r="J13" i="32"/>
  <c r="J11" i="32"/>
  <c r="Z32" i="32"/>
  <c r="Z38" i="32"/>
  <c r="Z36" i="32"/>
  <c r="Z34" i="32"/>
  <c r="Z12" i="32"/>
  <c r="Z28" i="32"/>
  <c r="Z26" i="32"/>
  <c r="Z27" i="32"/>
  <c r="Z39" i="32"/>
  <c r="Z37" i="32"/>
  <c r="Z35" i="32"/>
  <c r="Z33" i="32"/>
  <c r="Z31" i="32"/>
  <c r="Z13" i="32"/>
  <c r="Z11" i="32"/>
  <c r="J17" i="32"/>
  <c r="R17" i="32"/>
  <c r="F23" i="32"/>
  <c r="N23" i="32"/>
  <c r="R23" i="32"/>
  <c r="Z23" i="32"/>
  <c r="E14" i="38"/>
  <c r="D39" i="32"/>
  <c r="D38" i="32"/>
  <c r="D37" i="32"/>
  <c r="D36" i="32"/>
  <c r="D35" i="32"/>
  <c r="D34" i="32"/>
  <c r="D31" i="32"/>
  <c r="C14" i="32"/>
  <c r="D13" i="32"/>
  <c r="D11" i="32"/>
  <c r="D30" i="32"/>
  <c r="D12" i="32"/>
  <c r="L39" i="32"/>
  <c r="L38" i="32"/>
  <c r="L37" i="32"/>
  <c r="L36" i="32"/>
  <c r="L35" i="32"/>
  <c r="L34" i="32"/>
  <c r="L33" i="32"/>
  <c r="L31" i="32"/>
  <c r="L13" i="32"/>
  <c r="L11" i="32"/>
  <c r="L30" i="32"/>
  <c r="L32" i="32"/>
  <c r="L12" i="32"/>
  <c r="T33" i="32"/>
  <c r="T31" i="32"/>
  <c r="T32" i="32"/>
  <c r="T13" i="32"/>
  <c r="T11" i="32"/>
  <c r="T38" i="32"/>
  <c r="T34" i="32"/>
  <c r="T30" i="32"/>
  <c r="T36" i="32"/>
  <c r="T27" i="32"/>
  <c r="T12" i="32"/>
  <c r="AA11" i="32"/>
  <c r="AB39" i="32" s="1"/>
  <c r="J14" i="32"/>
  <c r="N14" i="32"/>
  <c r="R14" i="32"/>
  <c r="V14" i="32"/>
  <c r="Z14" i="32"/>
  <c r="D16" i="32"/>
  <c r="H16" i="32"/>
  <c r="L16" i="32"/>
  <c r="P16" i="32"/>
  <c r="T16" i="32"/>
  <c r="X16" i="32"/>
  <c r="F19" i="32"/>
  <c r="J19" i="32"/>
  <c r="N19" i="32"/>
  <c r="R19" i="32"/>
  <c r="V19" i="32"/>
  <c r="Z19" i="32"/>
  <c r="J20" i="32"/>
  <c r="N20" i="32"/>
  <c r="R20" i="32"/>
  <c r="V20" i="32"/>
  <c r="Z20" i="32"/>
  <c r="F24" i="32"/>
  <c r="J24" i="32"/>
  <c r="N24" i="32"/>
  <c r="R24" i="32"/>
  <c r="V24" i="32"/>
  <c r="Z24" i="32"/>
  <c r="D25" i="32"/>
  <c r="H25" i="32"/>
  <c r="L25" i="32"/>
  <c r="P25" i="32"/>
  <c r="T25" i="32"/>
  <c r="P26" i="32"/>
  <c r="P28" i="32"/>
  <c r="R30" i="32"/>
  <c r="J36" i="32"/>
  <c r="AA20" i="32"/>
  <c r="AB169" i="32"/>
  <c r="C27" i="32"/>
  <c r="D27" i="32" s="1"/>
  <c r="G27" i="32"/>
  <c r="H27" i="32" s="1"/>
  <c r="K27" i="32"/>
  <c r="L27" i="32" s="1"/>
  <c r="O27" i="32"/>
  <c r="P27" i="32" s="1"/>
  <c r="S27" i="32"/>
  <c r="W27" i="32"/>
  <c r="AB139" i="32"/>
  <c r="AB135" i="32"/>
  <c r="AB133" i="32"/>
  <c r="AB130" i="32"/>
  <c r="AB128" i="32"/>
  <c r="AB126" i="32"/>
  <c r="AB121" i="32"/>
  <c r="AB119" i="32"/>
  <c r="AB116" i="32"/>
  <c r="AB138" i="32"/>
  <c r="AB113" i="32"/>
  <c r="AB122" i="32"/>
  <c r="AB132" i="32"/>
  <c r="AB141" i="32"/>
  <c r="AA32" i="32"/>
  <c r="AA30" i="32"/>
  <c r="AB118" i="32"/>
  <c r="AB127" i="32"/>
  <c r="AB137" i="32"/>
  <c r="AB96" i="32"/>
  <c r="AB46" i="32"/>
  <c r="AB49" i="32"/>
  <c r="AB51" i="32"/>
  <c r="AB53" i="32"/>
  <c r="AB56" i="32"/>
  <c r="AB58" i="32"/>
  <c r="AB64" i="32"/>
  <c r="AB70" i="32"/>
  <c r="AB79" i="32"/>
  <c r="AB82" i="32"/>
  <c r="AB84" i="32"/>
  <c r="AB86" i="32"/>
  <c r="AB89" i="32"/>
  <c r="AB91" i="32"/>
  <c r="AB102" i="32"/>
  <c r="AB178" i="32"/>
  <c r="AB181" i="32"/>
  <c r="AB183" i="32"/>
  <c r="AB185" i="32"/>
  <c r="AB193" i="32"/>
  <c r="AB196" i="32"/>
  <c r="AB198" i="32"/>
  <c r="AB202" i="32"/>
  <c r="AB211" i="32"/>
  <c r="AB214" i="32"/>
  <c r="AB216" i="32"/>
  <c r="AB218" i="32"/>
  <c r="AB226" i="32"/>
  <c r="AB229" i="32"/>
  <c r="AB231" i="32"/>
  <c r="AB235" i="32"/>
  <c r="AB44" i="32"/>
  <c r="AB61" i="32"/>
  <c r="AB77" i="32"/>
  <c r="AB94" i="32"/>
  <c r="AB97" i="32"/>
  <c r="AB99" i="32"/>
  <c r="AB176" i="32"/>
  <c r="AB189" i="32"/>
  <c r="AB199" i="32"/>
  <c r="AB209" i="32"/>
  <c r="AB222" i="32"/>
  <c r="AB232" i="32"/>
  <c r="CA9" i="2"/>
  <c r="CE14" i="2"/>
  <c r="BW35" i="2"/>
  <c r="E10" i="36"/>
  <c r="BW9" i="2"/>
  <c r="CC11" i="2"/>
  <c r="BX59" i="2"/>
  <c r="BY32" i="2"/>
  <c r="CA33" i="2"/>
  <c r="C8" i="36"/>
  <c r="D9" i="36"/>
  <c r="G9" i="36"/>
  <c r="AD49" i="33"/>
  <c r="AD64" i="33"/>
  <c r="AD89" i="33"/>
  <c r="AD111" i="33"/>
  <c r="AD117" i="33"/>
  <c r="AD122" i="33"/>
  <c r="AD189" i="33"/>
  <c r="AD215" i="33"/>
  <c r="AD221" i="33"/>
  <c r="BV50" i="2"/>
  <c r="BV51" i="2"/>
  <c r="CE32" i="2"/>
  <c r="CE33" i="2"/>
  <c r="AD90" i="33"/>
  <c r="AD149" i="33"/>
  <c r="AD50" i="33"/>
  <c r="AD123" i="33"/>
  <c r="AD129" i="33"/>
  <c r="AD155" i="33"/>
  <c r="AD181" i="33"/>
  <c r="AD190" i="33"/>
  <c r="AD195" i="33"/>
  <c r="AD216" i="33"/>
  <c r="AD222" i="33"/>
  <c r="AD228" i="33"/>
  <c r="AD78" i="33"/>
  <c r="AD148" i="33"/>
  <c r="BY21" i="2"/>
  <c r="C9" i="36"/>
  <c r="AS11" i="2"/>
  <c r="AD112" i="33"/>
  <c r="S10" i="2"/>
  <c r="E8" i="36"/>
  <c r="G10" i="36"/>
  <c r="AY11" i="2"/>
  <c r="AD145" i="33"/>
  <c r="BH16" i="2"/>
  <c r="BH246" i="2"/>
  <c r="BH210" i="2"/>
  <c r="BH137" i="2"/>
  <c r="BH105" i="2"/>
  <c r="BH175" i="2"/>
  <c r="BH35" i="2"/>
  <c r="BH211" i="2"/>
  <c r="BH173" i="2"/>
  <c r="BH138" i="2"/>
  <c r="BH103" i="2"/>
  <c r="BH213" i="2"/>
  <c r="BH172" i="2"/>
  <c r="BH140" i="2"/>
  <c r="BH102" i="2"/>
  <c r="BH33" i="2"/>
  <c r="BH249" i="2"/>
  <c r="BH247" i="2"/>
  <c r="BH32" i="2"/>
  <c r="BY9" i="2"/>
  <c r="CC9" i="2"/>
  <c r="CE11" i="2"/>
  <c r="BX50" i="2"/>
  <c r="BX51" i="2"/>
  <c r="CE16" i="2"/>
  <c r="BX56" i="2"/>
  <c r="BV59" i="2"/>
  <c r="CE25" i="2"/>
  <c r="BX64" i="2"/>
  <c r="CB64" i="2" s="1"/>
  <c r="CE35" i="2"/>
  <c r="C10" i="36"/>
  <c r="AE60" i="2"/>
  <c r="AF60" i="2" s="1"/>
  <c r="AR25" i="2" s="1"/>
  <c r="E9" i="36"/>
  <c r="F10" i="36"/>
  <c r="AW11" i="2"/>
  <c r="AD178" i="33"/>
  <c r="BM314" i="2"/>
  <c r="AD45" i="33"/>
  <c r="AD51" i="33"/>
  <c r="AD56" i="33"/>
  <c r="AD82" i="33"/>
  <c r="AD91" i="33"/>
  <c r="AD96" i="33"/>
  <c r="AD115" i="33"/>
  <c r="AD124" i="33"/>
  <c r="AD130" i="33"/>
  <c r="AD144" i="33"/>
  <c r="AD150" i="33"/>
  <c r="AD156" i="33"/>
  <c r="AD162" i="33"/>
  <c r="AD182" i="33"/>
  <c r="AD196" i="33"/>
  <c r="AD212" i="33"/>
  <c r="AD223" i="33"/>
  <c r="AD229" i="33"/>
  <c r="U10" i="2"/>
  <c r="F8" i="36"/>
  <c r="AD58" i="33"/>
  <c r="AD84" i="33"/>
  <c r="BX60" i="2"/>
  <c r="D10" i="36"/>
  <c r="F9" i="36"/>
  <c r="BV44" i="2"/>
  <c r="BX44" i="2"/>
  <c r="CA70" i="2"/>
  <c r="CA56" i="2"/>
  <c r="CA50" i="2"/>
  <c r="CA45" i="2"/>
  <c r="CA60" i="2"/>
  <c r="CA49" i="2"/>
  <c r="CA44" i="2"/>
  <c r="CA64" i="2"/>
  <c r="CA52" i="2"/>
  <c r="CA68" i="2"/>
  <c r="CA47" i="2"/>
  <c r="CA67" i="2"/>
  <c r="CA46" i="2"/>
  <c r="CA63" i="2"/>
  <c r="CA51" i="2"/>
  <c r="CA58" i="2"/>
  <c r="CA57" i="2"/>
  <c r="CE10" i="2"/>
  <c r="CA16" i="2"/>
  <c r="CE17" i="2"/>
  <c r="BV56" i="2"/>
  <c r="BX57" i="2"/>
  <c r="CB57" i="2" s="1"/>
  <c r="BV58" i="2"/>
  <c r="CC23" i="2"/>
  <c r="BV60" i="2"/>
  <c r="BX63" i="2"/>
  <c r="CB63" i="2" s="1"/>
  <c r="H49" i="2"/>
  <c r="Q10" i="2"/>
  <c r="D8" i="36"/>
  <c r="W10" i="2"/>
  <c r="G8" i="36"/>
  <c r="AD57" i="33"/>
  <c r="AD63" i="33"/>
  <c r="AD83" i="33"/>
  <c r="AD116" i="33"/>
  <c r="AD157" i="33"/>
  <c r="AD163" i="33"/>
  <c r="AD177" i="33"/>
  <c r="AD183" i="33"/>
  <c r="AD188" i="33"/>
  <c r="AD214" i="33"/>
  <c r="AE228" i="43"/>
  <c r="AF228" i="43" s="1"/>
  <c r="BC16" i="43"/>
  <c r="BC25" i="43"/>
  <c r="AB201" i="33"/>
  <c r="AD176" i="33"/>
  <c r="AB103" i="33"/>
  <c r="AD77" i="33"/>
  <c r="AB137" i="33"/>
  <c r="AD110" i="33"/>
  <c r="AB237" i="33"/>
  <c r="AD209" i="33"/>
  <c r="AB71" i="33"/>
  <c r="AD44" i="33"/>
  <c r="AB169" i="33"/>
  <c r="AD143" i="33"/>
  <c r="AA30" i="33"/>
  <c r="AA26" i="33"/>
  <c r="AD26" i="33" s="1"/>
  <c r="AA33" i="33"/>
  <c r="AA31" i="33"/>
  <c r="AA32" i="33"/>
  <c r="N10" i="39"/>
  <c r="E13" i="39"/>
  <c r="I13" i="39"/>
  <c r="M13" i="39"/>
  <c r="AD40" i="43"/>
  <c r="AA16" i="33"/>
  <c r="G13" i="39"/>
  <c r="K13" i="39"/>
  <c r="AA12" i="33"/>
  <c r="AA18" i="33"/>
  <c r="AA25" i="33"/>
  <c r="F13" i="39"/>
  <c r="J13" i="39"/>
  <c r="D13" i="39"/>
  <c r="H13" i="39"/>
  <c r="L13" i="39"/>
  <c r="AA19" i="33"/>
  <c r="N7" i="39"/>
  <c r="N12" i="39"/>
  <c r="N11" i="39"/>
  <c r="N9" i="39"/>
  <c r="C14" i="39"/>
  <c r="C13" i="39"/>
  <c r="AA24" i="33"/>
  <c r="E19" i="33"/>
  <c r="F34" i="33" s="1"/>
  <c r="AH9" i="40"/>
  <c r="AH13" i="40"/>
  <c r="AH29" i="40"/>
  <c r="AH33" i="40"/>
  <c r="AH39" i="40"/>
  <c r="AH43" i="40"/>
  <c r="AH49" i="40"/>
  <c r="AH53" i="40"/>
  <c r="AH59" i="40"/>
  <c r="AH67" i="40"/>
  <c r="AH18" i="40"/>
  <c r="AH22" i="40"/>
  <c r="AH17" i="40"/>
  <c r="AH21" i="40"/>
  <c r="AA26" i="41"/>
  <c r="G19" i="5"/>
  <c r="AO23" i="5"/>
  <c r="AO25" i="5"/>
  <c r="AQ48" i="5"/>
  <c r="AO50" i="5"/>
  <c r="G10" i="5"/>
  <c r="G12" i="5"/>
  <c r="AO16" i="5"/>
  <c r="M42" i="5"/>
  <c r="G9" i="5"/>
  <c r="G11" i="5"/>
  <c r="G13" i="5"/>
  <c r="G15" i="5"/>
  <c r="AE35" i="5"/>
  <c r="G21" i="5"/>
  <c r="G28" i="5"/>
  <c r="S29" i="5"/>
  <c r="G30" i="5"/>
  <c r="AK40" i="5"/>
  <c r="Y41" i="5"/>
  <c r="G44" i="5"/>
  <c r="AE44" i="5"/>
  <c r="AO44" i="5"/>
  <c r="G46" i="5"/>
  <c r="G25" i="5"/>
  <c r="G41" i="5"/>
  <c r="AE41" i="5"/>
  <c r="AO41" i="5"/>
  <c r="M44" i="5"/>
  <c r="AK44" i="5"/>
  <c r="Y52" i="5"/>
  <c r="G52" i="5"/>
  <c r="AE52" i="5"/>
  <c r="G54" i="5"/>
  <c r="G56" i="5"/>
  <c r="G24" i="5"/>
  <c r="G38" i="5"/>
  <c r="S41" i="5"/>
  <c r="AA23" i="33"/>
  <c r="AA20" i="33"/>
  <c r="AA18" i="41"/>
  <c r="AA12" i="41"/>
  <c r="AA22" i="33"/>
  <c r="AD22" i="33" s="1"/>
  <c r="AA24" i="41"/>
  <c r="AA14" i="41"/>
  <c r="L31" i="41"/>
  <c r="R18" i="41"/>
  <c r="H24" i="41"/>
  <c r="P24" i="41"/>
  <c r="N22" i="41"/>
  <c r="V30" i="41"/>
  <c r="G19" i="41"/>
  <c r="H19" i="41" s="1"/>
  <c r="T19" i="41"/>
  <c r="X26" i="41"/>
  <c r="T33" i="41"/>
  <c r="AA31" i="41"/>
  <c r="R23" i="41"/>
  <c r="R30" i="41"/>
  <c r="N34" i="41"/>
  <c r="AA16" i="41"/>
  <c r="H31" i="41"/>
  <c r="T16" i="41"/>
  <c r="P19" i="41"/>
  <c r="N23" i="41"/>
  <c r="C27" i="41"/>
  <c r="D27" i="41" s="1"/>
  <c r="T28" i="41"/>
  <c r="D36" i="41"/>
  <c r="AA17" i="41"/>
  <c r="AA22" i="41"/>
  <c r="D12" i="41"/>
  <c r="D19" i="41"/>
  <c r="T39" i="41"/>
  <c r="AA25" i="41"/>
  <c r="D13" i="41"/>
  <c r="P16" i="41"/>
  <c r="N18" i="41"/>
  <c r="T25" i="41"/>
  <c r="O32" i="41"/>
  <c r="P32" i="41" s="1"/>
  <c r="N31" i="41"/>
  <c r="R33" i="41"/>
  <c r="H37" i="41"/>
  <c r="L14" i="41"/>
  <c r="L38" i="41"/>
  <c r="R12" i="41"/>
  <c r="G14" i="41"/>
  <c r="H14" i="41" s="1"/>
  <c r="X14" i="41"/>
  <c r="X24" i="41"/>
  <c r="L25" i="41"/>
  <c r="P28" i="41"/>
  <c r="L32" i="41"/>
  <c r="X34" i="41"/>
  <c r="AA30" i="41"/>
  <c r="L19" i="41"/>
  <c r="L11" i="41"/>
  <c r="G27" i="41"/>
  <c r="H27" i="41" s="1"/>
  <c r="L26" i="41"/>
  <c r="L36" i="41"/>
  <c r="R37" i="41"/>
  <c r="H11" i="41"/>
  <c r="X11" i="41"/>
  <c r="N12" i="41"/>
  <c r="N13" i="41"/>
  <c r="T14" i="41"/>
  <c r="L16" i="41"/>
  <c r="D17" i="41"/>
  <c r="X19" i="41"/>
  <c r="L24" i="41"/>
  <c r="H25" i="41"/>
  <c r="T26" i="41"/>
  <c r="L28" i="41"/>
  <c r="W32" i="41"/>
  <c r="X32" i="41" s="1"/>
  <c r="N30" i="41"/>
  <c r="D34" i="41"/>
  <c r="H35" i="41"/>
  <c r="N36" i="41"/>
  <c r="T37" i="41"/>
  <c r="X38" i="41"/>
  <c r="D11" i="41"/>
  <c r="P27" i="41"/>
  <c r="T11" i="41"/>
  <c r="P14" i="41"/>
  <c r="H16" i="41"/>
  <c r="X16" i="41"/>
  <c r="D18" i="41"/>
  <c r="V23" i="41"/>
  <c r="T24" i="41"/>
  <c r="P25" i="41"/>
  <c r="X25" i="41"/>
  <c r="H26" i="41"/>
  <c r="P26" i="41"/>
  <c r="M32" i="41"/>
  <c r="N32" i="41" s="1"/>
  <c r="S32" i="41"/>
  <c r="T32" i="41" s="1"/>
  <c r="X28" i="41"/>
  <c r="D31" i="41"/>
  <c r="H33" i="41"/>
  <c r="L34" i="41"/>
  <c r="T35" i="41"/>
  <c r="X36" i="41"/>
  <c r="H39" i="41"/>
  <c r="Z26" i="41"/>
  <c r="Z25" i="41"/>
  <c r="Z24" i="41"/>
  <c r="Z19" i="41"/>
  <c r="Z11" i="41"/>
  <c r="Z38" i="41"/>
  <c r="Z36" i="41"/>
  <c r="Z34" i="41"/>
  <c r="Z28" i="41"/>
  <c r="Z16" i="41"/>
  <c r="Z14" i="41"/>
  <c r="J17" i="41"/>
  <c r="Z17" i="41"/>
  <c r="J20" i="41"/>
  <c r="J27" i="41"/>
  <c r="J33" i="41"/>
  <c r="AA20" i="41"/>
  <c r="J38" i="41"/>
  <c r="J36" i="41"/>
  <c r="J34" i="41"/>
  <c r="J26" i="41"/>
  <c r="J25" i="41"/>
  <c r="J24" i="41"/>
  <c r="J19" i="41"/>
  <c r="J11" i="41"/>
  <c r="J39" i="41"/>
  <c r="J28" i="41"/>
  <c r="J16" i="41"/>
  <c r="J14" i="41"/>
  <c r="Z20" i="41"/>
  <c r="Z27" i="41"/>
  <c r="Z39" i="41"/>
  <c r="V26" i="41"/>
  <c r="V25" i="41"/>
  <c r="V24" i="41"/>
  <c r="V19" i="41"/>
  <c r="V11" i="41"/>
  <c r="V39" i="41"/>
  <c r="V37" i="41"/>
  <c r="V35" i="41"/>
  <c r="V33" i="41"/>
  <c r="V28" i="41"/>
  <c r="V16" i="41"/>
  <c r="V14" i="41"/>
  <c r="J13" i="41"/>
  <c r="Z13" i="41"/>
  <c r="V17" i="41"/>
  <c r="V20" i="41"/>
  <c r="J22" i="41"/>
  <c r="Z22" i="41"/>
  <c r="V27" i="41"/>
  <c r="I32" i="41"/>
  <c r="J32" i="41" s="1"/>
  <c r="Y32" i="41"/>
  <c r="Z32" i="41" s="1"/>
  <c r="J31" i="41"/>
  <c r="Z31" i="41"/>
  <c r="Z35" i="41"/>
  <c r="V36" i="41"/>
  <c r="R26" i="41"/>
  <c r="R25" i="41"/>
  <c r="R24" i="41"/>
  <c r="R19" i="41"/>
  <c r="R11" i="41"/>
  <c r="R38" i="41"/>
  <c r="R36" i="41"/>
  <c r="R34" i="41"/>
  <c r="R28" i="41"/>
  <c r="R16" i="41"/>
  <c r="R14" i="41"/>
  <c r="J12" i="41"/>
  <c r="Z12" i="41"/>
  <c r="V13" i="41"/>
  <c r="D16" i="41"/>
  <c r="R17" i="41"/>
  <c r="J18" i="41"/>
  <c r="Z18" i="41"/>
  <c r="R20" i="41"/>
  <c r="V22" i="41"/>
  <c r="R27" i="41"/>
  <c r="U32" i="41"/>
  <c r="V32" i="41" s="1"/>
  <c r="V31" i="41"/>
  <c r="J35" i="41"/>
  <c r="R39" i="41"/>
  <c r="D39" i="41"/>
  <c r="D37" i="41"/>
  <c r="D35" i="41"/>
  <c r="D33" i="41"/>
  <c r="D23" i="41"/>
  <c r="D22" i="41"/>
  <c r="D26" i="41"/>
  <c r="D25" i="41"/>
  <c r="D24" i="41"/>
  <c r="C14" i="41"/>
  <c r="C20" i="41" s="1"/>
  <c r="D20" i="41" s="1"/>
  <c r="N39" i="41"/>
  <c r="N37" i="41"/>
  <c r="N35" i="41"/>
  <c r="N33" i="41"/>
  <c r="N26" i="41"/>
  <c r="N25" i="41"/>
  <c r="N24" i="41"/>
  <c r="N19" i="41"/>
  <c r="N11" i="41"/>
  <c r="N28" i="41"/>
  <c r="N16" i="41"/>
  <c r="N14" i="41"/>
  <c r="V12" i="41"/>
  <c r="R13" i="41"/>
  <c r="N17" i="41"/>
  <c r="V18" i="41"/>
  <c r="N20" i="41"/>
  <c r="R22" i="41"/>
  <c r="J23" i="41"/>
  <c r="Z23" i="41"/>
  <c r="N27" i="41"/>
  <c r="Q32" i="41"/>
  <c r="R32" i="41" s="1"/>
  <c r="D30" i="41"/>
  <c r="J30" i="41"/>
  <c r="Z30" i="41"/>
  <c r="R31" i="41"/>
  <c r="Z33" i="41"/>
  <c r="V34" i="41"/>
  <c r="R35" i="41"/>
  <c r="Z37" i="41"/>
  <c r="V38" i="41"/>
  <c r="H22" i="41"/>
  <c r="L22" i="41"/>
  <c r="P22" i="41"/>
  <c r="T22" i="41"/>
  <c r="X22" i="41"/>
  <c r="H23" i="41"/>
  <c r="L23" i="41"/>
  <c r="P23" i="41"/>
  <c r="T23" i="41"/>
  <c r="X23" i="41"/>
  <c r="L27" i="41"/>
  <c r="T27" i="41"/>
  <c r="X27" i="41"/>
  <c r="L33" i="41"/>
  <c r="H34" i="41"/>
  <c r="L35" i="41"/>
  <c r="H36" i="41"/>
  <c r="L37" i="41"/>
  <c r="H38" i="41"/>
  <c r="L39" i="41"/>
  <c r="AA23" i="41"/>
  <c r="P35" i="41"/>
  <c r="P39" i="41"/>
  <c r="P37" i="41"/>
  <c r="P34" i="41"/>
  <c r="P38" i="41"/>
  <c r="P36" i="41"/>
  <c r="P33" i="41"/>
  <c r="H12" i="41"/>
  <c r="L12" i="41"/>
  <c r="P12" i="41"/>
  <c r="T12" i="41"/>
  <c r="X12" i="41"/>
  <c r="H13" i="41"/>
  <c r="L13" i="41"/>
  <c r="P13" i="41"/>
  <c r="T13" i="41"/>
  <c r="X13" i="41"/>
  <c r="H17" i="41"/>
  <c r="L17" i="41"/>
  <c r="P17" i="41"/>
  <c r="T17" i="41"/>
  <c r="X17" i="41"/>
  <c r="H18" i="41"/>
  <c r="L18" i="41"/>
  <c r="P18" i="41"/>
  <c r="T18" i="41"/>
  <c r="X18" i="41"/>
  <c r="L20" i="41"/>
  <c r="P20" i="41"/>
  <c r="T20" i="41"/>
  <c r="X20" i="41"/>
  <c r="H30" i="41"/>
  <c r="L30" i="41"/>
  <c r="P30" i="41"/>
  <c r="T30" i="41"/>
  <c r="X30" i="41"/>
  <c r="P31" i="41"/>
  <c r="T31" i="41"/>
  <c r="X31" i="41"/>
  <c r="X33" i="41"/>
  <c r="T34" i="41"/>
  <c r="X35" i="41"/>
  <c r="T36" i="41"/>
  <c r="X37" i="41"/>
  <c r="AA19" i="41"/>
  <c r="AA33" i="41"/>
  <c r="E19" i="41"/>
  <c r="F19" i="41" s="1"/>
  <c r="AB50" i="41"/>
  <c r="AB55" i="41"/>
  <c r="AB60" i="41"/>
  <c r="AB69" i="41"/>
  <c r="AB47" i="41"/>
  <c r="AB52" i="41"/>
  <c r="AB57" i="41"/>
  <c r="AB212" i="41"/>
  <c r="AB215" i="41"/>
  <c r="AB217" i="41"/>
  <c r="AB221" i="41"/>
  <c r="AB223" i="41"/>
  <c r="AB226" i="41"/>
  <c r="AB229" i="41"/>
  <c r="AB231" i="41"/>
  <c r="AB235" i="41"/>
  <c r="AB210" i="41"/>
  <c r="AB232" i="41"/>
  <c r="AB236" i="41"/>
  <c r="AB211" i="41"/>
  <c r="AB214" i="41"/>
  <c r="AB216" i="41"/>
  <c r="AB218" i="41"/>
  <c r="AB222" i="41"/>
  <c r="AB225" i="41"/>
  <c r="AB228" i="41"/>
  <c r="AB230" i="41"/>
  <c r="AB233" i="41"/>
  <c r="AB237" i="41"/>
  <c r="AB209" i="41"/>
  <c r="F11" i="41"/>
  <c r="AB145" i="41"/>
  <c r="AB167" i="41"/>
  <c r="AB171" i="41"/>
  <c r="AB146" i="41"/>
  <c r="AB149" i="41"/>
  <c r="AB151" i="41"/>
  <c r="AB153" i="41"/>
  <c r="AB156" i="41"/>
  <c r="AB158" i="41"/>
  <c r="AB160" i="41"/>
  <c r="AB163" i="41"/>
  <c r="AB165" i="41"/>
  <c r="AB168" i="41"/>
  <c r="AB172" i="41"/>
  <c r="AB144" i="41"/>
  <c r="AB169" i="41"/>
  <c r="AB147" i="41"/>
  <c r="AB150" i="41"/>
  <c r="AB152" i="41"/>
  <c r="AB155" i="41"/>
  <c r="AB157" i="41"/>
  <c r="AB159" i="41"/>
  <c r="AB161" i="41"/>
  <c r="AB164" i="41"/>
  <c r="AB166" i="41"/>
  <c r="AB178" i="41"/>
  <c r="AB181" i="41"/>
  <c r="AB183" i="41"/>
  <c r="AB185" i="41"/>
  <c r="AB189" i="41"/>
  <c r="AB192" i="41"/>
  <c r="AB195" i="41"/>
  <c r="AB197" i="41"/>
  <c r="AB200" i="41"/>
  <c r="AB176" i="41"/>
  <c r="AB201" i="41"/>
  <c r="AB179" i="41"/>
  <c r="AB182" i="41"/>
  <c r="AB184" i="41"/>
  <c r="AB188" i="41"/>
  <c r="AB190" i="41"/>
  <c r="AB193" i="41"/>
  <c r="AB196" i="41"/>
  <c r="AB198" i="41"/>
  <c r="AB202" i="41"/>
  <c r="AB177" i="41"/>
  <c r="AB199" i="41"/>
  <c r="AB80" i="41"/>
  <c r="AB104" i="41"/>
  <c r="AB81" i="41"/>
  <c r="AB84" i="41"/>
  <c r="AB86" i="41"/>
  <c r="AB88" i="41"/>
  <c r="AB91" i="41"/>
  <c r="AB93" i="41"/>
  <c r="AB96" i="41"/>
  <c r="AB99" i="41"/>
  <c r="AB101" i="41"/>
  <c r="AB105" i="41"/>
  <c r="AB79" i="41"/>
  <c r="AB102" i="41"/>
  <c r="AB106" i="41"/>
  <c r="AB82" i="41"/>
  <c r="AB85" i="41"/>
  <c r="AB87" i="41"/>
  <c r="AB90" i="41"/>
  <c r="AB92" i="41"/>
  <c r="AB95" i="41"/>
  <c r="AB98" i="41"/>
  <c r="AB100" i="41"/>
  <c r="AB103" i="41"/>
  <c r="F39" i="41"/>
  <c r="AB112" i="41"/>
  <c r="AB115" i="41"/>
  <c r="AB117" i="41"/>
  <c r="AB119" i="41"/>
  <c r="AB122" i="41"/>
  <c r="AB124" i="41"/>
  <c r="AB126" i="41"/>
  <c r="AB129" i="41"/>
  <c r="AB131" i="41"/>
  <c r="AB134" i="41"/>
  <c r="AB138" i="41"/>
  <c r="E14" i="41"/>
  <c r="F13" i="41"/>
  <c r="F37" i="41"/>
  <c r="AB110" i="41"/>
  <c r="AB135" i="41"/>
  <c r="F35" i="41"/>
  <c r="AB113" i="41"/>
  <c r="AB116" i="41"/>
  <c r="AB118" i="41"/>
  <c r="AB121" i="41"/>
  <c r="AB123" i="41"/>
  <c r="AB125" i="41"/>
  <c r="AB127" i="41"/>
  <c r="AB130" i="41"/>
  <c r="AB132" i="41"/>
  <c r="AB136" i="41"/>
  <c r="AB111" i="41"/>
  <c r="AB133" i="41"/>
  <c r="F12" i="41"/>
  <c r="AA11" i="41"/>
  <c r="F17" i="41"/>
  <c r="F22" i="41"/>
  <c r="F24" i="41"/>
  <c r="F26" i="41"/>
  <c r="F31" i="41"/>
  <c r="F33" i="41"/>
  <c r="F34" i="41"/>
  <c r="F38" i="41"/>
  <c r="AB45" i="41"/>
  <c r="AB64" i="41"/>
  <c r="AB66" i="41"/>
  <c r="AB70" i="41"/>
  <c r="AB46" i="41"/>
  <c r="AB49" i="41"/>
  <c r="AB51" i="41"/>
  <c r="AB53" i="41"/>
  <c r="AB56" i="41"/>
  <c r="AB58" i="41"/>
  <c r="AB67" i="41"/>
  <c r="AB71" i="41"/>
  <c r="F16" i="41"/>
  <c r="F18" i="41"/>
  <c r="F23" i="41"/>
  <c r="F25" i="41"/>
  <c r="F27" i="41"/>
  <c r="F30" i="41"/>
  <c r="AB44" i="41"/>
  <c r="AB63" i="41"/>
  <c r="AB65" i="41"/>
  <c r="AB68" i="41"/>
  <c r="AB78" i="33"/>
  <c r="AB104" i="33"/>
  <c r="AB100" i="33"/>
  <c r="AB77" i="33"/>
  <c r="AB102" i="33"/>
  <c r="F39" i="33"/>
  <c r="F36" i="33"/>
  <c r="F38" i="33"/>
  <c r="AA17" i="33"/>
  <c r="AA11" i="33"/>
  <c r="E27" i="33"/>
  <c r="F27" i="33" s="1"/>
  <c r="AB209" i="33"/>
  <c r="AB234" i="33"/>
  <c r="AB212" i="33"/>
  <c r="AB215" i="33"/>
  <c r="AB217" i="33"/>
  <c r="AB221" i="33"/>
  <c r="AB223" i="33"/>
  <c r="AB226" i="33"/>
  <c r="AB229" i="33"/>
  <c r="AB231" i="33"/>
  <c r="AB235" i="33"/>
  <c r="AB210" i="33"/>
  <c r="AB232" i="33"/>
  <c r="AB236" i="33"/>
  <c r="AB211" i="33"/>
  <c r="AB214" i="33"/>
  <c r="AB216" i="33"/>
  <c r="AB218" i="33"/>
  <c r="AB222" i="33"/>
  <c r="AB225" i="33"/>
  <c r="AB228" i="33"/>
  <c r="AB230" i="33"/>
  <c r="AB233" i="33"/>
  <c r="AB179" i="33"/>
  <c r="AB182" i="33"/>
  <c r="AB184" i="33"/>
  <c r="AB187" i="33"/>
  <c r="AB189" i="33"/>
  <c r="AB191" i="33"/>
  <c r="AB193" i="33"/>
  <c r="AB196" i="33"/>
  <c r="AB198" i="33"/>
  <c r="AB202" i="33"/>
  <c r="AB177" i="33"/>
  <c r="AB199" i="33"/>
  <c r="AB203" i="33"/>
  <c r="AB178" i="33"/>
  <c r="AB181" i="33"/>
  <c r="AB183" i="33"/>
  <c r="AB185" i="33"/>
  <c r="AB188" i="33"/>
  <c r="AB190" i="33"/>
  <c r="AB192" i="33"/>
  <c r="AB195" i="33"/>
  <c r="AB197" i="33"/>
  <c r="AB200" i="33"/>
  <c r="AB204" i="33"/>
  <c r="AB176" i="33"/>
  <c r="AB144" i="33"/>
  <c r="AB166" i="33"/>
  <c r="AB170" i="33"/>
  <c r="AB145" i="33"/>
  <c r="AB148" i="33"/>
  <c r="AB150" i="33"/>
  <c r="AB152" i="33"/>
  <c r="AB156" i="33"/>
  <c r="AB159" i="33"/>
  <c r="AB162" i="33"/>
  <c r="AB164" i="33"/>
  <c r="AB167" i="33"/>
  <c r="AB171" i="33"/>
  <c r="AB143" i="33"/>
  <c r="AB168" i="33"/>
  <c r="AB146" i="33"/>
  <c r="AB149" i="33"/>
  <c r="AB151" i="33"/>
  <c r="AB155" i="33"/>
  <c r="AB157" i="33"/>
  <c r="AB160" i="33"/>
  <c r="AB163" i="33"/>
  <c r="AB165" i="33"/>
  <c r="AB113" i="33"/>
  <c r="AB116" i="33"/>
  <c r="AB118" i="33"/>
  <c r="AB121" i="33"/>
  <c r="AB123" i="33"/>
  <c r="AB126" i="33"/>
  <c r="AB129" i="33"/>
  <c r="AB131" i="33"/>
  <c r="AB134" i="33"/>
  <c r="AB138" i="33"/>
  <c r="AB111" i="33"/>
  <c r="AB135" i="33"/>
  <c r="AB112" i="33"/>
  <c r="AB115" i="33"/>
  <c r="AB117" i="33"/>
  <c r="AB119" i="33"/>
  <c r="AB122" i="33"/>
  <c r="AB124" i="33"/>
  <c r="AB127" i="33"/>
  <c r="AB130" i="33"/>
  <c r="AB132" i="33"/>
  <c r="AB136" i="33"/>
  <c r="AB110" i="33"/>
  <c r="AB133" i="33"/>
  <c r="AB79" i="33"/>
  <c r="AB82" i="33"/>
  <c r="AB84" i="33"/>
  <c r="AB86" i="33"/>
  <c r="AB89" i="33"/>
  <c r="AB91" i="33"/>
  <c r="AB93" i="33"/>
  <c r="AB96" i="33"/>
  <c r="AB98" i="33"/>
  <c r="AB101" i="33"/>
  <c r="AB105" i="33"/>
  <c r="F12" i="33"/>
  <c r="AB80" i="33"/>
  <c r="AB83" i="33"/>
  <c r="AB85" i="33"/>
  <c r="AB88" i="33"/>
  <c r="AB90" i="33"/>
  <c r="AB92" i="33"/>
  <c r="AB94" i="33"/>
  <c r="AB97" i="33"/>
  <c r="AB99" i="33"/>
  <c r="F11" i="33"/>
  <c r="F13" i="33"/>
  <c r="E14" i="33"/>
  <c r="F37" i="33"/>
  <c r="AB47" i="33"/>
  <c r="AB50" i="33"/>
  <c r="AB52" i="33"/>
  <c r="AB55" i="33"/>
  <c r="AB57" i="33"/>
  <c r="AB60" i="33"/>
  <c r="AB63" i="33"/>
  <c r="AB65" i="33"/>
  <c r="AB68" i="33"/>
  <c r="AB72" i="33"/>
  <c r="F17" i="33"/>
  <c r="F22" i="33"/>
  <c r="F24" i="33"/>
  <c r="F26" i="33"/>
  <c r="F31" i="33"/>
  <c r="AB45" i="33"/>
  <c r="AB69" i="33"/>
  <c r="AB46" i="33"/>
  <c r="AB49" i="33"/>
  <c r="AB51" i="33"/>
  <c r="AB53" i="33"/>
  <c r="AB56" i="33"/>
  <c r="AB58" i="33"/>
  <c r="AB61" i="33"/>
  <c r="AB64" i="33"/>
  <c r="AB66" i="33"/>
  <c r="AB70" i="33"/>
  <c r="F16" i="33"/>
  <c r="F18" i="33"/>
  <c r="F23" i="33"/>
  <c r="F25" i="33"/>
  <c r="F30" i="33"/>
  <c r="AB44" i="33"/>
  <c r="AB67" i="33"/>
  <c r="I116" i="2"/>
  <c r="D192" i="2"/>
  <c r="AK230" i="2"/>
  <c r="Y9" i="2"/>
  <c r="Z32" i="2" s="1"/>
  <c r="D86" i="2"/>
  <c r="R16" i="2" s="1"/>
  <c r="K85" i="2"/>
  <c r="J119" i="2"/>
  <c r="AI14" i="2"/>
  <c r="H154" i="2"/>
  <c r="AM120" i="2"/>
  <c r="L127" i="2"/>
  <c r="K228" i="2"/>
  <c r="G9" i="2"/>
  <c r="H20" i="2" s="1"/>
  <c r="BA16" i="2"/>
  <c r="AN45" i="2"/>
  <c r="D115" i="2"/>
  <c r="K162" i="2"/>
  <c r="AF229" i="2"/>
  <c r="BB15" i="2" s="1"/>
  <c r="S9" i="2"/>
  <c r="K49" i="2"/>
  <c r="AL80" i="2"/>
  <c r="BK264" i="2"/>
  <c r="BP264" i="2" s="1"/>
  <c r="G87" i="2"/>
  <c r="D33" i="36" s="1"/>
  <c r="AJ127" i="2"/>
  <c r="AM116" i="2"/>
  <c r="L192" i="2"/>
  <c r="AM193" i="2"/>
  <c r="I223" i="2"/>
  <c r="AJ237" i="2"/>
  <c r="AL229" i="2"/>
  <c r="S11" i="2"/>
  <c r="CE12" i="2"/>
  <c r="BY15" i="2"/>
  <c r="I20" i="2"/>
  <c r="K20" i="2"/>
  <c r="BG25" i="2"/>
  <c r="BT60" i="2" s="1"/>
  <c r="CC21" i="2"/>
  <c r="BY22" i="2"/>
  <c r="CC22" i="2"/>
  <c r="CA25" i="2"/>
  <c r="BW28" i="2"/>
  <c r="CA28" i="2"/>
  <c r="CE28" i="2"/>
  <c r="BW32" i="2"/>
  <c r="CC33" i="2"/>
  <c r="F49" i="2"/>
  <c r="AE14" i="2"/>
  <c r="L86" i="2"/>
  <c r="E130" i="2"/>
  <c r="F130" i="2" s="1"/>
  <c r="AG165" i="2"/>
  <c r="AH165" i="2" s="1"/>
  <c r="AL199" i="2"/>
  <c r="AK237" i="2"/>
  <c r="BO314" i="2"/>
  <c r="H64" i="2"/>
  <c r="K237" i="2"/>
  <c r="W9" i="2"/>
  <c r="X33" i="2" s="1"/>
  <c r="BY11" i="2"/>
  <c r="BW22" i="2"/>
  <c r="CA22" i="2"/>
  <c r="CE22" i="2"/>
  <c r="BY23" i="2"/>
  <c r="BY28" i="2"/>
  <c r="CC28" i="2"/>
  <c r="BY29" i="2"/>
  <c r="CA32" i="2"/>
  <c r="C60" i="2"/>
  <c r="D60" i="2" s="1"/>
  <c r="P25" i="2" s="1"/>
  <c r="F127" i="2"/>
  <c r="AH168" i="2"/>
  <c r="AF199" i="2"/>
  <c r="AZ21" i="2" s="1"/>
  <c r="BH15" i="2"/>
  <c r="BH23" i="2"/>
  <c r="BH21" i="2"/>
  <c r="CF15" i="2"/>
  <c r="BH9" i="2"/>
  <c r="CF16" i="2"/>
  <c r="CF20" i="2"/>
  <c r="BH22" i="2"/>
  <c r="AM84" i="2"/>
  <c r="AS14" i="2"/>
  <c r="I120" i="2"/>
  <c r="S15" i="2"/>
  <c r="G157" i="2"/>
  <c r="F33" i="36" s="1"/>
  <c r="AM156" i="2"/>
  <c r="AN156" i="2"/>
  <c r="AW16" i="2"/>
  <c r="BG4" i="2"/>
  <c r="E9" i="2"/>
  <c r="F68" i="2" s="1"/>
  <c r="O9" i="2"/>
  <c r="BW21" i="2"/>
  <c r="BW15" i="2"/>
  <c r="CA21" i="2"/>
  <c r="CA15" i="2"/>
  <c r="CE21" i="2"/>
  <c r="CE15" i="2"/>
  <c r="Q15" i="2"/>
  <c r="BW16" i="2"/>
  <c r="BW23" i="2"/>
  <c r="CA23" i="2"/>
  <c r="CE23" i="2"/>
  <c r="BW25" i="2"/>
  <c r="BH28" i="2"/>
  <c r="BW29" i="2"/>
  <c r="CA29" i="2"/>
  <c r="CE29" i="2"/>
  <c r="BW33" i="2"/>
  <c r="CA35" i="2"/>
  <c r="H46" i="2"/>
  <c r="H44" i="2"/>
  <c r="AK155" i="2"/>
  <c r="AW15" i="2"/>
  <c r="J199" i="2"/>
  <c r="BG232" i="2"/>
  <c r="BH232" i="2" s="1"/>
  <c r="Q9" i="2"/>
  <c r="R33" i="2" s="1"/>
  <c r="BH29" i="2"/>
  <c r="F64" i="2"/>
  <c r="AI16" i="2"/>
  <c r="AG16" i="2"/>
  <c r="BA25" i="2"/>
  <c r="CF28" i="2"/>
  <c r="AL49" i="2"/>
  <c r="I85" i="2"/>
  <c r="AK98" i="2"/>
  <c r="AK161" i="2"/>
  <c r="AH187" i="2"/>
  <c r="AH193" i="2"/>
  <c r="H242" i="2"/>
  <c r="H224" i="2"/>
  <c r="BY16" i="2"/>
  <c r="CC16" i="2"/>
  <c r="BY25" i="2"/>
  <c r="CC25" i="2"/>
  <c r="CF29" i="2"/>
  <c r="CC32" i="2"/>
  <c r="BY33" i="2"/>
  <c r="CC35" i="2"/>
  <c r="G21" i="2"/>
  <c r="K58" i="2"/>
  <c r="AK58" i="2"/>
  <c r="G95" i="2"/>
  <c r="H95" i="2" s="1"/>
  <c r="I127" i="2"/>
  <c r="E190" i="2"/>
  <c r="F190" i="2" s="1"/>
  <c r="AJ199" i="2"/>
  <c r="J194" i="2"/>
  <c r="L199" i="2"/>
  <c r="AE203" i="2"/>
  <c r="AF203" i="2" s="1"/>
  <c r="AZ25" i="2" s="1"/>
  <c r="AM207" i="2"/>
  <c r="J229" i="2"/>
  <c r="AK229" i="2"/>
  <c r="AM121" i="2"/>
  <c r="K126" i="2"/>
  <c r="AK162" i="2"/>
  <c r="AM199" i="2"/>
  <c r="E14" i="2"/>
  <c r="L229" i="2"/>
  <c r="BG278" i="2"/>
  <c r="BH278" i="2" s="1"/>
  <c r="J149" i="2"/>
  <c r="D126" i="2"/>
  <c r="T21" i="2" s="1"/>
  <c r="F129" i="2"/>
  <c r="AK200" i="2"/>
  <c r="AH224" i="2"/>
  <c r="H230" i="2"/>
  <c r="H236" i="2"/>
  <c r="AY9" i="2"/>
  <c r="AY15" i="2"/>
  <c r="AQ21" i="2"/>
  <c r="AQ25" i="2" s="1"/>
  <c r="U22" i="2"/>
  <c r="U25" i="2" s="1"/>
  <c r="O23" i="2"/>
  <c r="Y23" i="2"/>
  <c r="AG52" i="2"/>
  <c r="AH52" i="2" s="1"/>
  <c r="AK50" i="2"/>
  <c r="AG21" i="2"/>
  <c r="F58" i="2"/>
  <c r="AF84" i="2"/>
  <c r="AT14" i="2" s="1"/>
  <c r="AK79" i="2"/>
  <c r="AM86" i="2"/>
  <c r="D90" i="2"/>
  <c r="AM93" i="2"/>
  <c r="AK93" i="2"/>
  <c r="F98" i="2"/>
  <c r="AJ98" i="2"/>
  <c r="H114" i="2"/>
  <c r="AM115" i="2"/>
  <c r="J120" i="2"/>
  <c r="J121" i="2"/>
  <c r="K128" i="2"/>
  <c r="I134" i="2"/>
  <c r="AG152" i="2"/>
  <c r="AH152" i="2" s="1"/>
  <c r="AH160" i="2"/>
  <c r="F161" i="2"/>
  <c r="AN161" i="2"/>
  <c r="AE165" i="2"/>
  <c r="AF165" i="2" s="1"/>
  <c r="AX25" i="2" s="1"/>
  <c r="BP189" i="2"/>
  <c r="AF193" i="2"/>
  <c r="AZ15" i="2" s="1"/>
  <c r="L223" i="2"/>
  <c r="J236" i="2"/>
  <c r="L236" i="2"/>
  <c r="F93" i="2"/>
  <c r="AK51" i="2"/>
  <c r="D149" i="2"/>
  <c r="V9" i="2" s="1"/>
  <c r="D160" i="2"/>
  <c r="AH199" i="2"/>
  <c r="U9" i="2"/>
  <c r="O10" i="2"/>
  <c r="AU11" i="2"/>
  <c r="AQ14" i="2"/>
  <c r="AW21" i="2"/>
  <c r="AW22" i="2"/>
  <c r="AE23" i="2"/>
  <c r="AQ23" i="2"/>
  <c r="BA23" i="2"/>
  <c r="AS28" i="2"/>
  <c r="AK45" i="2"/>
  <c r="AI52" i="2"/>
  <c r="AJ52" i="2" s="1"/>
  <c r="AL51" i="2"/>
  <c r="F56" i="2"/>
  <c r="AN56" i="2"/>
  <c r="AF79" i="2"/>
  <c r="AT9" i="2" s="1"/>
  <c r="AF93" i="2"/>
  <c r="AT23" i="2" s="1"/>
  <c r="AL115" i="2"/>
  <c r="L119" i="2"/>
  <c r="L120" i="2"/>
  <c r="AN127" i="2"/>
  <c r="AK134" i="2"/>
  <c r="AH154" i="2"/>
  <c r="J155" i="2"/>
  <c r="F156" i="2"/>
  <c r="AM162" i="2"/>
  <c r="E195" i="2"/>
  <c r="G32" i="36" s="1"/>
  <c r="K194" i="2"/>
  <c r="G203" i="2"/>
  <c r="H203" i="2" s="1"/>
  <c r="D223" i="2"/>
  <c r="Z9" i="2" s="1"/>
  <c r="H225" i="2"/>
  <c r="G226" i="2"/>
  <c r="H226" i="2" s="1"/>
  <c r="D229" i="2"/>
  <c r="Z15" i="2" s="1"/>
  <c r="AJ229" i="2"/>
  <c r="AH235" i="2"/>
  <c r="D236" i="2"/>
  <c r="Z22" i="2" s="1"/>
  <c r="E60" i="2"/>
  <c r="E22" i="2"/>
  <c r="I57" i="2"/>
  <c r="K154" i="2"/>
  <c r="U14" i="2"/>
  <c r="K168" i="2"/>
  <c r="U28" i="2"/>
  <c r="D168" i="2"/>
  <c r="V28" i="2" s="1"/>
  <c r="AT32" i="2"/>
  <c r="AI28" i="2"/>
  <c r="E29" i="2"/>
  <c r="AH58" i="2"/>
  <c r="AH63" i="2"/>
  <c r="AH51" i="2"/>
  <c r="AH49" i="2"/>
  <c r="AG47" i="2"/>
  <c r="AH47" i="2" s="1"/>
  <c r="I45" i="2"/>
  <c r="AH45" i="2"/>
  <c r="AM46" i="2"/>
  <c r="AQ11" i="2"/>
  <c r="C47" i="2"/>
  <c r="D47" i="2" s="1"/>
  <c r="P12" i="2" s="1"/>
  <c r="AK63" i="2"/>
  <c r="AE28" i="2"/>
  <c r="AN64" i="2"/>
  <c r="AI29" i="2"/>
  <c r="K91" i="2"/>
  <c r="C21" i="2"/>
  <c r="AN92" i="2"/>
  <c r="AI22" i="2"/>
  <c r="AH134" i="2"/>
  <c r="AH125" i="2"/>
  <c r="AH121" i="2"/>
  <c r="K115" i="2"/>
  <c r="AH115" i="2"/>
  <c r="AH120" i="2"/>
  <c r="AM126" i="2"/>
  <c r="AE130" i="2"/>
  <c r="AF130" i="2" s="1"/>
  <c r="AV25" i="2" s="1"/>
  <c r="AU21" i="2"/>
  <c r="AU25" i="2" s="1"/>
  <c r="K189" i="2"/>
  <c r="I189" i="2"/>
  <c r="BN189" i="2"/>
  <c r="BM189" i="2"/>
  <c r="AF223" i="2"/>
  <c r="BB9" i="2" s="1"/>
  <c r="AF228" i="2"/>
  <c r="BB14" i="2" s="1"/>
  <c r="AM223" i="2"/>
  <c r="BA9" i="2"/>
  <c r="AF242" i="2"/>
  <c r="BB28" i="2" s="1"/>
  <c r="AF225" i="2"/>
  <c r="BB11" i="2" s="1"/>
  <c r="AL223" i="2"/>
  <c r="BP225" i="2"/>
  <c r="BO225" i="2"/>
  <c r="AG9" i="2"/>
  <c r="AG10" i="2"/>
  <c r="BK11" i="2"/>
  <c r="BP11" i="2" s="1"/>
  <c r="O14" i="2"/>
  <c r="G22" i="2"/>
  <c r="AQ28" i="2"/>
  <c r="AE29" i="2"/>
  <c r="H55" i="2"/>
  <c r="H51" i="2"/>
  <c r="H50" i="2"/>
  <c r="L44" i="2"/>
  <c r="AH44" i="2"/>
  <c r="D45" i="2"/>
  <c r="K45" i="2"/>
  <c r="L49" i="2"/>
  <c r="G14" i="2"/>
  <c r="AG22" i="2"/>
  <c r="H58" i="2"/>
  <c r="AL63" i="2"/>
  <c r="AG28" i="2"/>
  <c r="AJ79" i="2"/>
  <c r="AJ93" i="2"/>
  <c r="AJ90" i="2"/>
  <c r="AJ84" i="2"/>
  <c r="AN79" i="2"/>
  <c r="J80" i="2"/>
  <c r="I80" i="2"/>
  <c r="H127" i="2"/>
  <c r="H126" i="2"/>
  <c r="H120" i="2"/>
  <c r="L114" i="2"/>
  <c r="AH114" i="2"/>
  <c r="L115" i="2"/>
  <c r="AK121" i="2"/>
  <c r="AM149" i="2"/>
  <c r="AF160" i="2"/>
  <c r="AF163" i="2"/>
  <c r="AX23" i="2" s="1"/>
  <c r="AW9" i="2"/>
  <c r="AL149" i="2"/>
  <c r="AF149" i="2"/>
  <c r="AX9" i="2" s="1"/>
  <c r="AF162" i="2"/>
  <c r="AX22" i="2" s="1"/>
  <c r="H163" i="2"/>
  <c r="H168" i="2"/>
  <c r="AL188" i="2"/>
  <c r="F189" i="2"/>
  <c r="K199" i="2"/>
  <c r="I199" i="2"/>
  <c r="W21" i="2"/>
  <c r="BG76" i="2"/>
  <c r="E165" i="2"/>
  <c r="F165" i="2" s="1"/>
  <c r="I162" i="2"/>
  <c r="E203" i="2"/>
  <c r="F203" i="2" s="1"/>
  <c r="I242" i="2"/>
  <c r="D242" i="2"/>
  <c r="Z28" i="2" s="1"/>
  <c r="Y28" i="2"/>
  <c r="K242" i="2"/>
  <c r="BT6" i="2"/>
  <c r="C10" i="2"/>
  <c r="AE16" i="2"/>
  <c r="AU16" i="2"/>
  <c r="Q21" i="2"/>
  <c r="AG23" i="2"/>
  <c r="AL23" i="2" s="1"/>
  <c r="C28" i="2"/>
  <c r="AY29" i="2"/>
  <c r="D55" i="2"/>
  <c r="D46" i="2"/>
  <c r="P11" i="2" s="1"/>
  <c r="D44" i="2"/>
  <c r="P9" i="2" s="1"/>
  <c r="I46" i="2"/>
  <c r="K46" i="2"/>
  <c r="C11" i="2"/>
  <c r="D49" i="2"/>
  <c r="P14" i="2" s="1"/>
  <c r="AK49" i="2"/>
  <c r="AM49" i="2"/>
  <c r="AM51" i="2"/>
  <c r="AQ16" i="2"/>
  <c r="AN51" i="2"/>
  <c r="AH55" i="2"/>
  <c r="AM63" i="2"/>
  <c r="AK80" i="2"/>
  <c r="K81" i="2"/>
  <c r="Q11" i="2"/>
  <c r="K92" i="2"/>
  <c r="Q22" i="2"/>
  <c r="D121" i="2"/>
  <c r="T16" i="2" s="1"/>
  <c r="D120" i="2"/>
  <c r="T15" i="2" s="1"/>
  <c r="D125" i="2"/>
  <c r="I114" i="2"/>
  <c r="D114" i="2"/>
  <c r="T9" i="2" s="1"/>
  <c r="I121" i="2"/>
  <c r="L121" i="2"/>
  <c r="K121" i="2"/>
  <c r="S16" i="2"/>
  <c r="AL126" i="2"/>
  <c r="J128" i="2"/>
  <c r="I128" i="2"/>
  <c r="AJ156" i="2"/>
  <c r="AJ163" i="2"/>
  <c r="D154" i="2"/>
  <c r="L154" i="2"/>
  <c r="H155" i="2"/>
  <c r="L155" i="2"/>
  <c r="F199" i="2"/>
  <c r="F193" i="2"/>
  <c r="J187" i="2"/>
  <c r="F187" i="2"/>
  <c r="F201" i="2"/>
  <c r="AJ207" i="2"/>
  <c r="AN187" i="2"/>
  <c r="AJ201" i="2"/>
  <c r="AJ194" i="2"/>
  <c r="AJ187" i="2"/>
  <c r="AM192" i="2"/>
  <c r="AK192" i="2"/>
  <c r="AJ193" i="2"/>
  <c r="I201" i="2"/>
  <c r="K201" i="2"/>
  <c r="W23" i="2"/>
  <c r="AM201" i="2"/>
  <c r="AK201" i="2"/>
  <c r="AY23" i="2"/>
  <c r="F207" i="2"/>
  <c r="AK207" i="2"/>
  <c r="AL207" i="2"/>
  <c r="AM229" i="2"/>
  <c r="AN229" i="2"/>
  <c r="CF22" i="2"/>
  <c r="CF23" i="2"/>
  <c r="AL45" i="2"/>
  <c r="I49" i="2"/>
  <c r="J49" i="2"/>
  <c r="I56" i="2"/>
  <c r="K56" i="2"/>
  <c r="J56" i="2"/>
  <c r="AM58" i="2"/>
  <c r="I64" i="2"/>
  <c r="K64" i="2"/>
  <c r="BO81" i="2"/>
  <c r="F84" i="2"/>
  <c r="AN84" i="2"/>
  <c r="F90" i="2"/>
  <c r="E95" i="2"/>
  <c r="F95" i="2" s="1"/>
  <c r="K99" i="2"/>
  <c r="K119" i="2"/>
  <c r="C122" i="2"/>
  <c r="AM134" i="2"/>
  <c r="AM151" i="2"/>
  <c r="I156" i="2"/>
  <c r="K156" i="2"/>
  <c r="J156" i="2"/>
  <c r="K163" i="2"/>
  <c r="I163" i="2"/>
  <c r="AK163" i="2"/>
  <c r="AM163" i="2"/>
  <c r="AJ168" i="2"/>
  <c r="AN168" i="2"/>
  <c r="AF207" i="2"/>
  <c r="AZ29" i="2" s="1"/>
  <c r="AF201" i="2"/>
  <c r="AZ23" i="2" s="1"/>
  <c r="AE190" i="2"/>
  <c r="AY12" i="2" s="1"/>
  <c r="AF189" i="2"/>
  <c r="AZ11" i="2" s="1"/>
  <c r="J188" i="2"/>
  <c r="L193" i="2"/>
  <c r="AK236" i="2"/>
  <c r="AL236" i="2"/>
  <c r="G10" i="2"/>
  <c r="AQ10" i="2"/>
  <c r="BV11" i="2"/>
  <c r="BV46" i="2" s="1"/>
  <c r="BZ11" i="2"/>
  <c r="BX46" i="2" s="1"/>
  <c r="U16" i="2"/>
  <c r="O21" i="2"/>
  <c r="C23" i="2"/>
  <c r="AU29" i="2"/>
  <c r="AM45" i="2"/>
  <c r="AN49" i="2"/>
  <c r="AM56" i="2"/>
  <c r="AM64" i="2"/>
  <c r="AK64" i="2"/>
  <c r="F79" i="2"/>
  <c r="AH86" i="2"/>
  <c r="L85" i="2"/>
  <c r="L91" i="2"/>
  <c r="K98" i="2"/>
  <c r="I98" i="2"/>
  <c r="F133" i="2"/>
  <c r="AK116" i="2"/>
  <c r="BN116" i="2"/>
  <c r="AK128" i="2"/>
  <c r="H162" i="2"/>
  <c r="H160" i="2"/>
  <c r="L149" i="2"/>
  <c r="H149" i="2"/>
  <c r="I155" i="2"/>
  <c r="K155" i="2"/>
  <c r="AI165" i="2"/>
  <c r="AN162" i="2"/>
  <c r="AK169" i="2"/>
  <c r="AM169" i="2"/>
  <c r="AF187" i="2"/>
  <c r="AZ9" i="2" s="1"/>
  <c r="AL187" i="2"/>
  <c r="AN193" i="2"/>
  <c r="AJ242" i="2"/>
  <c r="AJ223" i="2"/>
  <c r="AI226" i="2"/>
  <c r="AN226" i="2" s="1"/>
  <c r="AJ225" i="2"/>
  <c r="AJ224" i="2"/>
  <c r="AE231" i="2"/>
  <c r="BA17" i="2" s="1"/>
  <c r="AM235" i="2"/>
  <c r="AH236" i="2"/>
  <c r="G239" i="2"/>
  <c r="H239" i="2" s="1"/>
  <c r="L57" i="2"/>
  <c r="AI60" i="2"/>
  <c r="I58" i="2"/>
  <c r="J58" i="2"/>
  <c r="K63" i="2"/>
  <c r="K86" i="2"/>
  <c r="I86" i="2"/>
  <c r="AM92" i="2"/>
  <c r="I93" i="2"/>
  <c r="AJ134" i="2"/>
  <c r="AJ129" i="2"/>
  <c r="AK115" i="2"/>
  <c r="F119" i="2"/>
  <c r="AN121" i="2"/>
  <c r="AH126" i="2"/>
  <c r="AM127" i="2"/>
  <c r="AK127" i="2"/>
  <c r="AH169" i="2"/>
  <c r="AH164" i="2"/>
  <c r="AH163" i="2"/>
  <c r="AH155" i="2"/>
  <c r="AH149" i="2"/>
  <c r="AH151" i="2"/>
  <c r="AL151" i="2"/>
  <c r="D163" i="2"/>
  <c r="V23" i="2" s="1"/>
  <c r="AJ189" i="2"/>
  <c r="AN189" i="2"/>
  <c r="AG190" i="2"/>
  <c r="AH190" i="2" s="1"/>
  <c r="AH192" i="2"/>
  <c r="AH207" i="2"/>
  <c r="H235" i="2"/>
  <c r="H223" i="2"/>
  <c r="AH229" i="2"/>
  <c r="AG226" i="2"/>
  <c r="AH226" i="2" s="1"/>
  <c r="K229" i="2"/>
  <c r="H229" i="2"/>
  <c r="AN230" i="2"/>
  <c r="AI239" i="2"/>
  <c r="AJ239" i="2" s="1"/>
  <c r="AN115" i="2"/>
  <c r="K120" i="2"/>
  <c r="G122" i="2"/>
  <c r="E33" i="36" s="1"/>
  <c r="AG122" i="2"/>
  <c r="AH122" i="2" s="1"/>
  <c r="AN126" i="2"/>
  <c r="AL127" i="2"/>
  <c r="AI130" i="2"/>
  <c r="I133" i="2"/>
  <c r="K134" i="2"/>
  <c r="AM161" i="2"/>
  <c r="K192" i="2"/>
  <c r="I192" i="2"/>
  <c r="AK193" i="2"/>
  <c r="AL193" i="2"/>
  <c r="F194" i="2"/>
  <c r="AK199" i="2"/>
  <c r="AN199" i="2"/>
  <c r="AM200" i="2"/>
  <c r="AI203" i="2"/>
  <c r="D224" i="2"/>
  <c r="Z10" i="2" s="1"/>
  <c r="I228" i="2"/>
  <c r="AK228" i="2"/>
  <c r="I229" i="2"/>
  <c r="AM236" i="2"/>
  <c r="AM242" i="2"/>
  <c r="AJ243" i="2"/>
  <c r="AJ63" i="2"/>
  <c r="AJ55" i="2"/>
  <c r="AJ50" i="2"/>
  <c r="AI47" i="2"/>
  <c r="AJ47" i="2" s="1"/>
  <c r="AJ45" i="2"/>
  <c r="AJ58" i="2"/>
  <c r="AJ49" i="2"/>
  <c r="AI9" i="2"/>
  <c r="AJ51" i="2"/>
  <c r="AJ44" i="2"/>
  <c r="H98" i="2"/>
  <c r="H85" i="2"/>
  <c r="G82" i="2"/>
  <c r="H82" i="2" s="1"/>
  <c r="H80" i="2"/>
  <c r="H93" i="2"/>
  <c r="H90" i="2"/>
  <c r="H84" i="2"/>
  <c r="L79" i="2"/>
  <c r="H79" i="2"/>
  <c r="H99" i="2"/>
  <c r="H91" i="2"/>
  <c r="H81" i="2"/>
  <c r="AI10" i="2"/>
  <c r="AJ80" i="2"/>
  <c r="AE87" i="2"/>
  <c r="AD118" i="33" s="1"/>
  <c r="AK85" i="2"/>
  <c r="AN85" i="2"/>
  <c r="AK91" i="2"/>
  <c r="AF91" i="2"/>
  <c r="AT21" i="2" s="1"/>
  <c r="AS21" i="2"/>
  <c r="AS25" i="2" s="1"/>
  <c r="AE21" i="2"/>
  <c r="AM91" i="2"/>
  <c r="G23" i="2"/>
  <c r="L23" i="2" s="1"/>
  <c r="AS15" i="2"/>
  <c r="AY25" i="2"/>
  <c r="AN44" i="2"/>
  <c r="J45" i="2"/>
  <c r="E10" i="2"/>
  <c r="AQ15" i="2"/>
  <c r="AM50" i="2"/>
  <c r="AL50" i="2"/>
  <c r="AJ56" i="2"/>
  <c r="K57" i="2"/>
  <c r="O22" i="2"/>
  <c r="AE22" i="2"/>
  <c r="AM57" i="2"/>
  <c r="AJ57" i="2"/>
  <c r="AG29" i="2"/>
  <c r="AL64" i="2"/>
  <c r="AH64" i="2"/>
  <c r="E82" i="2"/>
  <c r="F80" i="2"/>
  <c r="I84" i="2"/>
  <c r="Q14" i="2"/>
  <c r="C14" i="2"/>
  <c r="C87" i="2"/>
  <c r="D31" i="36" s="1"/>
  <c r="J84" i="2"/>
  <c r="AL84" i="2"/>
  <c r="AK84" i="2"/>
  <c r="AG14" i="2"/>
  <c r="AN91" i="2"/>
  <c r="AJ91" i="2"/>
  <c r="AI21" i="2"/>
  <c r="AI95" i="2"/>
  <c r="D92" i="2"/>
  <c r="R22" i="2" s="1"/>
  <c r="J98" i="2"/>
  <c r="AN98" i="2"/>
  <c r="K116" i="2"/>
  <c r="E122" i="2"/>
  <c r="E32" i="36" s="1"/>
  <c r="I119" i="2"/>
  <c r="AE122" i="2"/>
  <c r="AD85" i="33" s="1"/>
  <c r="AK119" i="2"/>
  <c r="AU14" i="2"/>
  <c r="AM119" i="2"/>
  <c r="AK120" i="2"/>
  <c r="AU15" i="2"/>
  <c r="AL120" i="2"/>
  <c r="C130" i="2"/>
  <c r="D130" i="2" s="1"/>
  <c r="T25" i="2" s="1"/>
  <c r="I126" i="2"/>
  <c r="S21" i="2"/>
  <c r="S25" i="2" s="1"/>
  <c r="L126" i="2"/>
  <c r="H151" i="2"/>
  <c r="L151" i="2"/>
  <c r="AI157" i="2"/>
  <c r="AN154" i="2"/>
  <c r="AJ154" i="2"/>
  <c r="AM206" i="2"/>
  <c r="AK206" i="2"/>
  <c r="AY28" i="2"/>
  <c r="BN225" i="2"/>
  <c r="BM225" i="2"/>
  <c r="K243" i="2"/>
  <c r="I243" i="2"/>
  <c r="Y29" i="2"/>
  <c r="AA29" i="2" s="1"/>
  <c r="C29" i="2"/>
  <c r="AJ46" i="2"/>
  <c r="C52" i="2"/>
  <c r="C31" i="36" s="1"/>
  <c r="C15" i="2"/>
  <c r="I51" i="2"/>
  <c r="C16" i="2"/>
  <c r="AL56" i="2"/>
  <c r="AH56" i="2"/>
  <c r="AJ64" i="2"/>
  <c r="J81" i="2"/>
  <c r="F81" i="2"/>
  <c r="I81" i="2"/>
  <c r="E11" i="2"/>
  <c r="AG95" i="2"/>
  <c r="AK92" i="2"/>
  <c r="AE95" i="2"/>
  <c r="AD126" i="33" s="1"/>
  <c r="AK99" i="2"/>
  <c r="AM99" i="2"/>
  <c r="AF126" i="2"/>
  <c r="AV21" i="2" s="1"/>
  <c r="AF121" i="2"/>
  <c r="AV16" i="2" s="1"/>
  <c r="AF116" i="2"/>
  <c r="AV11" i="2" s="1"/>
  <c r="AF115" i="2"/>
  <c r="AK114" i="2"/>
  <c r="AF133" i="2"/>
  <c r="AV28" i="2" s="1"/>
  <c r="AF129" i="2"/>
  <c r="AF120" i="2"/>
  <c r="AV15" i="2" s="1"/>
  <c r="AE117" i="2"/>
  <c r="AD80" i="33" s="1"/>
  <c r="AF114" i="2"/>
  <c r="AV9" i="2" s="1"/>
  <c r="AF128" i="2"/>
  <c r="AV23" i="2" s="1"/>
  <c r="AF119" i="2"/>
  <c r="AV14" i="2" s="1"/>
  <c r="AL114" i="2"/>
  <c r="BO116" i="2"/>
  <c r="BM116" i="2"/>
  <c r="AI122" i="2"/>
  <c r="AN119" i="2"/>
  <c r="AN133" i="2"/>
  <c r="AJ133" i="2"/>
  <c r="AF134" i="2"/>
  <c r="AV29" i="2" s="1"/>
  <c r="AM150" i="2"/>
  <c r="AK150" i="2"/>
  <c r="AW10" i="2"/>
  <c r="AE10" i="2"/>
  <c r="I151" i="2"/>
  <c r="D151" i="2"/>
  <c r="V11" i="2" s="1"/>
  <c r="U11" i="2"/>
  <c r="K151" i="2"/>
  <c r="AN155" i="2"/>
  <c r="AM155" i="2"/>
  <c r="L169" i="2"/>
  <c r="G29" i="2"/>
  <c r="H169" i="2"/>
  <c r="K200" i="2"/>
  <c r="I200" i="2"/>
  <c r="C203" i="2"/>
  <c r="D203" i="2" s="1"/>
  <c r="X25" i="2" s="1"/>
  <c r="L200" i="2"/>
  <c r="W22" i="2"/>
  <c r="AG11" i="2"/>
  <c r="AI15" i="2"/>
  <c r="C22" i="2"/>
  <c r="Y25" i="2"/>
  <c r="E28" i="2"/>
  <c r="AF63" i="2"/>
  <c r="AR28" i="2" s="1"/>
  <c r="AF50" i="2"/>
  <c r="AR15" i="2" s="1"/>
  <c r="AE47" i="2"/>
  <c r="AD47" i="33" s="1"/>
  <c r="AF45" i="2"/>
  <c r="AK44" i="2"/>
  <c r="AF58" i="2"/>
  <c r="AR23" i="2" s="1"/>
  <c r="AF55" i="2"/>
  <c r="AF49" i="2"/>
  <c r="AL44" i="2"/>
  <c r="AE9" i="2"/>
  <c r="AF51" i="2"/>
  <c r="AR16" i="2" s="1"/>
  <c r="AF44" i="2"/>
  <c r="AR9" i="2" s="1"/>
  <c r="AM44" i="2"/>
  <c r="AF46" i="2"/>
  <c r="AR11" i="2" s="1"/>
  <c r="D50" i="2"/>
  <c r="P15" i="2" s="1"/>
  <c r="I50" i="2"/>
  <c r="D51" i="2"/>
  <c r="P16" i="2" s="1"/>
  <c r="AG60" i="2"/>
  <c r="G28" i="2"/>
  <c r="L28" i="2" s="1"/>
  <c r="H63" i="2"/>
  <c r="AF64" i="2"/>
  <c r="AR29" i="2" s="1"/>
  <c r="AN80" i="2"/>
  <c r="AN81" i="2"/>
  <c r="AJ81" i="2"/>
  <c r="AI11" i="2"/>
  <c r="BI264" i="2"/>
  <c r="BN264" i="2" s="1"/>
  <c r="BN81" i="2"/>
  <c r="BI11" i="2"/>
  <c r="BN11" i="2" s="1"/>
  <c r="AF85" i="2"/>
  <c r="AT15" i="2" s="1"/>
  <c r="AM85" i="2"/>
  <c r="J91" i="2"/>
  <c r="F91" i="2"/>
  <c r="I91" i="2"/>
  <c r="E21" i="2"/>
  <c r="C95" i="2"/>
  <c r="I92" i="2"/>
  <c r="L92" i="2"/>
  <c r="H92" i="2"/>
  <c r="AH92" i="2"/>
  <c r="J99" i="2"/>
  <c r="I99" i="2"/>
  <c r="AM114" i="2"/>
  <c r="AH116" i="2"/>
  <c r="AG117" i="2"/>
  <c r="AJ119" i="2"/>
  <c r="AG130" i="2"/>
  <c r="AK126" i="2"/>
  <c r="AI23" i="2"/>
  <c r="AN23" i="2" s="1"/>
  <c r="AJ128" i="2"/>
  <c r="L133" i="2"/>
  <c r="K133" i="2"/>
  <c r="D226" i="2"/>
  <c r="Z12" i="2" s="1"/>
  <c r="Y12" i="2"/>
  <c r="BG264" i="2"/>
  <c r="BH264" i="2" s="1"/>
  <c r="AQ9" i="2"/>
  <c r="AU9" i="2"/>
  <c r="G11" i="2"/>
  <c r="L11" i="2" s="1"/>
  <c r="BG11" i="2"/>
  <c r="BH11" i="2" s="1"/>
  <c r="AE15" i="2"/>
  <c r="AG15" i="2"/>
  <c r="AH50" i="2"/>
  <c r="G60" i="2"/>
  <c r="AF56" i="2"/>
  <c r="AR21" i="2" s="1"/>
  <c r="AK56" i="2"/>
  <c r="AF57" i="2"/>
  <c r="AR22" i="2" s="1"/>
  <c r="AK57" i="2"/>
  <c r="I63" i="2"/>
  <c r="L63" i="2"/>
  <c r="AK81" i="2"/>
  <c r="AF81" i="2"/>
  <c r="AT11" i="2" s="1"/>
  <c r="AE11" i="2"/>
  <c r="AD13" i="33" s="1"/>
  <c r="AM81" i="2"/>
  <c r="AI82" i="2"/>
  <c r="K84" i="2"/>
  <c r="H86" i="2"/>
  <c r="AG87" i="2"/>
  <c r="AL91" i="2"/>
  <c r="AL92" i="2"/>
  <c r="AL116" i="2"/>
  <c r="G117" i="2"/>
  <c r="AF125" i="2"/>
  <c r="AF127" i="2"/>
  <c r="AV22" i="2" s="1"/>
  <c r="E23" i="2"/>
  <c r="F128" i="2"/>
  <c r="L150" i="2"/>
  <c r="G152" i="2"/>
  <c r="H150" i="2"/>
  <c r="AK151" i="2"/>
  <c r="E157" i="2"/>
  <c r="F32" i="36" s="1"/>
  <c r="J154" i="2"/>
  <c r="I154" i="2"/>
  <c r="AK154" i="2"/>
  <c r="AE157" i="2"/>
  <c r="AD184" i="33" s="1"/>
  <c r="AM154" i="2"/>
  <c r="AL154" i="2"/>
  <c r="AF154" i="2"/>
  <c r="AX14" i="2" s="1"/>
  <c r="AK168" i="2"/>
  <c r="AM168" i="2"/>
  <c r="AF168" i="2"/>
  <c r="AX28" i="2" s="1"/>
  <c r="F63" i="2"/>
  <c r="F55" i="2"/>
  <c r="F50" i="2"/>
  <c r="E47" i="2"/>
  <c r="F47" i="2" s="1"/>
  <c r="F45" i="2"/>
  <c r="I44" i="2"/>
  <c r="L45" i="2"/>
  <c r="F46" i="2"/>
  <c r="AK46" i="2"/>
  <c r="AE52" i="2"/>
  <c r="AD52" i="33" s="1"/>
  <c r="L56" i="2"/>
  <c r="J57" i="2"/>
  <c r="AL57" i="2"/>
  <c r="L64" i="2"/>
  <c r="D98" i="2"/>
  <c r="R28" i="2" s="1"/>
  <c r="D85" i="2"/>
  <c r="R15" i="2" s="1"/>
  <c r="C82" i="2"/>
  <c r="D80" i="2"/>
  <c r="BG80" i="2" s="1"/>
  <c r="I79" i="2"/>
  <c r="D93" i="2"/>
  <c r="R23" i="2" s="1"/>
  <c r="D84" i="2"/>
  <c r="D79" i="2"/>
  <c r="R9" i="2" s="1"/>
  <c r="J79" i="2"/>
  <c r="AH98" i="2"/>
  <c r="AH85" i="2"/>
  <c r="AG82" i="2"/>
  <c r="AH82" i="2" s="1"/>
  <c r="AH80" i="2"/>
  <c r="AH93" i="2"/>
  <c r="AH84" i="2"/>
  <c r="AL79" i="2"/>
  <c r="AH79" i="2"/>
  <c r="AE82" i="2"/>
  <c r="AD113" i="33" s="1"/>
  <c r="AL85" i="2"/>
  <c r="J86" i="2"/>
  <c r="F86" i="2"/>
  <c r="AN86" i="2"/>
  <c r="AJ86" i="2"/>
  <c r="J92" i="2"/>
  <c r="J126" i="2"/>
  <c r="J127" i="2"/>
  <c r="AN150" i="2"/>
  <c r="G165" i="2"/>
  <c r="H161" i="2"/>
  <c r="I206" i="2"/>
  <c r="K206" i="2"/>
  <c r="AT33" i="2"/>
  <c r="BG259" i="2"/>
  <c r="BG297" i="2"/>
  <c r="BG184" i="2"/>
  <c r="BG220" i="2"/>
  <c r="BG111" i="2"/>
  <c r="F44" i="2"/>
  <c r="J44" i="2"/>
  <c r="H45" i="2"/>
  <c r="AH46" i="2"/>
  <c r="G47" i="2"/>
  <c r="AN50" i="2"/>
  <c r="F51" i="2"/>
  <c r="D56" i="2"/>
  <c r="P21" i="2" s="1"/>
  <c r="H56" i="2"/>
  <c r="F57" i="2"/>
  <c r="AN57" i="2"/>
  <c r="D63" i="2"/>
  <c r="P28" i="2" s="1"/>
  <c r="D64" i="2"/>
  <c r="P29" i="2" s="1"/>
  <c r="K79" i="2"/>
  <c r="AF80" i="2"/>
  <c r="AT10" i="2" s="1"/>
  <c r="AM80" i="2"/>
  <c r="D81" i="2"/>
  <c r="R11" i="2" s="1"/>
  <c r="AH81" i="2"/>
  <c r="L84" i="2"/>
  <c r="E87" i="2"/>
  <c r="J85" i="2"/>
  <c r="AI87" i="2"/>
  <c r="AJ87" i="2" s="1"/>
  <c r="AK86" i="2"/>
  <c r="AF86" i="2"/>
  <c r="AT16" i="2" s="1"/>
  <c r="AH90" i="2"/>
  <c r="D91" i="2"/>
  <c r="R21" i="2" s="1"/>
  <c r="AH91" i="2"/>
  <c r="K93" i="2"/>
  <c r="AF98" i="2"/>
  <c r="AT28" i="2" s="1"/>
  <c r="AM98" i="2"/>
  <c r="D99" i="2"/>
  <c r="R29" i="2" s="1"/>
  <c r="AH99" i="2"/>
  <c r="F126" i="2"/>
  <c r="F121" i="2"/>
  <c r="F115" i="2"/>
  <c r="F125" i="2"/>
  <c r="F120" i="2"/>
  <c r="E117" i="2"/>
  <c r="J114" i="2"/>
  <c r="F114" i="2"/>
  <c r="AJ126" i="2"/>
  <c r="AJ121" i="2"/>
  <c r="AJ116" i="2"/>
  <c r="AJ115" i="2"/>
  <c r="AJ125" i="2"/>
  <c r="AJ120" i="2"/>
  <c r="AI117" i="2"/>
  <c r="AJ117" i="2" s="1"/>
  <c r="AN114" i="2"/>
  <c r="AJ114" i="2"/>
  <c r="I115" i="2"/>
  <c r="H115" i="2"/>
  <c r="F116" i="2"/>
  <c r="C117" i="2"/>
  <c r="AL119" i="2"/>
  <c r="AN120" i="2"/>
  <c r="H121" i="2"/>
  <c r="AL121" i="2"/>
  <c r="G130" i="2"/>
  <c r="H130" i="2" s="1"/>
  <c r="K127" i="2"/>
  <c r="AM128" i="2"/>
  <c r="AM133" i="2"/>
  <c r="AK133" i="2"/>
  <c r="F134" i="2"/>
  <c r="F169" i="2"/>
  <c r="F160" i="2"/>
  <c r="F155" i="2"/>
  <c r="E152" i="2"/>
  <c r="F150" i="2"/>
  <c r="F163" i="2"/>
  <c r="F168" i="2"/>
  <c r="F162" i="2"/>
  <c r="F164" i="2"/>
  <c r="F154" i="2"/>
  <c r="I149" i="2"/>
  <c r="K150" i="2"/>
  <c r="C152" i="2"/>
  <c r="I150" i="2"/>
  <c r="D150" i="2"/>
  <c r="BG150" i="2" s="1"/>
  <c r="F151" i="2"/>
  <c r="AL156" i="2"/>
  <c r="AH156" i="2"/>
  <c r="AK156" i="2"/>
  <c r="C165" i="2"/>
  <c r="I161" i="2"/>
  <c r="J161" i="2"/>
  <c r="K161" i="2"/>
  <c r="D161" i="2"/>
  <c r="V21" i="2" s="1"/>
  <c r="L161" i="2"/>
  <c r="L188" i="2"/>
  <c r="K188" i="2"/>
  <c r="AI190" i="2"/>
  <c r="AN188" i="2"/>
  <c r="AJ188" i="2"/>
  <c r="I193" i="2"/>
  <c r="K193" i="2"/>
  <c r="J193" i="2"/>
  <c r="AI195" i="2"/>
  <c r="AN194" i="2"/>
  <c r="AN228" i="2"/>
  <c r="AJ228" i="2"/>
  <c r="AI231" i="2"/>
  <c r="K230" i="2"/>
  <c r="I230" i="2"/>
  <c r="D230" i="2"/>
  <c r="Z16" i="2" s="1"/>
  <c r="C231" i="2"/>
  <c r="H31" i="36" s="1"/>
  <c r="L230" i="2"/>
  <c r="K80" i="2"/>
  <c r="BP81" i="2"/>
  <c r="F99" i="2"/>
  <c r="AF99" i="2"/>
  <c r="AT29" i="2" s="1"/>
  <c r="AJ99" i="2"/>
  <c r="D116" i="2"/>
  <c r="T11" i="2" s="1"/>
  <c r="H116" i="2"/>
  <c r="D127" i="2"/>
  <c r="T22" i="2" s="1"/>
  <c r="AH127" i="2"/>
  <c r="D162" i="2"/>
  <c r="V22" i="2" s="1"/>
  <c r="AL150" i="2"/>
  <c r="L156" i="2"/>
  <c r="C157" i="2"/>
  <c r="AL161" i="2"/>
  <c r="J162" i="2"/>
  <c r="I168" i="2"/>
  <c r="I169" i="2"/>
  <c r="D169" i="2"/>
  <c r="V29" i="2" s="1"/>
  <c r="K169" i="2"/>
  <c r="D194" i="2"/>
  <c r="X16" i="2" s="1"/>
  <c r="D188" i="2"/>
  <c r="BG188" i="2" s="1"/>
  <c r="I187" i="2"/>
  <c r="D199" i="2"/>
  <c r="X21" i="2" s="1"/>
  <c r="D206" i="2"/>
  <c r="X28" i="2" s="1"/>
  <c r="D200" i="2"/>
  <c r="X22" i="2" s="1"/>
  <c r="C190" i="2"/>
  <c r="K187" i="2"/>
  <c r="D189" i="2"/>
  <c r="X11" i="2" s="1"/>
  <c r="H194" i="2"/>
  <c r="H188" i="2"/>
  <c r="H199" i="2"/>
  <c r="H206" i="2"/>
  <c r="H189" i="2"/>
  <c r="L187" i="2"/>
  <c r="J189" i="2"/>
  <c r="G190" i="2"/>
  <c r="H190" i="2" s="1"/>
  <c r="AL192" i="2"/>
  <c r="D193" i="2"/>
  <c r="X15" i="2" s="1"/>
  <c r="H193" i="2"/>
  <c r="AG203" i="2"/>
  <c r="AH203" i="2" s="1"/>
  <c r="AL200" i="2"/>
  <c r="F235" i="2"/>
  <c r="F236" i="2"/>
  <c r="F230" i="2"/>
  <c r="F242" i="2"/>
  <c r="E226" i="2"/>
  <c r="F226" i="2" s="1"/>
  <c r="F225" i="2"/>
  <c r="F237" i="2"/>
  <c r="F224" i="2"/>
  <c r="J223" i="2"/>
  <c r="F223" i="2"/>
  <c r="F229" i="2"/>
  <c r="F243" i="2"/>
  <c r="K44" i="2"/>
  <c r="D57" i="2"/>
  <c r="P22" i="2" s="1"/>
  <c r="H57" i="2"/>
  <c r="AH57" i="2"/>
  <c r="AM79" i="2"/>
  <c r="L80" i="2"/>
  <c r="BM81" i="2"/>
  <c r="AF90" i="2"/>
  <c r="F92" i="2"/>
  <c r="AF92" i="2"/>
  <c r="AT22" i="2" s="1"/>
  <c r="AJ92" i="2"/>
  <c r="D133" i="2"/>
  <c r="T28" i="2" s="1"/>
  <c r="H133" i="2"/>
  <c r="K114" i="2"/>
  <c r="AH133" i="2"/>
  <c r="J115" i="2"/>
  <c r="BP116" i="2"/>
  <c r="D119" i="2"/>
  <c r="H119" i="2"/>
  <c r="AH119" i="2"/>
  <c r="H125" i="2"/>
  <c r="D128" i="2"/>
  <c r="T23" i="2" s="1"/>
  <c r="H128" i="2"/>
  <c r="AH128" i="2"/>
  <c r="D129" i="2"/>
  <c r="AH129" i="2"/>
  <c r="D134" i="2"/>
  <c r="T29" i="2" s="1"/>
  <c r="H134" i="2"/>
  <c r="AF169" i="2"/>
  <c r="AX29" i="2" s="1"/>
  <c r="AF164" i="2"/>
  <c r="AF155" i="2"/>
  <c r="AX15" i="2" s="1"/>
  <c r="AE152" i="2"/>
  <c r="AD179" i="33" s="1"/>
  <c r="AF150" i="2"/>
  <c r="AK149" i="2"/>
  <c r="AF161" i="2"/>
  <c r="AX21" i="2" s="1"/>
  <c r="AJ169" i="2"/>
  <c r="AJ160" i="2"/>
  <c r="AJ155" i="2"/>
  <c r="AI152" i="2"/>
  <c r="AJ150" i="2"/>
  <c r="AJ164" i="2"/>
  <c r="AJ162" i="2"/>
  <c r="AJ161" i="2"/>
  <c r="AN149" i="2"/>
  <c r="J150" i="2"/>
  <c r="AH150" i="2"/>
  <c r="AF151" i="2"/>
  <c r="AX11" i="2" s="1"/>
  <c r="AJ151" i="2"/>
  <c r="BO151" i="2"/>
  <c r="BM151" i="2"/>
  <c r="D155" i="2"/>
  <c r="V15" i="2" s="1"/>
  <c r="AG157" i="2"/>
  <c r="AL155" i="2"/>
  <c r="D156" i="2"/>
  <c r="V16" i="2" s="1"/>
  <c r="H156" i="2"/>
  <c r="AF156" i="2"/>
  <c r="AX16" i="2" s="1"/>
  <c r="AH161" i="2"/>
  <c r="D187" i="2"/>
  <c r="X9" i="2" s="1"/>
  <c r="H187" i="2"/>
  <c r="F188" i="2"/>
  <c r="H192" i="2"/>
  <c r="G195" i="2"/>
  <c r="L194" i="2"/>
  <c r="AG195" i="2"/>
  <c r="AL194" i="2"/>
  <c r="H200" i="2"/>
  <c r="D201" i="2"/>
  <c r="X23" i="2" s="1"/>
  <c r="H201" i="2"/>
  <c r="D207" i="2"/>
  <c r="X29" i="2" s="1"/>
  <c r="H207" i="2"/>
  <c r="F228" i="2"/>
  <c r="AH230" i="2"/>
  <c r="AL230" i="2"/>
  <c r="E239" i="2"/>
  <c r="J235" i="2"/>
  <c r="L162" i="2"/>
  <c r="AK188" i="2"/>
  <c r="AF188" i="2"/>
  <c r="AM188" i="2"/>
  <c r="AK189" i="2"/>
  <c r="AM189" i="2"/>
  <c r="J192" i="2"/>
  <c r="AE195" i="2"/>
  <c r="AD151" i="33" s="1"/>
  <c r="AK194" i="2"/>
  <c r="AF194" i="2"/>
  <c r="AZ16" i="2" s="1"/>
  <c r="AM194" i="2"/>
  <c r="I207" i="2"/>
  <c r="K207" i="2"/>
  <c r="L228" i="2"/>
  <c r="G231" i="2"/>
  <c r="H33" i="36" s="1"/>
  <c r="C239" i="2"/>
  <c r="I235" i="2"/>
  <c r="D235" i="2"/>
  <c r="Z21" i="2" s="1"/>
  <c r="K235" i="2"/>
  <c r="AL235" i="2"/>
  <c r="AM237" i="2"/>
  <c r="AG239" i="2"/>
  <c r="AH239" i="2" s="1"/>
  <c r="AM243" i="2"/>
  <c r="AK243" i="2"/>
  <c r="AM228" i="2"/>
  <c r="AL242" i="2"/>
  <c r="AK242" i="2"/>
  <c r="K149" i="2"/>
  <c r="AH162" i="2"/>
  <c r="AH194" i="2"/>
  <c r="AH188" i="2"/>
  <c r="AH200" i="2"/>
  <c r="AK187" i="2"/>
  <c r="I188" i="2"/>
  <c r="AH189" i="2"/>
  <c r="AN192" i="2"/>
  <c r="C195" i="2"/>
  <c r="I194" i="2"/>
  <c r="AN200" i="2"/>
  <c r="AH201" i="2"/>
  <c r="AH206" i="2"/>
  <c r="AM230" i="2"/>
  <c r="AF235" i="2"/>
  <c r="BB21" i="2" s="1"/>
  <c r="AF237" i="2"/>
  <c r="BB23" i="2" s="1"/>
  <c r="AF230" i="2"/>
  <c r="BB16" i="2" s="1"/>
  <c r="AF226" i="2"/>
  <c r="BB12" i="2" s="1"/>
  <c r="AF224" i="2"/>
  <c r="BB10" i="2" s="1"/>
  <c r="AK223" i="2"/>
  <c r="AJ235" i="2"/>
  <c r="AJ230" i="2"/>
  <c r="AN223" i="2"/>
  <c r="E231" i="2"/>
  <c r="J228" i="2"/>
  <c r="AG231" i="2"/>
  <c r="AL228" i="2"/>
  <c r="J230" i="2"/>
  <c r="AE239" i="2"/>
  <c r="AD225" i="33" s="1"/>
  <c r="AN235" i="2"/>
  <c r="AK235" i="2"/>
  <c r="I236" i="2"/>
  <c r="K236" i="2"/>
  <c r="AF236" i="2"/>
  <c r="BB22" i="2" s="1"/>
  <c r="AJ236" i="2"/>
  <c r="I237" i="2"/>
  <c r="AF243" i="2"/>
  <c r="BB29" i="2" s="1"/>
  <c r="AM187" i="2"/>
  <c r="F192" i="2"/>
  <c r="AZ14" i="2"/>
  <c r="AJ192" i="2"/>
  <c r="F200" i="2"/>
  <c r="AF200" i="2"/>
  <c r="AZ22" i="2" s="1"/>
  <c r="AJ200" i="2"/>
  <c r="F206" i="2"/>
  <c r="AF206" i="2"/>
  <c r="AZ28" i="2" s="1"/>
  <c r="AJ206" i="2"/>
  <c r="D243" i="2"/>
  <c r="Z29" i="2" s="1"/>
  <c r="D237" i="2"/>
  <c r="Z23" i="2" s="1"/>
  <c r="H243" i="2"/>
  <c r="H237" i="2"/>
  <c r="K223" i="2"/>
  <c r="AH243" i="2"/>
  <c r="AH237" i="2"/>
  <c r="D225" i="2"/>
  <c r="Z11" i="2" s="1"/>
  <c r="AH225" i="2"/>
  <c r="D228" i="2"/>
  <c r="Z14" i="2" s="1"/>
  <c r="H228" i="2"/>
  <c r="AH228" i="2"/>
  <c r="AH242" i="2"/>
  <c r="AY37" i="2"/>
  <c r="BC35" i="2"/>
  <c r="AW37" i="2"/>
  <c r="AH69" i="40"/>
  <c r="G68" i="43"/>
  <c r="G65" i="43"/>
  <c r="C47" i="43"/>
  <c r="C65" i="43"/>
  <c r="C54" i="43"/>
  <c r="C44" i="43"/>
  <c r="E56" i="43"/>
  <c r="C61" i="43"/>
  <c r="C66" i="43"/>
  <c r="C49" i="43"/>
  <c r="E68" i="43"/>
  <c r="C56" i="43"/>
  <c r="C48" i="43"/>
  <c r="E61" i="43"/>
  <c r="E62" i="43"/>
  <c r="C68" i="43"/>
  <c r="E66" i="43"/>
  <c r="E65" i="43"/>
  <c r="G66" i="43"/>
  <c r="C55" i="43"/>
  <c r="C62" i="43"/>
  <c r="C43" i="43"/>
  <c r="AW16" i="5" l="1"/>
  <c r="H53" i="9"/>
  <c r="Q23" i="28"/>
  <c r="AZ45" i="5"/>
  <c r="AN45" i="5" s="1"/>
  <c r="AQ45" i="5" s="1"/>
  <c r="AV47" i="5"/>
  <c r="S16" i="5"/>
  <c r="F39" i="28"/>
  <c r="O14" i="28"/>
  <c r="O41" i="28" s="1"/>
  <c r="O43" i="28" s="1"/>
  <c r="Q14" i="28"/>
  <c r="N14" i="28"/>
  <c r="T58" i="5"/>
  <c r="J29" i="2"/>
  <c r="G16" i="2"/>
  <c r="K16" i="2" s="1"/>
  <c r="K51" i="2"/>
  <c r="E16" i="2"/>
  <c r="J16" i="2" s="1"/>
  <c r="J51" i="2"/>
  <c r="J56" i="25"/>
  <c r="G14" i="28"/>
  <c r="T42" i="5"/>
  <c r="G58" i="5"/>
  <c r="AP47" i="5"/>
  <c r="Z58" i="5"/>
  <c r="X50" i="5"/>
  <c r="AZ56" i="5"/>
  <c r="AN56" i="5" s="1"/>
  <c r="AR56" i="5" s="1"/>
  <c r="R6" i="25"/>
  <c r="S4" i="28" s="1"/>
  <c r="F23" i="28"/>
  <c r="H47" i="5"/>
  <c r="AB50" i="5"/>
  <c r="AY50" i="5" s="1"/>
  <c r="X59" i="5"/>
  <c r="J8" i="28"/>
  <c r="M14" i="28"/>
  <c r="S12" i="28"/>
  <c r="J13" i="28"/>
  <c r="S8" i="28"/>
  <c r="G62" i="43"/>
  <c r="G29" i="43" s="1"/>
  <c r="G61" i="43"/>
  <c r="G56" i="43"/>
  <c r="G23" i="43" s="1"/>
  <c r="L23" i="43" s="1"/>
  <c r="G55" i="43"/>
  <c r="G22" i="43" s="1"/>
  <c r="G54" i="43"/>
  <c r="G21" i="43" s="1"/>
  <c r="G49" i="43"/>
  <c r="G48" i="43"/>
  <c r="G47" i="43"/>
  <c r="G44" i="43"/>
  <c r="G43" i="43"/>
  <c r="E55" i="43"/>
  <c r="E22" i="43" s="1"/>
  <c r="E54" i="43"/>
  <c r="E21" i="43" s="1"/>
  <c r="E49" i="43"/>
  <c r="E48" i="43"/>
  <c r="E47" i="43"/>
  <c r="E44" i="43"/>
  <c r="E43" i="43"/>
  <c r="I14" i="28"/>
  <c r="I41" i="28" s="1"/>
  <c r="I43" i="28" s="1"/>
  <c r="R23" i="28"/>
  <c r="H7" i="36"/>
  <c r="H14" i="28"/>
  <c r="AP26" i="5"/>
  <c r="Y47" i="5"/>
  <c r="Z47" i="5"/>
  <c r="Z16" i="5"/>
  <c r="R50" i="5"/>
  <c r="AA171" i="29"/>
  <c r="AB171" i="29" s="1"/>
  <c r="AB170" i="29"/>
  <c r="N58" i="5"/>
  <c r="Y28" i="33"/>
  <c r="E52" i="2"/>
  <c r="C32" i="36" s="1"/>
  <c r="V14" i="2"/>
  <c r="BG154" i="2"/>
  <c r="E15" i="2"/>
  <c r="F15" i="2" s="1"/>
  <c r="X14" i="2"/>
  <c r="BG192" i="2"/>
  <c r="P23" i="28"/>
  <c r="J12" i="28"/>
  <c r="Q20" i="33"/>
  <c r="Q28" i="33" s="1"/>
  <c r="BB18" i="43"/>
  <c r="W20" i="33"/>
  <c r="W28" i="33" s="1"/>
  <c r="C37" i="9"/>
  <c r="R59" i="5"/>
  <c r="H21" i="9"/>
  <c r="H30" i="9" s="1"/>
  <c r="I20" i="33"/>
  <c r="J20" i="33" s="1"/>
  <c r="T14" i="2"/>
  <c r="BG119" i="2"/>
  <c r="M20" i="33"/>
  <c r="R14" i="2"/>
  <c r="BG84" i="2"/>
  <c r="J50" i="2"/>
  <c r="G52" i="2"/>
  <c r="C33" i="36" s="1"/>
  <c r="L50" i="2"/>
  <c r="K50" i="2"/>
  <c r="M47" i="5"/>
  <c r="G42" i="5"/>
  <c r="AE42" i="5"/>
  <c r="AU58" i="5"/>
  <c r="R14" i="28"/>
  <c r="F14" i="28"/>
  <c r="AY62" i="43"/>
  <c r="AZ62" i="43" s="1"/>
  <c r="AY58" i="43"/>
  <c r="AZ58" i="43" s="1"/>
  <c r="L19" i="33"/>
  <c r="AY56" i="43"/>
  <c r="L59" i="5"/>
  <c r="I52" i="9"/>
  <c r="E30" i="9"/>
  <c r="O28" i="33"/>
  <c r="P28" i="33" s="1"/>
  <c r="BL302" i="2"/>
  <c r="BK303" i="2"/>
  <c r="BG301" i="2"/>
  <c r="BN301" i="2" s="1"/>
  <c r="BI303" i="2"/>
  <c r="BJ302" i="2"/>
  <c r="AZ22" i="5"/>
  <c r="AN22" i="5" s="1"/>
  <c r="AQ22" i="5" s="1"/>
  <c r="T10" i="2"/>
  <c r="BG115" i="2"/>
  <c r="BG263" i="2" s="1"/>
  <c r="BH263" i="2" s="1"/>
  <c r="E23" i="28"/>
  <c r="BH80" i="2"/>
  <c r="BV10" i="2"/>
  <c r="BW10" i="2" s="1"/>
  <c r="BG82" i="2"/>
  <c r="D53" i="9"/>
  <c r="E14" i="28"/>
  <c r="N23" i="28"/>
  <c r="N41" i="28" s="1"/>
  <c r="N43" i="28" s="1"/>
  <c r="AT48" i="43"/>
  <c r="I49" i="9"/>
  <c r="G53" i="9"/>
  <c r="S13" i="28"/>
  <c r="H140" i="2"/>
  <c r="D59" i="5"/>
  <c r="H59" i="5" s="1"/>
  <c r="E13" i="38"/>
  <c r="AF35" i="5"/>
  <c r="AZ30" i="5"/>
  <c r="AN30" i="5" s="1"/>
  <c r="AQ30" i="5" s="1"/>
  <c r="I36" i="9"/>
  <c r="AZ53" i="5"/>
  <c r="AN53" i="5" s="1"/>
  <c r="AR53" i="5" s="1"/>
  <c r="AJ59" i="5"/>
  <c r="H23" i="28"/>
  <c r="AG25" i="2"/>
  <c r="AH25" i="2" s="1"/>
  <c r="AW47" i="5"/>
  <c r="AP31" i="5"/>
  <c r="AP42" i="5"/>
  <c r="G58" i="25"/>
  <c r="G60" i="25" s="1"/>
  <c r="G63" i="25" s="1"/>
  <c r="P14" i="28"/>
  <c r="G23" i="28"/>
  <c r="E53" i="9"/>
  <c r="AZ33" i="5"/>
  <c r="AN33" i="5" s="1"/>
  <c r="AR33" i="5" s="1"/>
  <c r="H21" i="2"/>
  <c r="AZ57" i="5"/>
  <c r="AN57" i="5" s="1"/>
  <c r="AR57" i="5" s="1"/>
  <c r="I51" i="9"/>
  <c r="AP58" i="5"/>
  <c r="J38" i="28"/>
  <c r="J39" i="28" s="1"/>
  <c r="S38" i="28"/>
  <c r="S39" i="28" s="1"/>
  <c r="S21" i="28"/>
  <c r="S23" i="28" s="1"/>
  <c r="J21" i="28"/>
  <c r="R56" i="25"/>
  <c r="M23" i="28"/>
  <c r="L58" i="25"/>
  <c r="L60" i="25" s="1"/>
  <c r="AZ10" i="2"/>
  <c r="F58" i="25"/>
  <c r="F60" i="25" s="1"/>
  <c r="F63" i="25" s="1"/>
  <c r="AX10" i="2"/>
  <c r="P58" i="25"/>
  <c r="P60" i="25" s="1"/>
  <c r="P63" i="25" s="1"/>
  <c r="I58" i="25"/>
  <c r="I60" i="25" s="1"/>
  <c r="I63" i="25" s="1"/>
  <c r="CA11" i="2"/>
  <c r="BW11" i="2"/>
  <c r="CB59" i="2"/>
  <c r="F26" i="9"/>
  <c r="F30" i="9" s="1"/>
  <c r="AV54" i="43"/>
  <c r="AT54" i="43"/>
  <c r="AT55" i="43"/>
  <c r="AE233" i="43"/>
  <c r="AF220" i="43"/>
  <c r="AZ54" i="43"/>
  <c r="AR26" i="43"/>
  <c r="AR45" i="43"/>
  <c r="AR56" i="43"/>
  <c r="AZ56" i="43"/>
  <c r="AR49" i="43"/>
  <c r="AZ55" i="43"/>
  <c r="AR55" i="43"/>
  <c r="AR50" i="43"/>
  <c r="BH25" i="2"/>
  <c r="AV10" i="2"/>
  <c r="E23" i="43"/>
  <c r="J23" i="43" s="1"/>
  <c r="AI32" i="43"/>
  <c r="AN32" i="43" s="1"/>
  <c r="AN65" i="43"/>
  <c r="AI33" i="43"/>
  <c r="AN33" i="43" s="1"/>
  <c r="AN66" i="43"/>
  <c r="AM66" i="43"/>
  <c r="E32" i="43"/>
  <c r="J32" i="43" s="1"/>
  <c r="J65" i="43"/>
  <c r="AH65" i="43"/>
  <c r="AH43" i="43"/>
  <c r="AH66" i="43"/>
  <c r="AH54" i="43"/>
  <c r="AH61" i="43"/>
  <c r="AH48" i="43"/>
  <c r="AH62" i="43"/>
  <c r="AH55" i="43"/>
  <c r="AH49" i="43"/>
  <c r="AH44" i="43"/>
  <c r="AH56" i="43"/>
  <c r="AH47" i="43"/>
  <c r="J66" i="43"/>
  <c r="E33" i="43"/>
  <c r="J33" i="43" s="1"/>
  <c r="G32" i="43"/>
  <c r="L32" i="43" s="1"/>
  <c r="L65" i="43"/>
  <c r="AG21" i="43"/>
  <c r="E35" i="43"/>
  <c r="AI35" i="43"/>
  <c r="AJ68" i="43"/>
  <c r="AJ43" i="43"/>
  <c r="AJ66" i="43"/>
  <c r="AJ65" i="43"/>
  <c r="AJ62" i="43"/>
  <c r="AJ47" i="43"/>
  <c r="AJ61" i="43"/>
  <c r="AJ54" i="43"/>
  <c r="AJ49" i="43"/>
  <c r="AJ48" i="43"/>
  <c r="AJ55" i="43"/>
  <c r="AJ44" i="43"/>
  <c r="AJ56" i="43"/>
  <c r="G35" i="43"/>
  <c r="G33" i="43"/>
  <c r="L33" i="43" s="1"/>
  <c r="L66" i="43"/>
  <c r="I50" i="9"/>
  <c r="AZ38" i="5"/>
  <c r="AN38" i="5" s="1"/>
  <c r="AR38" i="5" s="1"/>
  <c r="AL32" i="5"/>
  <c r="AK32" i="5"/>
  <c r="AJ35" i="5"/>
  <c r="I28" i="33"/>
  <c r="J28" i="33" s="1"/>
  <c r="AZ24" i="5"/>
  <c r="AN24" i="5" s="1"/>
  <c r="AR24" i="5" s="1"/>
  <c r="AZ13" i="5"/>
  <c r="AN13" i="5" s="1"/>
  <c r="AR13" i="5" s="1"/>
  <c r="AJ50" i="5"/>
  <c r="C20" i="33"/>
  <c r="AR14" i="2"/>
  <c r="AR10" i="2"/>
  <c r="O58" i="25"/>
  <c r="O60" i="25" s="1"/>
  <c r="O63" i="25" s="1"/>
  <c r="H58" i="25"/>
  <c r="H60" i="25" s="1"/>
  <c r="H63" i="25" s="1"/>
  <c r="AY49" i="43"/>
  <c r="AZ49" i="43" s="1"/>
  <c r="AV48" i="43"/>
  <c r="AZ46" i="5"/>
  <c r="AN46" i="5" s="1"/>
  <c r="AQ46" i="5" s="1"/>
  <c r="D42" i="9"/>
  <c r="G30" i="9"/>
  <c r="AZ18" i="5"/>
  <c r="AN18" i="5" s="1"/>
  <c r="AQ18" i="5" s="1"/>
  <c r="R35" i="5"/>
  <c r="G20" i="33"/>
  <c r="D23" i="28"/>
  <c r="AZ41" i="5"/>
  <c r="AN41" i="5" s="1"/>
  <c r="AZ37" i="5"/>
  <c r="AN37" i="5" s="1"/>
  <c r="AQ37" i="5" s="1"/>
  <c r="AZ34" i="5"/>
  <c r="AN34" i="5" s="1"/>
  <c r="AR34" i="5" s="1"/>
  <c r="AZ28" i="5"/>
  <c r="AN28" i="5" s="1"/>
  <c r="AR28" i="5" s="1"/>
  <c r="I25" i="9"/>
  <c r="X35" i="5"/>
  <c r="G37" i="9"/>
  <c r="I33" i="9"/>
  <c r="Q58" i="25"/>
  <c r="Q60" i="25" s="1"/>
  <c r="Q63" i="25" s="1"/>
  <c r="AZ14" i="5"/>
  <c r="AN14" i="5" s="1"/>
  <c r="AR14" i="5" s="1"/>
  <c r="AL58" i="5"/>
  <c r="I24" i="9"/>
  <c r="E54" i="9"/>
  <c r="I41" i="9"/>
  <c r="N58" i="25"/>
  <c r="N60" i="25" s="1"/>
  <c r="N63" i="25" s="1"/>
  <c r="AN11" i="2"/>
  <c r="AL28" i="2"/>
  <c r="AH10" i="2"/>
  <c r="AL11" i="2"/>
  <c r="AN28" i="2"/>
  <c r="AZ52" i="5"/>
  <c r="AN52" i="5" s="1"/>
  <c r="N42" i="5"/>
  <c r="I47" i="9"/>
  <c r="AU42" i="5"/>
  <c r="N47" i="5"/>
  <c r="M58" i="25"/>
  <c r="M60" i="25" s="1"/>
  <c r="M63" i="25" s="1"/>
  <c r="E58" i="25"/>
  <c r="E60" i="25" s="1"/>
  <c r="E63" i="25" s="1"/>
  <c r="N8" i="39"/>
  <c r="N14" i="39" s="1"/>
  <c r="H70" i="2"/>
  <c r="J31" i="25"/>
  <c r="J17" i="28"/>
  <c r="D4" i="28"/>
  <c r="D58" i="25"/>
  <c r="D60" i="25" s="1"/>
  <c r="D63" i="25" s="1"/>
  <c r="J6" i="25"/>
  <c r="AW42" i="5"/>
  <c r="I34" i="9"/>
  <c r="M31" i="5"/>
  <c r="N31" i="5"/>
  <c r="AU31" i="5"/>
  <c r="F37" i="9"/>
  <c r="F54" i="9" s="1"/>
  <c r="AZ44" i="5"/>
  <c r="AN44" i="5" s="1"/>
  <c r="AQ44" i="5" s="1"/>
  <c r="AT47" i="5"/>
  <c r="AZ40" i="5"/>
  <c r="AN40" i="5" s="1"/>
  <c r="H37" i="9"/>
  <c r="H54" i="9" s="1"/>
  <c r="D30" i="9"/>
  <c r="AT31" i="5"/>
  <c r="H31" i="5"/>
  <c r="G31" i="5"/>
  <c r="L35" i="5"/>
  <c r="AP16" i="5"/>
  <c r="D50" i="5"/>
  <c r="AZ23" i="5"/>
  <c r="AN23" i="5" s="1"/>
  <c r="AR23" i="5" s="1"/>
  <c r="CB51" i="2"/>
  <c r="F14" i="32"/>
  <c r="AK58" i="5"/>
  <c r="S7" i="28"/>
  <c r="R21" i="25"/>
  <c r="AZ54" i="5"/>
  <c r="AN54" i="5" s="1"/>
  <c r="AY47" i="5"/>
  <c r="AZ39" i="5"/>
  <c r="AN39" i="5" s="1"/>
  <c r="AT42" i="5"/>
  <c r="AN32" i="5"/>
  <c r="C27" i="9"/>
  <c r="AZ29" i="5"/>
  <c r="AN29" i="5" s="1"/>
  <c r="AR29" i="5" s="1"/>
  <c r="AL47" i="5"/>
  <c r="AH50" i="5"/>
  <c r="C42" i="9"/>
  <c r="I39" i="9"/>
  <c r="I23" i="9"/>
  <c r="C26" i="9"/>
  <c r="AK26" i="5"/>
  <c r="AL26" i="5"/>
  <c r="AX26" i="5"/>
  <c r="D35" i="5"/>
  <c r="AT16" i="5"/>
  <c r="H16" i="5"/>
  <c r="G16" i="5"/>
  <c r="AZ9" i="5"/>
  <c r="AN9" i="5" s="1"/>
  <c r="I4" i="9"/>
  <c r="C11" i="9"/>
  <c r="AX16" i="5"/>
  <c r="AH35" i="5"/>
  <c r="AL16" i="5"/>
  <c r="AZ10" i="5"/>
  <c r="AN10" i="5" s="1"/>
  <c r="AX42" i="5"/>
  <c r="I32" i="9"/>
  <c r="AV26" i="5"/>
  <c r="T26" i="5"/>
  <c r="S26" i="5"/>
  <c r="AZ19" i="5"/>
  <c r="AN19" i="5" s="1"/>
  <c r="AZ15" i="5"/>
  <c r="AN15" i="5" s="1"/>
  <c r="AR15" i="5" s="1"/>
  <c r="J7" i="28"/>
  <c r="J21" i="25"/>
  <c r="AW58" i="5"/>
  <c r="Y58" i="5"/>
  <c r="P59" i="5"/>
  <c r="S58" i="5"/>
  <c r="AV58" i="5"/>
  <c r="AV42" i="5"/>
  <c r="AW31" i="5"/>
  <c r="Y31" i="5"/>
  <c r="Z31" i="5"/>
  <c r="P50" i="5"/>
  <c r="T47" i="5"/>
  <c r="S47" i="5"/>
  <c r="J59" i="5"/>
  <c r="J50" i="5"/>
  <c r="AX31" i="5"/>
  <c r="AK31" i="5"/>
  <c r="AL31" i="5"/>
  <c r="L62" i="25"/>
  <c r="R62" i="25" s="1"/>
  <c r="J62" i="25"/>
  <c r="I45" i="9"/>
  <c r="J35" i="5"/>
  <c r="AU16" i="5"/>
  <c r="N16" i="5"/>
  <c r="AY42" i="5"/>
  <c r="AZ25" i="5"/>
  <c r="AN25" i="5" s="1"/>
  <c r="AR25" i="5" s="1"/>
  <c r="AZ21" i="5"/>
  <c r="AN21" i="5" s="1"/>
  <c r="AR21" i="5" s="1"/>
  <c r="AZ11" i="5"/>
  <c r="AN11" i="5" s="1"/>
  <c r="L50" i="5"/>
  <c r="H26" i="5"/>
  <c r="AT26" i="5"/>
  <c r="AZ12" i="5"/>
  <c r="AN12" i="5" s="1"/>
  <c r="P35" i="5"/>
  <c r="R31" i="25"/>
  <c r="BD23" i="43"/>
  <c r="BD22" i="43"/>
  <c r="BD21" i="43"/>
  <c r="BD16" i="43"/>
  <c r="BD32" i="43"/>
  <c r="BD29" i="43"/>
  <c r="BD28" i="43"/>
  <c r="BD35" i="43"/>
  <c r="BD25" i="43"/>
  <c r="BD33" i="43"/>
  <c r="BD10" i="43"/>
  <c r="V59" i="5"/>
  <c r="Y59" i="5" s="1"/>
  <c r="Z42" i="5"/>
  <c r="AV31" i="5"/>
  <c r="T31" i="5"/>
  <c r="AQ30" i="43"/>
  <c r="AR30" i="43" s="1"/>
  <c r="AZ55" i="5"/>
  <c r="AN55" i="5" s="1"/>
  <c r="AZ49" i="5"/>
  <c r="AN49" i="5" s="1"/>
  <c r="AX47" i="5"/>
  <c r="AF58" i="5"/>
  <c r="AY58" i="5"/>
  <c r="AE58" i="5"/>
  <c r="V50" i="5"/>
  <c r="AL42" i="5"/>
  <c r="AH59" i="5"/>
  <c r="AZ20" i="5"/>
  <c r="AN20" i="5" s="1"/>
  <c r="AR20" i="5" s="1"/>
  <c r="I44" i="9"/>
  <c r="AF42" i="5"/>
  <c r="AB59" i="5"/>
  <c r="N26" i="5"/>
  <c r="AU26" i="5"/>
  <c r="M26" i="5"/>
  <c r="I20" i="9"/>
  <c r="AW26" i="5"/>
  <c r="Z26" i="5"/>
  <c r="Y26" i="5"/>
  <c r="I13" i="9"/>
  <c r="V35" i="5"/>
  <c r="E20" i="41"/>
  <c r="E28" i="41" s="1"/>
  <c r="CB60" i="2"/>
  <c r="CB58" i="2"/>
  <c r="AN21" i="2"/>
  <c r="CB50" i="2"/>
  <c r="H102" i="2"/>
  <c r="C7" i="36"/>
  <c r="H15" i="2"/>
  <c r="AO58" i="5"/>
  <c r="AK47" i="5"/>
  <c r="AO47" i="5"/>
  <c r="B9" i="36"/>
  <c r="AA27" i="32"/>
  <c r="AA28" i="32" s="1"/>
  <c r="AB28" i="32" s="1"/>
  <c r="AB31" i="32"/>
  <c r="AB11" i="32"/>
  <c r="AB37" i="32"/>
  <c r="AB35" i="32"/>
  <c r="AB33" i="32"/>
  <c r="AB25" i="32"/>
  <c r="AB30" i="32"/>
  <c r="AB12" i="32"/>
  <c r="AB38" i="32"/>
  <c r="AB23" i="32"/>
  <c r="AB16" i="32"/>
  <c r="AB36" i="32"/>
  <c r="AB32" i="32"/>
  <c r="AB26" i="32"/>
  <c r="AB17" i="32"/>
  <c r="AB22" i="32"/>
  <c r="AB34" i="32"/>
  <c r="AB24" i="32"/>
  <c r="AB19" i="32"/>
  <c r="AB18" i="32"/>
  <c r="AB14" i="32"/>
  <c r="AB13" i="32"/>
  <c r="AB20" i="32"/>
  <c r="C20" i="32"/>
  <c r="D14" i="32"/>
  <c r="E33" i="32"/>
  <c r="F33" i="32" s="1"/>
  <c r="E28" i="32"/>
  <c r="F20" i="32"/>
  <c r="D11" i="2"/>
  <c r="AD18" i="33"/>
  <c r="AD16" i="33"/>
  <c r="D32" i="2"/>
  <c r="AA10" i="2"/>
  <c r="AA15" i="2"/>
  <c r="AD30" i="33"/>
  <c r="AD192" i="33"/>
  <c r="BW60" i="2"/>
  <c r="BW70" i="2"/>
  <c r="BW58" i="2"/>
  <c r="BW57" i="2"/>
  <c r="BW46" i="2"/>
  <c r="BW64" i="2"/>
  <c r="BW68" i="2"/>
  <c r="BW56" i="2"/>
  <c r="BW44" i="2"/>
  <c r="BW51" i="2"/>
  <c r="BW50" i="2"/>
  <c r="BW63" i="2"/>
  <c r="BW67" i="2"/>
  <c r="AD159" i="33"/>
  <c r="AD93" i="33"/>
  <c r="AH28" i="2"/>
  <c r="BU35" i="2"/>
  <c r="BT44" i="2"/>
  <c r="AD12" i="33"/>
  <c r="F231" i="2"/>
  <c r="H29" i="36" s="1"/>
  <c r="H32" i="36"/>
  <c r="D195" i="2"/>
  <c r="X17" i="2" s="1"/>
  <c r="G31" i="36"/>
  <c r="D157" i="2"/>
  <c r="F28" i="36" s="1"/>
  <c r="F31" i="36"/>
  <c r="AD11" i="33"/>
  <c r="AD23" i="33"/>
  <c r="AD31" i="33"/>
  <c r="AD217" i="33"/>
  <c r="AD60" i="33"/>
  <c r="H195" i="2"/>
  <c r="G30" i="36" s="1"/>
  <c r="G33" i="36"/>
  <c r="S17" i="2"/>
  <c r="E31" i="36"/>
  <c r="J190" i="2"/>
  <c r="I60" i="2"/>
  <c r="CF21" i="2"/>
  <c r="BT56" i="2"/>
  <c r="CB56" i="2" s="1"/>
  <c r="F87" i="2"/>
  <c r="D29" i="36" s="1"/>
  <c r="D32" i="36"/>
  <c r="H52" i="2"/>
  <c r="C30" i="36" s="1"/>
  <c r="H87" i="2"/>
  <c r="D30" i="36" s="1"/>
  <c r="AM60" i="2"/>
  <c r="B10" i="36"/>
  <c r="B8" i="36"/>
  <c r="AM29" i="2"/>
  <c r="E12" i="38"/>
  <c r="AD17" i="33"/>
  <c r="AD24" i="33"/>
  <c r="AD25" i="33"/>
  <c r="AD146" i="33"/>
  <c r="BY51" i="2"/>
  <c r="BY50" i="2"/>
  <c r="BY56" i="2"/>
  <c r="BY68" i="2"/>
  <c r="BY67" i="2"/>
  <c r="BY44" i="2"/>
  <c r="BY58" i="2"/>
  <c r="BY57" i="2"/>
  <c r="BY60" i="2"/>
  <c r="BY70" i="2"/>
  <c r="BY64" i="2"/>
  <c r="BY63" i="2"/>
  <c r="BY46" i="2"/>
  <c r="AE232" i="43"/>
  <c r="AF232" i="43" s="1"/>
  <c r="BA26" i="43"/>
  <c r="N13" i="39"/>
  <c r="G47" i="5"/>
  <c r="AA27" i="41"/>
  <c r="AA28" i="41" s="1"/>
  <c r="AA32" i="41" s="1"/>
  <c r="AB32" i="41" s="1"/>
  <c r="F19" i="33"/>
  <c r="AB12" i="33"/>
  <c r="AA14" i="33"/>
  <c r="AB23" i="33"/>
  <c r="E20" i="33"/>
  <c r="F20" i="33" s="1"/>
  <c r="AA27" i="33"/>
  <c r="AB27" i="33" s="1"/>
  <c r="AB24" i="33"/>
  <c r="AB16" i="33"/>
  <c r="AB32" i="33"/>
  <c r="AB25" i="33"/>
  <c r="AB13" i="33"/>
  <c r="AB34" i="33"/>
  <c r="AB26" i="33"/>
  <c r="AB22" i="33"/>
  <c r="AB18" i="33"/>
  <c r="AB19" i="33"/>
  <c r="AB30" i="33"/>
  <c r="AB36" i="33"/>
  <c r="AB31" i="33"/>
  <c r="AB20" i="33"/>
  <c r="AO42" i="5"/>
  <c r="AO35" i="5"/>
  <c r="K60" i="5"/>
  <c r="E60" i="5"/>
  <c r="AB17" i="33"/>
  <c r="C28" i="41"/>
  <c r="D28" i="41" s="1"/>
  <c r="G20" i="41"/>
  <c r="H20" i="41" s="1"/>
  <c r="D14" i="41"/>
  <c r="F14" i="41"/>
  <c r="AB37" i="41"/>
  <c r="AB33" i="41"/>
  <c r="AB31" i="41"/>
  <c r="AB26" i="41"/>
  <c r="AB24" i="41"/>
  <c r="AB22" i="41"/>
  <c r="AB19" i="41"/>
  <c r="AB17" i="41"/>
  <c r="AB14" i="41"/>
  <c r="AB12" i="41"/>
  <c r="AB36" i="41"/>
  <c r="AB11" i="41"/>
  <c r="AB38" i="41"/>
  <c r="AB34" i="41"/>
  <c r="AB39" i="41"/>
  <c r="AB35" i="41"/>
  <c r="AB30" i="41"/>
  <c r="AB25" i="41"/>
  <c r="AB23" i="41"/>
  <c r="AB20" i="41"/>
  <c r="AB18" i="41"/>
  <c r="AB16" i="41"/>
  <c r="AB13" i="41"/>
  <c r="AB11" i="33"/>
  <c r="F33" i="33"/>
  <c r="F35" i="33"/>
  <c r="F14" i="33"/>
  <c r="E196" i="2"/>
  <c r="F196" i="2" s="1"/>
  <c r="T32" i="2"/>
  <c r="Z33" i="2"/>
  <c r="J60" i="2"/>
  <c r="AF246" i="2"/>
  <c r="AF249" i="2"/>
  <c r="AF247" i="2"/>
  <c r="J14" i="2"/>
  <c r="BC29" i="2"/>
  <c r="AA23" i="2"/>
  <c r="D249" i="2"/>
  <c r="D247" i="2"/>
  <c r="D246" i="2"/>
  <c r="AM14" i="2"/>
  <c r="H68" i="2"/>
  <c r="H247" i="2"/>
  <c r="H246" i="2"/>
  <c r="H249" i="2"/>
  <c r="AJ249" i="2"/>
  <c r="AJ247" i="2"/>
  <c r="AJ246" i="2"/>
  <c r="F249" i="2"/>
  <c r="F247" i="2"/>
  <c r="F246" i="2"/>
  <c r="F20" i="2"/>
  <c r="F103" i="2"/>
  <c r="AF190" i="2"/>
  <c r="AZ12" i="2" s="1"/>
  <c r="F67" i="2"/>
  <c r="AN60" i="2"/>
  <c r="AH249" i="2"/>
  <c r="AH247" i="2"/>
  <c r="AH246" i="2"/>
  <c r="AN14" i="2"/>
  <c r="H22" i="2"/>
  <c r="K21" i="2"/>
  <c r="H105" i="2"/>
  <c r="H138" i="2"/>
  <c r="T33" i="2"/>
  <c r="K60" i="2"/>
  <c r="L29" i="2"/>
  <c r="H32" i="2"/>
  <c r="H10" i="2"/>
  <c r="AM16" i="2"/>
  <c r="R32" i="2"/>
  <c r="F102" i="2"/>
  <c r="F213" i="2"/>
  <c r="F211" i="2"/>
  <c r="F210" i="2"/>
  <c r="AH213" i="2"/>
  <c r="AH211" i="2"/>
  <c r="AH210" i="2"/>
  <c r="H211" i="2"/>
  <c r="H210" i="2"/>
  <c r="H213" i="2"/>
  <c r="AF210" i="2"/>
  <c r="AF213" i="2"/>
  <c r="AF211" i="2"/>
  <c r="AL14" i="2"/>
  <c r="L87" i="2"/>
  <c r="AJ213" i="2"/>
  <c r="AJ211" i="2"/>
  <c r="AJ210" i="2"/>
  <c r="H35" i="2"/>
  <c r="H33" i="2"/>
  <c r="F60" i="2"/>
  <c r="H14" i="2"/>
  <c r="H9" i="2"/>
  <c r="BC28" i="2"/>
  <c r="H67" i="2"/>
  <c r="AK16" i="2"/>
  <c r="H103" i="2"/>
  <c r="D213" i="2"/>
  <c r="D211" i="2"/>
  <c r="D210" i="2"/>
  <c r="H137" i="2"/>
  <c r="AZ33" i="2"/>
  <c r="F9" i="2"/>
  <c r="AL130" i="2"/>
  <c r="V32" i="2"/>
  <c r="AH172" i="2"/>
  <c r="AH173" i="2"/>
  <c r="AH175" i="2"/>
  <c r="F22" i="2"/>
  <c r="D175" i="2"/>
  <c r="D173" i="2"/>
  <c r="D172" i="2"/>
  <c r="AJ226" i="2"/>
  <c r="H157" i="2"/>
  <c r="F30" i="36" s="1"/>
  <c r="L226" i="2"/>
  <c r="AL152" i="2"/>
  <c r="AM226" i="2"/>
  <c r="F33" i="2"/>
  <c r="AF172" i="2"/>
  <c r="AF175" i="2"/>
  <c r="AF173" i="2"/>
  <c r="O12" i="2"/>
  <c r="AA11" i="2"/>
  <c r="BC10" i="2"/>
  <c r="AH68" i="2"/>
  <c r="AJ175" i="2"/>
  <c r="AJ173" i="2"/>
  <c r="AJ172" i="2"/>
  <c r="AJ60" i="2"/>
  <c r="AN203" i="2"/>
  <c r="AN130" i="2"/>
  <c r="K122" i="2"/>
  <c r="Q25" i="2"/>
  <c r="BC16" i="2"/>
  <c r="H175" i="2"/>
  <c r="H172" i="2"/>
  <c r="H173" i="2"/>
  <c r="F173" i="2"/>
  <c r="F175" i="2"/>
  <c r="F172" i="2"/>
  <c r="F70" i="2"/>
  <c r="F14" i="2"/>
  <c r="V33" i="2"/>
  <c r="C53" i="2"/>
  <c r="O18" i="2" s="1"/>
  <c r="AK165" i="2"/>
  <c r="AI232" i="2"/>
  <c r="AJ232" i="2" s="1"/>
  <c r="K47" i="2"/>
  <c r="F32" i="2"/>
  <c r="F35" i="2"/>
  <c r="L203" i="2"/>
  <c r="F28" i="2"/>
  <c r="D12" i="38"/>
  <c r="D15" i="38" s="1"/>
  <c r="K226" i="2"/>
  <c r="AH32" i="2"/>
  <c r="F105" i="2"/>
  <c r="D103" i="2"/>
  <c r="AW25" i="2"/>
  <c r="J203" i="2"/>
  <c r="AJ140" i="2"/>
  <c r="AJ138" i="2"/>
  <c r="AJ137" i="2"/>
  <c r="AH35" i="2"/>
  <c r="AH137" i="2"/>
  <c r="AH138" i="2"/>
  <c r="AH140" i="2"/>
  <c r="D140" i="2"/>
  <c r="D138" i="2"/>
  <c r="D137" i="2"/>
  <c r="X32" i="2"/>
  <c r="AJ231" i="2"/>
  <c r="AF137" i="2"/>
  <c r="AF140" i="2"/>
  <c r="AF138" i="2"/>
  <c r="F138" i="2"/>
  <c r="F137" i="2"/>
  <c r="F140" i="2"/>
  <c r="D52" i="2"/>
  <c r="P17" i="2" s="1"/>
  <c r="P33" i="2"/>
  <c r="AK190" i="2"/>
  <c r="AH70" i="2"/>
  <c r="AH67" i="2"/>
  <c r="AK28" i="2"/>
  <c r="AA28" i="2"/>
  <c r="AA9" i="2"/>
  <c r="AB9" i="2" s="1"/>
  <c r="AH9" i="2"/>
  <c r="AJ130" i="2"/>
  <c r="BC22" i="2"/>
  <c r="AN15" i="2"/>
  <c r="AL190" i="2"/>
  <c r="AH21" i="2"/>
  <c r="AH33" i="2"/>
  <c r="K11" i="2"/>
  <c r="K10" i="2"/>
  <c r="P32" i="2"/>
  <c r="BG245" i="2"/>
  <c r="BG240" i="2"/>
  <c r="BH240" i="2" s="1"/>
  <c r="CD18" i="2"/>
  <c r="BU32" i="2"/>
  <c r="BU25" i="2"/>
  <c r="BU16" i="2"/>
  <c r="CF9" i="2"/>
  <c r="BU29" i="2"/>
  <c r="BU28" i="2"/>
  <c r="BU21" i="2"/>
  <c r="BU15" i="2"/>
  <c r="BU33" i="2"/>
  <c r="BU22" i="2"/>
  <c r="BU9" i="2"/>
  <c r="BU23" i="2"/>
  <c r="AH16" i="2"/>
  <c r="AH22" i="2"/>
  <c r="AA16" i="2"/>
  <c r="AK231" i="2"/>
  <c r="G6" i="36"/>
  <c r="H122" i="2"/>
  <c r="E30" i="36" s="1"/>
  <c r="H5" i="36"/>
  <c r="I122" i="2"/>
  <c r="L21" i="2"/>
  <c r="L9" i="2"/>
  <c r="BC14" i="2"/>
  <c r="D15" i="2"/>
  <c r="D122" i="2"/>
  <c r="E28" i="36" s="1"/>
  <c r="F195" i="2"/>
  <c r="G29" i="36" s="1"/>
  <c r="D29" i="2"/>
  <c r="AZ32" i="2"/>
  <c r="G25" i="2"/>
  <c r="H25" i="2" s="1"/>
  <c r="D21" i="2"/>
  <c r="D33" i="2"/>
  <c r="J9" i="2"/>
  <c r="AL165" i="2"/>
  <c r="D20" i="2"/>
  <c r="D68" i="2"/>
  <c r="D67" i="2"/>
  <c r="L10" i="2"/>
  <c r="BC23" i="2"/>
  <c r="AK23" i="2"/>
  <c r="D105" i="2"/>
  <c r="AG158" i="2"/>
  <c r="AH158" i="2" s="1"/>
  <c r="H6" i="36"/>
  <c r="J195" i="2"/>
  <c r="AL52" i="2"/>
  <c r="F29" i="2"/>
  <c r="K9" i="2"/>
  <c r="D22" i="2"/>
  <c r="D9" i="2"/>
  <c r="AL95" i="2"/>
  <c r="D16" i="2"/>
  <c r="I9" i="2"/>
  <c r="D70" i="2"/>
  <c r="F52" i="2"/>
  <c r="C29" i="36" s="1"/>
  <c r="AM28" i="2"/>
  <c r="D28" i="2"/>
  <c r="D23" i="2"/>
  <c r="K28" i="2"/>
  <c r="BC11" i="2"/>
  <c r="AG53" i="2"/>
  <c r="AG61" i="2" s="1"/>
  <c r="D102" i="2"/>
  <c r="G7" i="36"/>
  <c r="F7" i="36"/>
  <c r="J95" i="2"/>
  <c r="W25" i="2"/>
  <c r="AA14" i="2"/>
  <c r="AF231" i="2"/>
  <c r="BB17" i="2" s="1"/>
  <c r="AM203" i="2"/>
  <c r="AE232" i="2"/>
  <c r="AE245" i="2" s="1"/>
  <c r="AD231" i="33" s="1"/>
  <c r="E6" i="36"/>
  <c r="L95" i="2"/>
  <c r="L239" i="2"/>
  <c r="AK130" i="2"/>
  <c r="C6" i="36"/>
  <c r="L122" i="2"/>
  <c r="D6" i="36"/>
  <c r="AN29" i="2"/>
  <c r="AH23" i="2"/>
  <c r="D10" i="2"/>
  <c r="AX32" i="2"/>
  <c r="AX33" i="2"/>
  <c r="P10" i="2"/>
  <c r="AJ105" i="2"/>
  <c r="AJ103" i="2"/>
  <c r="AJ102" i="2"/>
  <c r="BB35" i="2"/>
  <c r="BB32" i="2"/>
  <c r="AN16" i="2"/>
  <c r="AH130" i="2"/>
  <c r="AL226" i="2"/>
  <c r="BB33" i="2"/>
  <c r="AN165" i="2"/>
  <c r="AM165" i="2"/>
  <c r="AJ203" i="2"/>
  <c r="AN231" i="2"/>
  <c r="AK226" i="2"/>
  <c r="L130" i="2"/>
  <c r="AM130" i="2"/>
  <c r="D95" i="2"/>
  <c r="R25" i="2" s="1"/>
  <c r="AF102" i="2"/>
  <c r="AF103" i="2"/>
  <c r="AF105" i="2"/>
  <c r="AL16" i="2"/>
  <c r="BC15" i="2"/>
  <c r="I10" i="2"/>
  <c r="AA21" i="2"/>
  <c r="AH103" i="2"/>
  <c r="AH105" i="2"/>
  <c r="AH102" i="2"/>
  <c r="AJ165" i="2"/>
  <c r="AK195" i="2"/>
  <c r="AF195" i="2"/>
  <c r="AZ17" i="2" s="1"/>
  <c r="AY17" i="2"/>
  <c r="AM195" i="2"/>
  <c r="K82" i="2"/>
  <c r="C88" i="2"/>
  <c r="Q12" i="2"/>
  <c r="I82" i="2"/>
  <c r="D82" i="2"/>
  <c r="R12" i="2" s="1"/>
  <c r="AM157" i="2"/>
  <c r="AK157" i="2"/>
  <c r="AF157" i="2"/>
  <c r="AX17" i="2" s="1"/>
  <c r="AW17" i="2"/>
  <c r="AM122" i="2"/>
  <c r="AU17" i="2"/>
  <c r="AK122" i="2"/>
  <c r="AI196" i="2"/>
  <c r="AJ190" i="2"/>
  <c r="AN190" i="2"/>
  <c r="L165" i="2"/>
  <c r="H165" i="2"/>
  <c r="AE196" i="2"/>
  <c r="AD152" i="33" s="1"/>
  <c r="H152" i="2"/>
  <c r="G158" i="2"/>
  <c r="L152" i="2"/>
  <c r="F23" i="2"/>
  <c r="J23" i="2"/>
  <c r="AN82" i="2"/>
  <c r="AJ82" i="2"/>
  <c r="AI88" i="2"/>
  <c r="AH15" i="2"/>
  <c r="AL15" i="2"/>
  <c r="BO11" i="2"/>
  <c r="BM11" i="2"/>
  <c r="BU11" i="2"/>
  <c r="AV33" i="2"/>
  <c r="AV32" i="2"/>
  <c r="AG123" i="2"/>
  <c r="AH117" i="2"/>
  <c r="AL117" i="2"/>
  <c r="I22" i="2"/>
  <c r="K22" i="2"/>
  <c r="J22" i="2"/>
  <c r="J11" i="2"/>
  <c r="F11" i="2"/>
  <c r="K130" i="2"/>
  <c r="I130" i="2"/>
  <c r="J130" i="2"/>
  <c r="K14" i="2"/>
  <c r="L14" i="2"/>
  <c r="I14" i="2"/>
  <c r="J82" i="2"/>
  <c r="F82" i="2"/>
  <c r="E88" i="2"/>
  <c r="AL29" i="2"/>
  <c r="AH29" i="2"/>
  <c r="AM22" i="2"/>
  <c r="AK22" i="2"/>
  <c r="AN22" i="2"/>
  <c r="AK14" i="2"/>
  <c r="AM23" i="2"/>
  <c r="I11" i="2"/>
  <c r="K165" i="2"/>
  <c r="D165" i="2"/>
  <c r="V25" i="2" s="1"/>
  <c r="I165" i="2"/>
  <c r="J117" i="2"/>
  <c r="E123" i="2"/>
  <c r="AG88" i="2"/>
  <c r="AL82" i="2"/>
  <c r="D53" i="2"/>
  <c r="P18" i="2" s="1"/>
  <c r="F21" i="2"/>
  <c r="E25" i="2"/>
  <c r="J21" i="2"/>
  <c r="AH60" i="2"/>
  <c r="AL60" i="2"/>
  <c r="AM10" i="2"/>
  <c r="AK10" i="2"/>
  <c r="I87" i="2"/>
  <c r="Q17" i="2"/>
  <c r="K87" i="2"/>
  <c r="F10" i="2"/>
  <c r="J10" i="2"/>
  <c r="AM87" i="2"/>
  <c r="AK87" i="2"/>
  <c r="AS17" i="2"/>
  <c r="AI53" i="2"/>
  <c r="AN47" i="2"/>
  <c r="AI12" i="2"/>
  <c r="AJ12" i="2" s="1"/>
  <c r="AM239" i="2"/>
  <c r="AK239" i="2"/>
  <c r="AF239" i="2"/>
  <c r="BB25" i="2" s="1"/>
  <c r="F5" i="36"/>
  <c r="V10" i="2"/>
  <c r="K195" i="2"/>
  <c r="I195" i="2"/>
  <c r="W17" i="2"/>
  <c r="J239" i="2"/>
  <c r="AH195" i="2"/>
  <c r="AL195" i="2"/>
  <c r="AL203" i="2"/>
  <c r="AK203" i="2"/>
  <c r="G5" i="36"/>
  <c r="X10" i="2"/>
  <c r="I231" i="2"/>
  <c r="K231" i="2"/>
  <c r="D231" i="2"/>
  <c r="Y17" i="2"/>
  <c r="AJ195" i="2"/>
  <c r="AN195" i="2"/>
  <c r="J165" i="2"/>
  <c r="F6" i="36"/>
  <c r="E7" i="36"/>
  <c r="J87" i="2"/>
  <c r="G53" i="2"/>
  <c r="L47" i="2"/>
  <c r="G12" i="2"/>
  <c r="H47" i="2"/>
  <c r="AN239" i="2"/>
  <c r="AK82" i="2"/>
  <c r="AF82" i="2"/>
  <c r="AT12" i="2" s="1"/>
  <c r="AE88" i="2"/>
  <c r="AD119" i="33" s="1"/>
  <c r="AM82" i="2"/>
  <c r="AS12" i="2"/>
  <c r="AK52" i="2"/>
  <c r="AQ17" i="2"/>
  <c r="AM52" i="2"/>
  <c r="AN52" i="2"/>
  <c r="AE17" i="2"/>
  <c r="AF17" i="2" s="1"/>
  <c r="J47" i="2"/>
  <c r="E12" i="2"/>
  <c r="AM190" i="2"/>
  <c r="G123" i="2"/>
  <c r="H117" i="2"/>
  <c r="L117" i="2"/>
  <c r="AL87" i="2"/>
  <c r="AH87" i="2"/>
  <c r="L52" i="2"/>
  <c r="G17" i="2"/>
  <c r="B33" i="36" s="1"/>
  <c r="K23" i="2"/>
  <c r="AK15" i="2"/>
  <c r="AM15" i="2"/>
  <c r="AR33" i="2"/>
  <c r="BC9" i="2"/>
  <c r="BD35" i="2" s="1"/>
  <c r="AR32" i="2"/>
  <c r="BM264" i="2"/>
  <c r="BO264" i="2"/>
  <c r="AG12" i="2"/>
  <c r="AG196" i="2"/>
  <c r="AF122" i="2"/>
  <c r="AV17" i="2" s="1"/>
  <c r="AM117" i="2"/>
  <c r="AK117" i="2"/>
  <c r="AU12" i="2"/>
  <c r="AE123" i="2"/>
  <c r="AD86" i="33" s="1"/>
  <c r="AK95" i="2"/>
  <c r="AF95" i="2"/>
  <c r="AT25" i="2" s="1"/>
  <c r="AM95" i="2"/>
  <c r="K15" i="2"/>
  <c r="L15" i="2"/>
  <c r="AL22" i="2"/>
  <c r="H11" i="2"/>
  <c r="K29" i="2"/>
  <c r="I29" i="2"/>
  <c r="F122" i="2"/>
  <c r="E29" i="36" s="1"/>
  <c r="J122" i="2"/>
  <c r="AK60" i="2"/>
  <c r="AA22" i="2"/>
  <c r="O25" i="2"/>
  <c r="H28" i="2"/>
  <c r="I21" i="2"/>
  <c r="AM21" i="2"/>
  <c r="AE25" i="2"/>
  <c r="AK21" i="2"/>
  <c r="AN10" i="2"/>
  <c r="D7" i="36"/>
  <c r="C12" i="2"/>
  <c r="L22" i="2"/>
  <c r="AL10" i="2"/>
  <c r="H23" i="2"/>
  <c r="L231" i="2"/>
  <c r="G232" i="2"/>
  <c r="H231" i="2"/>
  <c r="H30" i="36" s="1"/>
  <c r="L195" i="2"/>
  <c r="AM152" i="2"/>
  <c r="AE158" i="2"/>
  <c r="AD185" i="33" s="1"/>
  <c r="AK152" i="2"/>
  <c r="AF152" i="2"/>
  <c r="AX12" i="2" s="1"/>
  <c r="AW12" i="2"/>
  <c r="J226" i="2"/>
  <c r="E232" i="2"/>
  <c r="C123" i="2"/>
  <c r="I117" i="2"/>
  <c r="K117" i="2"/>
  <c r="S12" i="2"/>
  <c r="D117" i="2"/>
  <c r="T12" i="2" s="1"/>
  <c r="AN87" i="2"/>
  <c r="AI17" i="2"/>
  <c r="AJ17" i="2" s="1"/>
  <c r="J157" i="2"/>
  <c r="I226" i="2"/>
  <c r="AF70" i="2"/>
  <c r="AF67" i="2"/>
  <c r="AF32" i="2"/>
  <c r="AF33" i="2"/>
  <c r="AF68" i="2"/>
  <c r="AF35" i="2"/>
  <c r="AM9" i="2"/>
  <c r="AF29" i="2"/>
  <c r="AF28" i="2"/>
  <c r="AF16" i="2"/>
  <c r="AF15" i="2"/>
  <c r="AF14" i="2"/>
  <c r="AF22" i="2"/>
  <c r="AF21" i="2"/>
  <c r="AF10" i="2"/>
  <c r="AF23" i="2"/>
  <c r="AK9" i="2"/>
  <c r="AF9" i="2"/>
  <c r="AF11" i="2"/>
  <c r="AM47" i="2"/>
  <c r="AQ12" i="2"/>
  <c r="AE53" i="2"/>
  <c r="AD53" i="33" s="1"/>
  <c r="AE12" i="2"/>
  <c r="AF47" i="2"/>
  <c r="AR12" i="2" s="1"/>
  <c r="AK47" i="2"/>
  <c r="J28" i="2"/>
  <c r="I28" i="2"/>
  <c r="AL231" i="2"/>
  <c r="AH231" i="2"/>
  <c r="AG232" i="2"/>
  <c r="AL239" i="2"/>
  <c r="AL157" i="2"/>
  <c r="K157" i="2"/>
  <c r="U17" i="2"/>
  <c r="I157" i="2"/>
  <c r="F157" i="2"/>
  <c r="F29" i="36" s="1"/>
  <c r="F117" i="2"/>
  <c r="D87" i="2"/>
  <c r="J231" i="2"/>
  <c r="AH157" i="2"/>
  <c r="I239" i="2"/>
  <c r="K239" i="2"/>
  <c r="D239" i="2"/>
  <c r="Z25" i="2" s="1"/>
  <c r="AI158" i="2"/>
  <c r="AN152" i="2"/>
  <c r="AJ152" i="2"/>
  <c r="AF87" i="2"/>
  <c r="AT17" i="2" s="1"/>
  <c r="F239" i="2"/>
  <c r="L190" i="2"/>
  <c r="G196" i="2"/>
  <c r="I190" i="2"/>
  <c r="K190" i="2"/>
  <c r="C196" i="2"/>
  <c r="W12" i="2"/>
  <c r="D190" i="2"/>
  <c r="X12" i="2" s="1"/>
  <c r="I152" i="2"/>
  <c r="C158" i="2"/>
  <c r="D152" i="2"/>
  <c r="V12" i="2" s="1"/>
  <c r="K152" i="2"/>
  <c r="U12" i="2"/>
  <c r="J152" i="2"/>
  <c r="E158" i="2"/>
  <c r="F152" i="2"/>
  <c r="AN117" i="2"/>
  <c r="AI123" i="2"/>
  <c r="AM231" i="2"/>
  <c r="AH95" i="2"/>
  <c r="D5" i="36"/>
  <c r="R10" i="2"/>
  <c r="AM11" i="2"/>
  <c r="AK11" i="2"/>
  <c r="L60" i="2"/>
  <c r="H60" i="2"/>
  <c r="AL47" i="2"/>
  <c r="I23" i="2"/>
  <c r="AH14" i="2"/>
  <c r="C232" i="2"/>
  <c r="K95" i="2"/>
  <c r="I95" i="2"/>
  <c r="AG17" i="2"/>
  <c r="AF52" i="2"/>
  <c r="AR17" i="2" s="1"/>
  <c r="H29" i="2"/>
  <c r="I203" i="2"/>
  <c r="K203" i="2"/>
  <c r="AL122" i="2"/>
  <c r="AN122" i="2"/>
  <c r="AJ122" i="2"/>
  <c r="E5" i="36"/>
  <c r="AF117" i="2"/>
  <c r="AV12" i="2" s="1"/>
  <c r="I52" i="2"/>
  <c r="C17" i="2"/>
  <c r="B31" i="36" s="1"/>
  <c r="O17" i="2"/>
  <c r="K52" i="2"/>
  <c r="L157" i="2"/>
  <c r="AJ157" i="2"/>
  <c r="AN157" i="2"/>
  <c r="AJ95" i="2"/>
  <c r="AN95" i="2"/>
  <c r="AI25" i="2"/>
  <c r="AJ25" i="2" s="1"/>
  <c r="C25" i="2"/>
  <c r="AH11" i="2"/>
  <c r="AL9" i="2"/>
  <c r="G88" i="2"/>
  <c r="L82" i="2"/>
  <c r="I47" i="2"/>
  <c r="AJ70" i="2"/>
  <c r="AJ33" i="2"/>
  <c r="AJ32" i="2"/>
  <c r="AJ68" i="2"/>
  <c r="AJ67" i="2"/>
  <c r="AJ35" i="2"/>
  <c r="AJ29" i="2"/>
  <c r="AJ28" i="2"/>
  <c r="AJ16" i="2"/>
  <c r="AJ15" i="2"/>
  <c r="AJ14" i="2"/>
  <c r="AJ23" i="2"/>
  <c r="AJ11" i="2"/>
  <c r="AN9" i="2"/>
  <c r="AJ21" i="2"/>
  <c r="AJ22" i="2"/>
  <c r="AJ10" i="2"/>
  <c r="AJ9" i="2"/>
  <c r="AK29" i="2"/>
  <c r="AL21" i="2"/>
  <c r="D14" i="2"/>
  <c r="BC21" i="2"/>
  <c r="AN62" i="43"/>
  <c r="AM62" i="43"/>
  <c r="J94" i="43"/>
  <c r="J197" i="43"/>
  <c r="AN128" i="43"/>
  <c r="AM128" i="43"/>
  <c r="J128" i="43"/>
  <c r="L128" i="43"/>
  <c r="L231" i="43"/>
  <c r="AN94" i="43"/>
  <c r="AM94" i="43"/>
  <c r="J162" i="43"/>
  <c r="J62" i="43"/>
  <c r="E29" i="43"/>
  <c r="J29" i="43" s="1"/>
  <c r="L94" i="43"/>
  <c r="L162" i="43"/>
  <c r="AM162" i="43"/>
  <c r="AN162" i="43"/>
  <c r="L197" i="43"/>
  <c r="J231" i="43"/>
  <c r="AH8" i="40"/>
  <c r="AH12" i="40"/>
  <c r="AH26" i="40"/>
  <c r="AH32" i="40"/>
  <c r="AH38" i="40"/>
  <c r="AH42" i="40"/>
  <c r="AH48" i="40"/>
  <c r="AH52" i="40"/>
  <c r="AH58" i="40"/>
  <c r="AH64" i="40"/>
  <c r="AH7" i="40"/>
  <c r="AH11" i="40"/>
  <c r="AH31" i="40"/>
  <c r="AH37" i="40"/>
  <c r="AH41" i="40"/>
  <c r="AH45" i="40"/>
  <c r="AH51" i="40"/>
  <c r="AH57" i="40"/>
  <c r="AH61" i="40"/>
  <c r="AH10" i="40"/>
  <c r="AH14" i="40"/>
  <c r="AH16" i="40"/>
  <c r="AH20" i="40"/>
  <c r="AH24" i="40"/>
  <c r="AH30" i="40"/>
  <c r="AH34" i="40"/>
  <c r="AH40" i="40"/>
  <c r="AH44" i="40"/>
  <c r="AH50" i="40"/>
  <c r="AH56" i="40"/>
  <c r="AH60" i="40"/>
  <c r="Q41" i="28" l="1"/>
  <c r="Q43" i="28" s="1"/>
  <c r="G41" i="28"/>
  <c r="G43" i="28" s="1"/>
  <c r="AR45" i="5"/>
  <c r="H16" i="2"/>
  <c r="L16" i="2"/>
  <c r="R41" i="28"/>
  <c r="R43" i="28" s="1"/>
  <c r="H41" i="28"/>
  <c r="H43" i="28" s="1"/>
  <c r="F41" i="28"/>
  <c r="F43" i="28" s="1"/>
  <c r="L60" i="5"/>
  <c r="J52" i="2"/>
  <c r="E53" i="2"/>
  <c r="E18" i="2" s="1"/>
  <c r="E17" i="2"/>
  <c r="B32" i="36" s="1"/>
  <c r="F16" i="2"/>
  <c r="I16" i="2"/>
  <c r="E41" i="28"/>
  <c r="E43" i="28" s="1"/>
  <c r="X60" i="5"/>
  <c r="E55" i="9"/>
  <c r="I42" i="9"/>
  <c r="G54" i="9"/>
  <c r="G55" i="9" s="1"/>
  <c r="AQ56" i="5"/>
  <c r="J15" i="2"/>
  <c r="AL25" i="2"/>
  <c r="M41" i="28"/>
  <c r="M43" i="28" s="1"/>
  <c r="AF50" i="5"/>
  <c r="BO301" i="2"/>
  <c r="BM301" i="2"/>
  <c r="G28" i="36"/>
  <c r="AQ53" i="5"/>
  <c r="I21" i="9"/>
  <c r="H55" i="9"/>
  <c r="AR22" i="5"/>
  <c r="R60" i="5"/>
  <c r="H44" i="43"/>
  <c r="F44" i="43"/>
  <c r="AR30" i="5"/>
  <c r="P41" i="28"/>
  <c r="P43" i="28" s="1"/>
  <c r="G59" i="5"/>
  <c r="I53" i="9"/>
  <c r="M28" i="33"/>
  <c r="N28" i="33" s="1"/>
  <c r="N20" i="33"/>
  <c r="BH301" i="2"/>
  <c r="I15" i="2"/>
  <c r="BG267" i="2"/>
  <c r="BH84" i="2"/>
  <c r="BG87" i="2"/>
  <c r="BG88" i="2" s="1"/>
  <c r="BV14" i="2"/>
  <c r="AP50" i="5"/>
  <c r="J14" i="28"/>
  <c r="AU59" i="5"/>
  <c r="AJ60" i="5"/>
  <c r="BH154" i="2"/>
  <c r="BG157" i="2"/>
  <c r="BZ14" i="2"/>
  <c r="CA14" i="2" s="1"/>
  <c r="BG305" i="2"/>
  <c r="D54" i="9"/>
  <c r="D55" i="9" s="1"/>
  <c r="BH192" i="2"/>
  <c r="BG195" i="2"/>
  <c r="CB14" i="2"/>
  <c r="BH119" i="2"/>
  <c r="BG122" i="2"/>
  <c r="BX14" i="2"/>
  <c r="BY14" i="2" s="1"/>
  <c r="S14" i="28"/>
  <c r="S41" i="28" s="1"/>
  <c r="S43" i="28" s="1"/>
  <c r="BG303" i="2"/>
  <c r="BH303" i="2" s="1"/>
  <c r="BP301" i="2"/>
  <c r="BJ303" i="2"/>
  <c r="BI309" i="2"/>
  <c r="J23" i="28"/>
  <c r="AP59" i="5"/>
  <c r="BK309" i="2"/>
  <c r="BL303" i="2"/>
  <c r="AW59" i="5"/>
  <c r="AK59" i="5"/>
  <c r="I26" i="9"/>
  <c r="AB14" i="2"/>
  <c r="BH82" i="2"/>
  <c r="BV12" i="2"/>
  <c r="BW12" i="2" s="1"/>
  <c r="AQ33" i="5"/>
  <c r="E15" i="38"/>
  <c r="E16" i="38" s="1"/>
  <c r="AT59" i="5"/>
  <c r="AR18" i="5"/>
  <c r="AQ13" i="5"/>
  <c r="AL59" i="5"/>
  <c r="F55" i="9"/>
  <c r="AQ24" i="5"/>
  <c r="AR46" i="5"/>
  <c r="AB35" i="2"/>
  <c r="AQ38" i="5"/>
  <c r="AQ25" i="5"/>
  <c r="AQ57" i="5"/>
  <c r="AQ28" i="5"/>
  <c r="AR37" i="5"/>
  <c r="AR41" i="5"/>
  <c r="AQ41" i="5"/>
  <c r="AA25" i="2"/>
  <c r="AB25" i="2" s="1"/>
  <c r="C61" i="2"/>
  <c r="C65" i="2" s="1"/>
  <c r="AQ47" i="5"/>
  <c r="BG190" i="2"/>
  <c r="CB10" i="2"/>
  <c r="CC10" i="2" s="1"/>
  <c r="BH188" i="2"/>
  <c r="BZ10" i="2"/>
  <c r="BH150" i="2"/>
  <c r="BG152" i="2"/>
  <c r="AW59" i="43"/>
  <c r="AX59" i="43" s="1"/>
  <c r="BB26" i="43"/>
  <c r="BA31" i="43"/>
  <c r="AF233" i="43"/>
  <c r="CD31" i="2"/>
  <c r="BH245" i="2"/>
  <c r="BZ53" i="2"/>
  <c r="CA53" i="2" s="1"/>
  <c r="CE18" i="2"/>
  <c r="AM33" i="43"/>
  <c r="BX10" i="2"/>
  <c r="BH115" i="2"/>
  <c r="BG117" i="2"/>
  <c r="BG14" i="2"/>
  <c r="D41" i="28"/>
  <c r="D43" i="28" s="1"/>
  <c r="AQ34" i="5"/>
  <c r="AX59" i="5"/>
  <c r="BG10" i="2"/>
  <c r="D20" i="33"/>
  <c r="C28" i="33"/>
  <c r="D28" i="33" s="1"/>
  <c r="G28" i="33"/>
  <c r="H28" i="33" s="1"/>
  <c r="H20" i="33"/>
  <c r="R58" i="25"/>
  <c r="R60" i="25" s="1"/>
  <c r="R63" i="25" s="1"/>
  <c r="Z59" i="5"/>
  <c r="AQ14" i="5"/>
  <c r="AV59" i="5"/>
  <c r="AQ15" i="5"/>
  <c r="AQ52" i="5"/>
  <c r="AR52" i="5"/>
  <c r="AZ42" i="5"/>
  <c r="AF25" i="2"/>
  <c r="AV35" i="5"/>
  <c r="S35" i="5"/>
  <c r="T35" i="5"/>
  <c r="P60" i="5"/>
  <c r="AU50" i="5"/>
  <c r="N50" i="5"/>
  <c r="M50" i="5"/>
  <c r="T59" i="5"/>
  <c r="S59" i="5"/>
  <c r="AR10" i="5"/>
  <c r="AQ10" i="5"/>
  <c r="AR9" i="5"/>
  <c r="AQ9" i="5"/>
  <c r="AT35" i="5"/>
  <c r="G35" i="5"/>
  <c r="D60" i="5"/>
  <c r="H35" i="5"/>
  <c r="H60" i="5" s="1"/>
  <c r="AL50" i="5"/>
  <c r="AX50" i="5"/>
  <c r="AK50" i="5"/>
  <c r="AQ32" i="5"/>
  <c r="AR32" i="5"/>
  <c r="AQ49" i="5"/>
  <c r="AR49" i="5"/>
  <c r="AB27" i="32"/>
  <c r="AH60" i="5"/>
  <c r="AY59" i="5"/>
  <c r="AY60" i="5" s="1"/>
  <c r="AQ55" i="5"/>
  <c r="AR55" i="5"/>
  <c r="AQ29" i="5"/>
  <c r="AR12" i="5"/>
  <c r="AQ12" i="5"/>
  <c r="AR11" i="5"/>
  <c r="AQ11" i="5"/>
  <c r="N35" i="5"/>
  <c r="AU35" i="5"/>
  <c r="J60" i="5"/>
  <c r="M35" i="5"/>
  <c r="N59" i="5"/>
  <c r="M59" i="5"/>
  <c r="I37" i="9"/>
  <c r="AN58" i="5"/>
  <c r="AR19" i="5"/>
  <c r="AQ19" i="5"/>
  <c r="AR54" i="5"/>
  <c r="AQ54" i="5"/>
  <c r="AR40" i="5"/>
  <c r="AQ40" i="5"/>
  <c r="J58" i="25"/>
  <c r="J60" i="25" s="1"/>
  <c r="J63" i="25" s="1"/>
  <c r="J4" i="28"/>
  <c r="AB60" i="5"/>
  <c r="AF59" i="5"/>
  <c r="AF60" i="5" s="1"/>
  <c r="AE59" i="5"/>
  <c r="AE60" i="5" s="1"/>
  <c r="T50" i="5"/>
  <c r="S50" i="5"/>
  <c r="AV50" i="5"/>
  <c r="AO59" i="5"/>
  <c r="AO60" i="5" s="1"/>
  <c r="AQ63" i="43"/>
  <c r="AR63" i="43" s="1"/>
  <c r="AQ34" i="43"/>
  <c r="AR34" i="43" s="1"/>
  <c r="AZ26" i="5"/>
  <c r="AN26" i="5" s="1"/>
  <c r="AL35" i="5"/>
  <c r="AX35" i="5"/>
  <c r="AK35" i="5"/>
  <c r="I11" i="9"/>
  <c r="AQ39" i="5"/>
  <c r="AR39" i="5"/>
  <c r="AT50" i="5"/>
  <c r="H50" i="5"/>
  <c r="G50" i="5"/>
  <c r="AZ47" i="5"/>
  <c r="AQ20" i="5"/>
  <c r="L63" i="25"/>
  <c r="C32" i="41"/>
  <c r="D32" i="41" s="1"/>
  <c r="AZ58" i="5"/>
  <c r="AW35" i="5"/>
  <c r="V60" i="5"/>
  <c r="Y35" i="5"/>
  <c r="Y60" i="5" s="1"/>
  <c r="Z35" i="5"/>
  <c r="AW50" i="5"/>
  <c r="Z50" i="5"/>
  <c r="Y50" i="5"/>
  <c r="AQ21" i="5"/>
  <c r="AZ16" i="5"/>
  <c r="AN16" i="5" s="1"/>
  <c r="AR16" i="5" s="1"/>
  <c r="C29" i="9"/>
  <c r="I29" i="9" s="1"/>
  <c r="I27" i="9"/>
  <c r="AP35" i="5"/>
  <c r="AZ31" i="5"/>
  <c r="AN31" i="5" s="1"/>
  <c r="AN47" i="5"/>
  <c r="AR44" i="5"/>
  <c r="AR47" i="5" s="1"/>
  <c r="AQ23" i="5"/>
  <c r="AN42" i="5"/>
  <c r="AR42" i="5" s="1"/>
  <c r="C54" i="9"/>
  <c r="F20" i="41"/>
  <c r="AB27" i="41"/>
  <c r="AB15" i="2"/>
  <c r="E204" i="2"/>
  <c r="E208" i="2" s="1"/>
  <c r="E212" i="2" s="1"/>
  <c r="AB29" i="2"/>
  <c r="J196" i="2"/>
  <c r="V17" i="2"/>
  <c r="CF25" i="2"/>
  <c r="CG25" i="2" s="1"/>
  <c r="B7" i="36"/>
  <c r="B5" i="36"/>
  <c r="C33" i="32"/>
  <c r="D33" i="32" s="1"/>
  <c r="C28" i="32"/>
  <c r="D20" i="32"/>
  <c r="E32" i="32"/>
  <c r="F32" i="32" s="1"/>
  <c r="F28" i="32"/>
  <c r="E209" i="2"/>
  <c r="F209" i="2" s="1"/>
  <c r="AB22" i="2"/>
  <c r="AB10" i="2"/>
  <c r="AB32" i="2"/>
  <c r="AB33" i="2"/>
  <c r="AB23" i="2"/>
  <c r="AD27" i="33"/>
  <c r="CF11" i="2"/>
  <c r="CG11" i="2" s="1"/>
  <c r="BT46" i="2"/>
  <c r="CB46" i="2" s="1"/>
  <c r="K53" i="2"/>
  <c r="C66" i="2"/>
  <c r="D66" i="2" s="1"/>
  <c r="P31" i="2" s="1"/>
  <c r="C28" i="36"/>
  <c r="AF232" i="2"/>
  <c r="BB18" i="2" s="1"/>
  <c r="AD218" i="33"/>
  <c r="BU70" i="2"/>
  <c r="BU56" i="2"/>
  <c r="BU50" i="2"/>
  <c r="CB44" i="2"/>
  <c r="BU60" i="2"/>
  <c r="BU44" i="2"/>
  <c r="BU64" i="2"/>
  <c r="BU58" i="2"/>
  <c r="BU67" i="2"/>
  <c r="BU46" i="2"/>
  <c r="BU63" i="2"/>
  <c r="BU51" i="2"/>
  <c r="BU68" i="2"/>
  <c r="BU57" i="2"/>
  <c r="L25" i="2"/>
  <c r="AB21" i="2"/>
  <c r="AB16" i="2"/>
  <c r="AB28" i="2"/>
  <c r="AD19" i="33"/>
  <c r="AE236" i="43"/>
  <c r="AF236" i="43" s="1"/>
  <c r="BA30" i="43"/>
  <c r="BB30" i="43" s="1"/>
  <c r="E28" i="33"/>
  <c r="F28" i="33" s="1"/>
  <c r="AB14" i="33"/>
  <c r="AD14" i="33"/>
  <c r="AB39" i="33"/>
  <c r="AA28" i="33"/>
  <c r="AB38" i="33"/>
  <c r="AB35" i="33"/>
  <c r="AB33" i="33"/>
  <c r="AB37" i="33"/>
  <c r="AI29" i="43"/>
  <c r="AN29" i="43" s="1"/>
  <c r="AM197" i="43"/>
  <c r="AN197" i="43"/>
  <c r="AN231" i="43"/>
  <c r="AM231" i="43"/>
  <c r="AB28" i="41"/>
  <c r="G28" i="41"/>
  <c r="G32" i="41" s="1"/>
  <c r="H32" i="41" s="1"/>
  <c r="E32" i="41"/>
  <c r="F32" i="41" s="1"/>
  <c r="F28" i="41"/>
  <c r="F32" i="33"/>
  <c r="T17" i="2"/>
  <c r="AI245" i="2"/>
  <c r="AN245" i="2" s="1"/>
  <c r="AB11" i="2"/>
  <c r="BC25" i="2"/>
  <c r="BD25" i="2" s="1"/>
  <c r="BA18" i="2"/>
  <c r="AI240" i="2"/>
  <c r="AI244" i="2" s="1"/>
  <c r="AI248" i="2" s="1"/>
  <c r="AI251" i="2" s="1"/>
  <c r="AG171" i="2"/>
  <c r="AH171" i="2" s="1"/>
  <c r="CG29" i="2"/>
  <c r="CG28" i="2"/>
  <c r="CG23" i="2"/>
  <c r="CG21" i="2"/>
  <c r="CG15" i="2"/>
  <c r="CG35" i="2"/>
  <c r="CG22" i="2"/>
  <c r="CG9" i="2"/>
  <c r="CG16" i="2"/>
  <c r="BG244" i="2"/>
  <c r="BH244" i="2" s="1"/>
  <c r="CD26" i="2"/>
  <c r="AN25" i="2"/>
  <c r="C18" i="2"/>
  <c r="C26" i="2" s="1"/>
  <c r="AG166" i="2"/>
  <c r="AH166" i="2" s="1"/>
  <c r="AG66" i="2"/>
  <c r="AH66" i="2" s="1"/>
  <c r="AH53" i="2"/>
  <c r="AN17" i="2"/>
  <c r="AL158" i="2"/>
  <c r="B6" i="36"/>
  <c r="AE240" i="2"/>
  <c r="AA12" i="2"/>
  <c r="AB12" i="2" s="1"/>
  <c r="AA17" i="2"/>
  <c r="AB17" i="2" s="1"/>
  <c r="AM232" i="2"/>
  <c r="AN232" i="2"/>
  <c r="BC17" i="2"/>
  <c r="BD17" i="2" s="1"/>
  <c r="AK232" i="2"/>
  <c r="BC12" i="2"/>
  <c r="BD12" i="2" s="1"/>
  <c r="AL17" i="2"/>
  <c r="AH17" i="2"/>
  <c r="I196" i="2"/>
  <c r="C204" i="2"/>
  <c r="K196" i="2"/>
  <c r="C209" i="2"/>
  <c r="W18" i="2"/>
  <c r="W31" i="2" s="1"/>
  <c r="D196" i="2"/>
  <c r="X18" i="2" s="1"/>
  <c r="AI171" i="2"/>
  <c r="AI166" i="2"/>
  <c r="AN158" i="2"/>
  <c r="AJ158" i="2"/>
  <c r="D28" i="36"/>
  <c r="R17" i="2"/>
  <c r="AQ18" i="2"/>
  <c r="AE66" i="2"/>
  <c r="AD66" i="33" s="1"/>
  <c r="AM53" i="2"/>
  <c r="AE61" i="2"/>
  <c r="AK53" i="2"/>
  <c r="AE18" i="2"/>
  <c r="AD20" i="33" s="1"/>
  <c r="AF53" i="2"/>
  <c r="AR18" i="2" s="1"/>
  <c r="AL53" i="2"/>
  <c r="E245" i="2"/>
  <c r="E240" i="2"/>
  <c r="J232" i="2"/>
  <c r="F232" i="2"/>
  <c r="K12" i="2"/>
  <c r="I12" i="2"/>
  <c r="D12" i="2"/>
  <c r="AK25" i="2"/>
  <c r="AM25" i="2"/>
  <c r="AH12" i="2"/>
  <c r="AL12" i="2"/>
  <c r="H123" i="2"/>
  <c r="G136" i="2"/>
  <c r="G131" i="2"/>
  <c r="L123" i="2"/>
  <c r="AK17" i="2"/>
  <c r="AM17" i="2"/>
  <c r="L12" i="2"/>
  <c r="H12" i="2"/>
  <c r="H28" i="36"/>
  <c r="Z17" i="2"/>
  <c r="AN12" i="2"/>
  <c r="O31" i="2"/>
  <c r="O26" i="2"/>
  <c r="O30" i="2" s="1"/>
  <c r="O34" i="2" s="1"/>
  <c r="O37" i="2" s="1"/>
  <c r="AL88" i="2"/>
  <c r="AG101" i="2"/>
  <c r="AG96" i="2"/>
  <c r="AG18" i="2"/>
  <c r="AH88" i="2"/>
  <c r="AI96" i="2"/>
  <c r="AN88" i="2"/>
  <c r="AI101" i="2"/>
  <c r="AJ88" i="2"/>
  <c r="BA31" i="2"/>
  <c r="AF245" i="2"/>
  <c r="BB31" i="2" s="1"/>
  <c r="AE166" i="2"/>
  <c r="AD193" i="33" s="1"/>
  <c r="AE171" i="2"/>
  <c r="AD198" i="33" s="1"/>
  <c r="AK158" i="2"/>
  <c r="AM158" i="2"/>
  <c r="AW18" i="2"/>
  <c r="AF158" i="2"/>
  <c r="AX18" i="2" s="1"/>
  <c r="BD32" i="2"/>
  <c r="BD23" i="2"/>
  <c r="BD22" i="2"/>
  <c r="BD21" i="2"/>
  <c r="BD33" i="2"/>
  <c r="BD11" i="2"/>
  <c r="BD29" i="2"/>
  <c r="BD10" i="2"/>
  <c r="BD16" i="2"/>
  <c r="BD14" i="2"/>
  <c r="BD15" i="2"/>
  <c r="BD28" i="2"/>
  <c r="BD9" i="2"/>
  <c r="L17" i="2"/>
  <c r="H17" i="2"/>
  <c r="B30" i="36" s="1"/>
  <c r="J12" i="2"/>
  <c r="F12" i="2"/>
  <c r="E136" i="2"/>
  <c r="E131" i="2"/>
  <c r="J123" i="2"/>
  <c r="F123" i="2"/>
  <c r="E96" i="2"/>
  <c r="F88" i="2"/>
  <c r="E101" i="2"/>
  <c r="J88" i="2"/>
  <c r="AG136" i="2"/>
  <c r="AH123" i="2"/>
  <c r="AL123" i="2"/>
  <c r="AG131" i="2"/>
  <c r="G171" i="2"/>
  <c r="H158" i="2"/>
  <c r="G166" i="2"/>
  <c r="L158" i="2"/>
  <c r="AI209" i="2"/>
  <c r="AN196" i="2"/>
  <c r="AI204" i="2"/>
  <c r="AJ196" i="2"/>
  <c r="L88" i="2"/>
  <c r="G101" i="2"/>
  <c r="G96" i="2"/>
  <c r="H88" i="2"/>
  <c r="K25" i="2"/>
  <c r="I25" i="2"/>
  <c r="D25" i="2"/>
  <c r="F204" i="2"/>
  <c r="E166" i="2"/>
  <c r="J158" i="2"/>
  <c r="E171" i="2"/>
  <c r="F158" i="2"/>
  <c r="G240" i="2"/>
  <c r="L232" i="2"/>
  <c r="G245" i="2"/>
  <c r="H232" i="2"/>
  <c r="AG65" i="2"/>
  <c r="AH61" i="2"/>
  <c r="AK123" i="2"/>
  <c r="AE131" i="2"/>
  <c r="AD94" i="33" s="1"/>
  <c r="AU18" i="2"/>
  <c r="AM123" i="2"/>
  <c r="AE136" i="2"/>
  <c r="AD99" i="33" s="1"/>
  <c r="AF123" i="2"/>
  <c r="AV18" i="2" s="1"/>
  <c r="AG204" i="2"/>
  <c r="AL196" i="2"/>
  <c r="AG209" i="2"/>
  <c r="AH196" i="2"/>
  <c r="L53" i="2"/>
  <c r="G18" i="2"/>
  <c r="G61" i="2"/>
  <c r="H53" i="2"/>
  <c r="G66" i="2"/>
  <c r="AN53" i="2"/>
  <c r="AI61" i="2"/>
  <c r="AI66" i="2"/>
  <c r="AI18" i="2"/>
  <c r="AJ53" i="2"/>
  <c r="J25" i="2"/>
  <c r="F25" i="2"/>
  <c r="C101" i="2"/>
  <c r="K88" i="2"/>
  <c r="Q18" i="2"/>
  <c r="I88" i="2"/>
  <c r="C96" i="2"/>
  <c r="D88" i="2"/>
  <c r="R18" i="2" s="1"/>
  <c r="K17" i="2"/>
  <c r="D17" i="2"/>
  <c r="B28" i="36" s="1"/>
  <c r="C240" i="2"/>
  <c r="C245" i="2"/>
  <c r="I232" i="2"/>
  <c r="K232" i="2"/>
  <c r="Y18" i="2"/>
  <c r="D232" i="2"/>
  <c r="Z18" i="2" s="1"/>
  <c r="AI131" i="2"/>
  <c r="AN123" i="2"/>
  <c r="AI136" i="2"/>
  <c r="AJ123" i="2"/>
  <c r="C166" i="2"/>
  <c r="K158" i="2"/>
  <c r="D158" i="2"/>
  <c r="V18" i="2" s="1"/>
  <c r="C171" i="2"/>
  <c r="I158" i="2"/>
  <c r="U18" i="2"/>
  <c r="G209" i="2"/>
  <c r="G204" i="2"/>
  <c r="L196" i="2"/>
  <c r="H196" i="2"/>
  <c r="AG240" i="2"/>
  <c r="AL232" i="2"/>
  <c r="AG245" i="2"/>
  <c r="AH232" i="2"/>
  <c r="AK12" i="2"/>
  <c r="AM12" i="2"/>
  <c r="AF12" i="2"/>
  <c r="K123" i="2"/>
  <c r="C136" i="2"/>
  <c r="C131" i="2"/>
  <c r="I123" i="2"/>
  <c r="D123" i="2"/>
  <c r="T18" i="2" s="1"/>
  <c r="S18" i="2"/>
  <c r="F53" i="2"/>
  <c r="AE96" i="2"/>
  <c r="AD127" i="33" s="1"/>
  <c r="AK88" i="2"/>
  <c r="AF88" i="2"/>
  <c r="AT18" i="2" s="1"/>
  <c r="AM88" i="2"/>
  <c r="AE101" i="2"/>
  <c r="AD132" i="33" s="1"/>
  <c r="AS18" i="2"/>
  <c r="AM196" i="2"/>
  <c r="AF196" i="2"/>
  <c r="AZ18" i="2" s="1"/>
  <c r="AE204" i="2"/>
  <c r="AD160" i="33" s="1"/>
  <c r="AE209" i="2"/>
  <c r="AD165" i="33" s="1"/>
  <c r="AK196" i="2"/>
  <c r="AY18" i="2"/>
  <c r="AY31" i="2" s="1"/>
  <c r="E61" i="2" l="1"/>
  <c r="E65" i="2" s="1"/>
  <c r="E66" i="2"/>
  <c r="E31" i="2" s="1"/>
  <c r="J53" i="2"/>
  <c r="I53" i="2"/>
  <c r="I17" i="2"/>
  <c r="F17" i="2"/>
  <c r="B29" i="36" s="1"/>
  <c r="J17" i="2"/>
  <c r="AU60" i="5"/>
  <c r="AK60" i="5"/>
  <c r="G60" i="5"/>
  <c r="AT60" i="5"/>
  <c r="AW60" i="5"/>
  <c r="N60" i="5"/>
  <c r="I54" i="9"/>
  <c r="J41" i="28"/>
  <c r="J43" i="28" s="1"/>
  <c r="BZ55" i="2"/>
  <c r="CB55" i="2" s="1"/>
  <c r="CB17" i="2"/>
  <c r="BH195" i="2"/>
  <c r="BV17" i="2"/>
  <c r="BH87" i="2"/>
  <c r="BX49" i="2"/>
  <c r="BY49" i="2" s="1"/>
  <c r="CC14" i="2"/>
  <c r="Z60" i="5"/>
  <c r="BX17" i="2"/>
  <c r="BY17" i="2" s="1"/>
  <c r="BH122" i="2"/>
  <c r="BZ17" i="2"/>
  <c r="CA17" i="2" s="1"/>
  <c r="BH157" i="2"/>
  <c r="BG308" i="2"/>
  <c r="BH305" i="2"/>
  <c r="BW14" i="2"/>
  <c r="BV49" i="2"/>
  <c r="BW49" i="2" s="1"/>
  <c r="BH267" i="2"/>
  <c r="BG270" i="2"/>
  <c r="BH270" i="2" s="1"/>
  <c r="AZ59" i="5"/>
  <c r="BI322" i="2"/>
  <c r="BJ322" i="2" s="1"/>
  <c r="BI317" i="2"/>
  <c r="BJ309" i="2"/>
  <c r="K61" i="2"/>
  <c r="J204" i="2"/>
  <c r="AP60" i="5"/>
  <c r="BL309" i="2"/>
  <c r="BK317" i="2"/>
  <c r="BK322" i="2"/>
  <c r="BL322" i="2" s="1"/>
  <c r="AL60" i="5"/>
  <c r="BG101" i="2"/>
  <c r="BH88" i="2"/>
  <c r="BV18" i="2"/>
  <c r="BW18" i="2" s="1"/>
  <c r="BG96" i="2"/>
  <c r="AV60" i="5"/>
  <c r="D61" i="2"/>
  <c r="P26" i="2" s="1"/>
  <c r="BH152" i="2"/>
  <c r="BG158" i="2"/>
  <c r="BZ12" i="2"/>
  <c r="CB12" i="2"/>
  <c r="CC12" i="2" s="1"/>
  <c r="BH190" i="2"/>
  <c r="BG196" i="2"/>
  <c r="BG265" i="2"/>
  <c r="BH265" i="2" s="1"/>
  <c r="BX45" i="2"/>
  <c r="BY45" i="2" s="1"/>
  <c r="CA10" i="2"/>
  <c r="AW64" i="43"/>
  <c r="AX64" i="43" s="1"/>
  <c r="BB31" i="43"/>
  <c r="AE238" i="43"/>
  <c r="AF238" i="43" s="1"/>
  <c r="AE239" i="43"/>
  <c r="BZ61" i="2"/>
  <c r="CA61" i="2" s="1"/>
  <c r="CE26" i="2"/>
  <c r="BZ66" i="2"/>
  <c r="CA66" i="2" s="1"/>
  <c r="CE31" i="2"/>
  <c r="BH117" i="2"/>
  <c r="BG123" i="2"/>
  <c r="BX12" i="2"/>
  <c r="BY10" i="2"/>
  <c r="BV45" i="2"/>
  <c r="BW45" i="2" s="1"/>
  <c r="BU10" i="2"/>
  <c r="BH10" i="2"/>
  <c r="BU14" i="2"/>
  <c r="BH14" i="2"/>
  <c r="BG17" i="2"/>
  <c r="M60" i="5"/>
  <c r="T60" i="5"/>
  <c r="BG12" i="2"/>
  <c r="BT49" i="2"/>
  <c r="S60" i="5"/>
  <c r="AQ58" i="5"/>
  <c r="AQ42" i="5"/>
  <c r="AR58" i="5"/>
  <c r="AN59" i="5"/>
  <c r="AR59" i="5" s="1"/>
  <c r="AQ67" i="43"/>
  <c r="AR67" i="43" s="1"/>
  <c r="AQ36" i="43"/>
  <c r="AQ31" i="5"/>
  <c r="AR31" i="5"/>
  <c r="AZ50" i="5"/>
  <c r="AN50" i="5" s="1"/>
  <c r="AZ35" i="5"/>
  <c r="AX60" i="5"/>
  <c r="AN35" i="5"/>
  <c r="AQ16" i="5"/>
  <c r="AR26" i="5"/>
  <c r="AQ26" i="5"/>
  <c r="C30" i="9"/>
  <c r="I30" i="9" s="1"/>
  <c r="C32" i="32"/>
  <c r="D32" i="32" s="1"/>
  <c r="D28" i="32"/>
  <c r="AL166" i="2"/>
  <c r="BG107" i="2"/>
  <c r="BV37" i="2" s="1"/>
  <c r="CC70" i="2"/>
  <c r="CC51" i="2"/>
  <c r="CC57" i="2"/>
  <c r="CC56" i="2"/>
  <c r="CC58" i="2"/>
  <c r="CC68" i="2"/>
  <c r="CC44" i="2"/>
  <c r="CC60" i="2"/>
  <c r="CC64" i="2"/>
  <c r="CC46" i="2"/>
  <c r="CC50" i="2"/>
  <c r="CC63" i="2"/>
  <c r="CC67" i="2"/>
  <c r="CD30" i="2"/>
  <c r="BG248" i="2"/>
  <c r="BH248" i="2" s="1"/>
  <c r="AL61" i="2"/>
  <c r="AD61" i="33"/>
  <c r="AE244" i="2"/>
  <c r="BA30" i="2" s="1"/>
  <c r="BA34" i="2" s="1"/>
  <c r="AD226" i="33"/>
  <c r="AW63" i="43"/>
  <c r="AX63" i="43" s="1"/>
  <c r="BA34" i="43"/>
  <c r="BB34" i="43" s="1"/>
  <c r="AB28" i="33"/>
  <c r="AM29" i="43"/>
  <c r="H28" i="41"/>
  <c r="AJ245" i="2"/>
  <c r="I18" i="2"/>
  <c r="AL171" i="2"/>
  <c r="AM245" i="2"/>
  <c r="AM240" i="2"/>
  <c r="AI250" i="2"/>
  <c r="AJ248" i="2"/>
  <c r="E214" i="2"/>
  <c r="F212" i="2"/>
  <c r="AJ240" i="2"/>
  <c r="D18" i="2"/>
  <c r="AG170" i="2"/>
  <c r="BA26" i="2"/>
  <c r="AA18" i="2"/>
  <c r="AB18" i="2" s="1"/>
  <c r="AF240" i="2"/>
  <c r="BB26" i="2" s="1"/>
  <c r="AN240" i="2"/>
  <c r="AS31" i="2"/>
  <c r="AS26" i="2"/>
  <c r="AS30" i="2" s="1"/>
  <c r="AS34" i="2" s="1"/>
  <c r="J66" i="2"/>
  <c r="F66" i="2"/>
  <c r="I131" i="2"/>
  <c r="D131" i="2"/>
  <c r="T26" i="2" s="1"/>
  <c r="K131" i="2"/>
  <c r="C135" i="2"/>
  <c r="C139" i="2" s="1"/>
  <c r="C142" i="2" s="1"/>
  <c r="L204" i="2"/>
  <c r="G208" i="2"/>
  <c r="G212" i="2" s="1"/>
  <c r="G215" i="2" s="1"/>
  <c r="H204" i="2"/>
  <c r="D171" i="2"/>
  <c r="V31" i="2" s="1"/>
  <c r="K171" i="2"/>
  <c r="I171" i="2"/>
  <c r="I245" i="2"/>
  <c r="K245" i="2"/>
  <c r="D245" i="2"/>
  <c r="Z31" i="2" s="1"/>
  <c r="Y31" i="2"/>
  <c r="C69" i="2"/>
  <c r="C72" i="2" s="1"/>
  <c r="D65" i="2"/>
  <c r="P30" i="2" s="1"/>
  <c r="G26" i="2"/>
  <c r="K26" i="2" s="1"/>
  <c r="L18" i="2"/>
  <c r="H18" i="2"/>
  <c r="AM131" i="2"/>
  <c r="AK131" i="2"/>
  <c r="AE135" i="2"/>
  <c r="AF131" i="2"/>
  <c r="AV26" i="2" s="1"/>
  <c r="L101" i="2"/>
  <c r="H101" i="2"/>
  <c r="E135" i="2"/>
  <c r="E139" i="2" s="1"/>
  <c r="E142" i="2" s="1"/>
  <c r="J131" i="2"/>
  <c r="F131" i="2"/>
  <c r="AW31" i="2"/>
  <c r="AW26" i="2"/>
  <c r="AW30" i="2" s="1"/>
  <c r="AW34" i="2" s="1"/>
  <c r="AM166" i="2"/>
  <c r="AK166" i="2"/>
  <c r="AF166" i="2"/>
  <c r="AX26" i="2" s="1"/>
  <c r="AE170" i="2"/>
  <c r="L131" i="2"/>
  <c r="H131" i="2"/>
  <c r="G135" i="2"/>
  <c r="G139" i="2" s="1"/>
  <c r="G142" i="2" s="1"/>
  <c r="E244" i="2"/>
  <c r="E248" i="2" s="1"/>
  <c r="E251" i="2" s="1"/>
  <c r="J240" i="2"/>
  <c r="F240" i="2"/>
  <c r="AK18" i="2"/>
  <c r="AE26" i="2"/>
  <c r="AD28" i="33" s="1"/>
  <c r="AM18" i="2"/>
  <c r="AF18" i="2"/>
  <c r="AE31" i="2"/>
  <c r="AD33" i="33" s="1"/>
  <c r="AK66" i="2"/>
  <c r="AM66" i="2"/>
  <c r="AF66" i="2"/>
  <c r="AR31" i="2" s="1"/>
  <c r="AL66" i="2"/>
  <c r="I209" i="2"/>
  <c r="K209" i="2"/>
  <c r="D209" i="2"/>
  <c r="X31" i="2" s="1"/>
  <c r="AK209" i="2"/>
  <c r="AM209" i="2"/>
  <c r="AF209" i="2"/>
  <c r="AZ31" i="2" s="1"/>
  <c r="AK101" i="2"/>
  <c r="AF101" i="2"/>
  <c r="AT31" i="2" s="1"/>
  <c r="AM101" i="2"/>
  <c r="AE100" i="2"/>
  <c r="AM96" i="2"/>
  <c r="AK96" i="2"/>
  <c r="AF96" i="2"/>
  <c r="AT26" i="2" s="1"/>
  <c r="F61" i="2"/>
  <c r="S31" i="2"/>
  <c r="S26" i="2"/>
  <c r="S30" i="2" s="1"/>
  <c r="S34" i="2" s="1"/>
  <c r="S37" i="2" s="1"/>
  <c r="I136" i="2"/>
  <c r="K136" i="2"/>
  <c r="D136" i="2"/>
  <c r="T31" i="2" s="1"/>
  <c r="AG244" i="2"/>
  <c r="AG248" i="2" s="1"/>
  <c r="AL240" i="2"/>
  <c r="AH240" i="2"/>
  <c r="L209" i="2"/>
  <c r="H209" i="2"/>
  <c r="AN136" i="2"/>
  <c r="AJ136" i="2"/>
  <c r="C244" i="2"/>
  <c r="C248" i="2" s="1"/>
  <c r="C251" i="2" s="1"/>
  <c r="K240" i="2"/>
  <c r="D240" i="2"/>
  <c r="Z26" i="2" s="1"/>
  <c r="I240" i="2"/>
  <c r="Y26" i="2"/>
  <c r="I96" i="2"/>
  <c r="D96" i="2"/>
  <c r="R26" i="2" s="1"/>
  <c r="C100" i="2"/>
  <c r="C104" i="2" s="1"/>
  <c r="C107" i="2" s="1"/>
  <c r="K96" i="2"/>
  <c r="K101" i="2"/>
  <c r="I101" i="2"/>
  <c r="D101" i="2"/>
  <c r="R31" i="2" s="1"/>
  <c r="AN18" i="2"/>
  <c r="AI26" i="2"/>
  <c r="AJ18" i="2"/>
  <c r="G31" i="2"/>
  <c r="H66" i="2"/>
  <c r="L66" i="2"/>
  <c r="AL209" i="2"/>
  <c r="AH209" i="2"/>
  <c r="AM136" i="2"/>
  <c r="AK136" i="2"/>
  <c r="AF136" i="2"/>
  <c r="AV31" i="2" s="1"/>
  <c r="L245" i="2"/>
  <c r="H245" i="2"/>
  <c r="J171" i="2"/>
  <c r="F171" i="2"/>
  <c r="F208" i="2"/>
  <c r="AN209" i="2"/>
  <c r="AJ209" i="2"/>
  <c r="L171" i="2"/>
  <c r="H171" i="2"/>
  <c r="AL136" i="2"/>
  <c r="AH136" i="2"/>
  <c r="J96" i="2"/>
  <c r="E100" i="2"/>
  <c r="E104" i="2" s="1"/>
  <c r="E107" i="2" s="1"/>
  <c r="F96" i="2"/>
  <c r="J136" i="2"/>
  <c r="F136" i="2"/>
  <c r="C31" i="2"/>
  <c r="AJ101" i="2"/>
  <c r="AN101" i="2"/>
  <c r="AG26" i="2"/>
  <c r="AL18" i="2"/>
  <c r="AH18" i="2"/>
  <c r="L136" i="2"/>
  <c r="H136" i="2"/>
  <c r="J245" i="2"/>
  <c r="F245" i="2"/>
  <c r="AQ31" i="2"/>
  <c r="AQ26" i="2"/>
  <c r="AQ30" i="2" s="1"/>
  <c r="AQ34" i="2" s="1"/>
  <c r="BC18" i="2"/>
  <c r="J209" i="2"/>
  <c r="AK204" i="2"/>
  <c r="AF204" i="2"/>
  <c r="AZ26" i="2" s="1"/>
  <c r="AE208" i="2"/>
  <c r="AM204" i="2"/>
  <c r="AY26" i="2"/>
  <c r="AY30" i="2" s="1"/>
  <c r="AY34" i="2" s="1"/>
  <c r="U26" i="2"/>
  <c r="U30" i="2" s="1"/>
  <c r="U34" i="2" s="1"/>
  <c r="U31" i="2"/>
  <c r="AN66" i="2"/>
  <c r="AI31" i="2"/>
  <c r="AJ66" i="2"/>
  <c r="AJ244" i="2"/>
  <c r="AG135" i="2"/>
  <c r="AG139" i="2" s="1"/>
  <c r="AG142" i="2" s="1"/>
  <c r="AL131" i="2"/>
  <c r="AH131" i="2"/>
  <c r="K66" i="2"/>
  <c r="AG100" i="2"/>
  <c r="AG104" i="2" s="1"/>
  <c r="AG107" i="2" s="1"/>
  <c r="AL96" i="2"/>
  <c r="AH96" i="2"/>
  <c r="O36" i="2"/>
  <c r="P36" i="2" s="1"/>
  <c r="P34" i="2"/>
  <c r="AM61" i="2"/>
  <c r="AE65" i="2"/>
  <c r="AK61" i="2"/>
  <c r="AF61" i="2"/>
  <c r="AR26" i="2" s="1"/>
  <c r="AI170" i="2"/>
  <c r="AI174" i="2" s="1"/>
  <c r="AN166" i="2"/>
  <c r="AJ166" i="2"/>
  <c r="C208" i="2"/>
  <c r="C212" i="2" s="1"/>
  <c r="I204" i="2"/>
  <c r="K204" i="2"/>
  <c r="W26" i="2"/>
  <c r="W30" i="2" s="1"/>
  <c r="W34" i="2" s="1"/>
  <c r="D204" i="2"/>
  <c r="X26" i="2" s="1"/>
  <c r="K18" i="2"/>
  <c r="J18" i="2"/>
  <c r="E26" i="2"/>
  <c r="I26" i="2" s="1"/>
  <c r="F18" i="2"/>
  <c r="AL245" i="2"/>
  <c r="AH245" i="2"/>
  <c r="I166" i="2"/>
  <c r="D166" i="2"/>
  <c r="V26" i="2" s="1"/>
  <c r="C170" i="2"/>
  <c r="C174" i="2" s="1"/>
  <c r="K166" i="2"/>
  <c r="AN131" i="2"/>
  <c r="AI135" i="2"/>
  <c r="AI139" i="2" s="1"/>
  <c r="AI142" i="2" s="1"/>
  <c r="AJ131" i="2"/>
  <c r="Q26" i="2"/>
  <c r="Q30" i="2" s="1"/>
  <c r="Q34" i="2" s="1"/>
  <c r="Q37" i="2" s="1"/>
  <c r="Q31" i="2"/>
  <c r="I61" i="2"/>
  <c r="AI65" i="2"/>
  <c r="AN61" i="2"/>
  <c r="AJ61" i="2"/>
  <c r="L61" i="2"/>
  <c r="G65" i="2"/>
  <c r="H61" i="2"/>
  <c r="AL204" i="2"/>
  <c r="AG208" i="2"/>
  <c r="AG212" i="2" s="1"/>
  <c r="AH204" i="2"/>
  <c r="AU26" i="2"/>
  <c r="AU30" i="2" s="1"/>
  <c r="AU34" i="2" s="1"/>
  <c r="AU31" i="2"/>
  <c r="AG69" i="2"/>
  <c r="AG72" i="2" s="1"/>
  <c r="AH65" i="2"/>
  <c r="G244" i="2"/>
  <c r="G248" i="2" s="1"/>
  <c r="G251" i="2" s="1"/>
  <c r="L240" i="2"/>
  <c r="H240" i="2"/>
  <c r="AK240" i="2"/>
  <c r="E170" i="2"/>
  <c r="E174" i="2" s="1"/>
  <c r="J166" i="2"/>
  <c r="F166" i="2"/>
  <c r="G100" i="2"/>
  <c r="G104" i="2" s="1"/>
  <c r="G107" i="2" s="1"/>
  <c r="L96" i="2"/>
  <c r="H96" i="2"/>
  <c r="AN204" i="2"/>
  <c r="AI208" i="2"/>
  <c r="AI212" i="2" s="1"/>
  <c r="AJ204" i="2"/>
  <c r="H166" i="2"/>
  <c r="G170" i="2"/>
  <c r="G174" i="2" s="1"/>
  <c r="G177" i="2" s="1"/>
  <c r="L166" i="2"/>
  <c r="J101" i="2"/>
  <c r="F101" i="2"/>
  <c r="AM171" i="2"/>
  <c r="AK171" i="2"/>
  <c r="AF171" i="2"/>
  <c r="AX31" i="2" s="1"/>
  <c r="AK245" i="2"/>
  <c r="AN96" i="2"/>
  <c r="AI100" i="2"/>
  <c r="AI104" i="2" s="1"/>
  <c r="AI107" i="2" s="1"/>
  <c r="AJ96" i="2"/>
  <c r="AL101" i="2"/>
  <c r="AH101" i="2"/>
  <c r="AG31" i="2"/>
  <c r="AN171" i="2"/>
  <c r="AJ171" i="2"/>
  <c r="D26" i="2"/>
  <c r="I66" i="2" l="1"/>
  <c r="J61" i="2"/>
  <c r="BX52" i="2"/>
  <c r="BY52" i="2" s="1"/>
  <c r="CC17" i="2"/>
  <c r="BW17" i="2"/>
  <c r="BV52" i="2"/>
  <c r="BW52" i="2" s="1"/>
  <c r="BH308" i="2"/>
  <c r="BG309" i="2"/>
  <c r="BH309" i="2" s="1"/>
  <c r="BK321" i="2"/>
  <c r="BL321" i="2" s="1"/>
  <c r="BL317" i="2"/>
  <c r="BI321" i="2"/>
  <c r="BJ321" i="2" s="1"/>
  <c r="BJ317" i="2"/>
  <c r="BH96" i="2"/>
  <c r="BG100" i="2"/>
  <c r="BV26" i="2"/>
  <c r="BW26" i="2" s="1"/>
  <c r="BV31" i="2"/>
  <c r="BW31" i="2" s="1"/>
  <c r="BH101" i="2"/>
  <c r="AQ59" i="5"/>
  <c r="CF10" i="2"/>
  <c r="CG10" i="2" s="1"/>
  <c r="BG271" i="2"/>
  <c r="BH271" i="2" s="1"/>
  <c r="BX47" i="2"/>
  <c r="BY47" i="2" s="1"/>
  <c r="CA12" i="2"/>
  <c r="BT45" i="2"/>
  <c r="CB18" i="2"/>
  <c r="CC18" i="2" s="1"/>
  <c r="BG209" i="2"/>
  <c r="BG204" i="2"/>
  <c r="BH196" i="2"/>
  <c r="BH158" i="2"/>
  <c r="BG166" i="2"/>
  <c r="BZ18" i="2"/>
  <c r="BG171" i="2"/>
  <c r="AQ69" i="43"/>
  <c r="AR69" i="43" s="1"/>
  <c r="AR36" i="43"/>
  <c r="BZ65" i="2"/>
  <c r="CA65" i="2" s="1"/>
  <c r="CE30" i="2"/>
  <c r="BV47" i="2"/>
  <c r="BW47" i="2" s="1"/>
  <c r="BY12" i="2"/>
  <c r="BH123" i="2"/>
  <c r="BG136" i="2"/>
  <c r="BG131" i="2"/>
  <c r="BX18" i="2"/>
  <c r="CF14" i="2"/>
  <c r="CG14" i="2" s="1"/>
  <c r="BU12" i="2"/>
  <c r="BH12" i="2"/>
  <c r="CB49" i="2"/>
  <c r="CC49" i="2" s="1"/>
  <c r="BU49" i="2"/>
  <c r="CB45" i="2"/>
  <c r="CC45" i="2" s="1"/>
  <c r="BU45" i="2"/>
  <c r="BH17" i="2"/>
  <c r="BT47" i="2"/>
  <c r="BG18" i="2"/>
  <c r="BH18" i="2" s="1"/>
  <c r="C55" i="9"/>
  <c r="I55" i="9" s="1"/>
  <c r="AN60" i="5"/>
  <c r="AR35" i="5"/>
  <c r="AR60" i="5" s="1"/>
  <c r="AQ50" i="5"/>
  <c r="AR50" i="5"/>
  <c r="AQ35" i="5"/>
  <c r="AF244" i="2"/>
  <c r="BB30" i="2" s="1"/>
  <c r="AN244" i="2"/>
  <c r="AM244" i="2"/>
  <c r="AK244" i="2"/>
  <c r="AG251" i="2"/>
  <c r="AE104" i="2"/>
  <c r="AK104" i="2" s="1"/>
  <c r="AD131" i="33"/>
  <c r="CD34" i="2"/>
  <c r="BG250" i="2"/>
  <c r="BG251" i="2"/>
  <c r="CD37" i="2" s="1"/>
  <c r="AE174" i="2"/>
  <c r="AD201" i="33" s="1"/>
  <c r="AD197" i="33"/>
  <c r="AE212" i="2"/>
  <c r="AD168" i="33" s="1"/>
  <c r="AD164" i="33"/>
  <c r="AE139" i="2"/>
  <c r="AK139" i="2" s="1"/>
  <c r="AD98" i="33"/>
  <c r="AL65" i="2"/>
  <c r="AD65" i="33"/>
  <c r="AE248" i="2"/>
  <c r="AL248" i="2" s="1"/>
  <c r="AD230" i="33"/>
  <c r="AW67" i="43"/>
  <c r="AX67" i="43" s="1"/>
  <c r="BA36" i="43"/>
  <c r="AG250" i="2"/>
  <c r="AH248" i="2"/>
  <c r="AJ250" i="2"/>
  <c r="G250" i="2"/>
  <c r="L248" i="2"/>
  <c r="H248" i="2"/>
  <c r="C250" i="2"/>
  <c r="I248" i="2"/>
  <c r="K248" i="2"/>
  <c r="D248" i="2"/>
  <c r="J248" i="2"/>
  <c r="E250" i="2"/>
  <c r="F248" i="2"/>
  <c r="AG214" i="2"/>
  <c r="AH212" i="2"/>
  <c r="C214" i="2"/>
  <c r="J214" i="2" s="1"/>
  <c r="I212" i="2"/>
  <c r="K212" i="2"/>
  <c r="D212" i="2"/>
  <c r="AI214" i="2"/>
  <c r="AJ212" i="2"/>
  <c r="G214" i="2"/>
  <c r="L212" i="2"/>
  <c r="H212" i="2"/>
  <c r="F214" i="2"/>
  <c r="J212" i="2"/>
  <c r="G176" i="2"/>
  <c r="L174" i="2"/>
  <c r="H174" i="2"/>
  <c r="AH170" i="2"/>
  <c r="AG174" i="2"/>
  <c r="C176" i="2"/>
  <c r="I174" i="2"/>
  <c r="K174" i="2"/>
  <c r="D174" i="2"/>
  <c r="AI176" i="2"/>
  <c r="AJ174" i="2"/>
  <c r="J174" i="2"/>
  <c r="E176" i="2"/>
  <c r="F174" i="2"/>
  <c r="AI141" i="2"/>
  <c r="AJ139" i="2"/>
  <c r="G141" i="2"/>
  <c r="L139" i="2"/>
  <c r="H139" i="2"/>
  <c r="J139" i="2"/>
  <c r="E141" i="2"/>
  <c r="F139" i="2"/>
  <c r="AG141" i="2"/>
  <c r="AH139" i="2"/>
  <c r="C141" i="2"/>
  <c r="K139" i="2"/>
  <c r="I139" i="2"/>
  <c r="D139" i="2"/>
  <c r="AA26" i="2"/>
  <c r="AB26" i="2" s="1"/>
  <c r="AA31" i="2"/>
  <c r="AB31" i="2" s="1"/>
  <c r="AL170" i="2"/>
  <c r="C106" i="2"/>
  <c r="K104" i="2"/>
  <c r="I104" i="2"/>
  <c r="D104" i="2"/>
  <c r="AG106" i="2"/>
  <c r="AH104" i="2"/>
  <c r="J104" i="2"/>
  <c r="E106" i="2"/>
  <c r="F104" i="2"/>
  <c r="AI106" i="2"/>
  <c r="AJ104" i="2"/>
  <c r="G106" i="2"/>
  <c r="L104" i="2"/>
  <c r="H104" i="2"/>
  <c r="AL31" i="2"/>
  <c r="AH31" i="2"/>
  <c r="AN100" i="2"/>
  <c r="AJ100" i="2"/>
  <c r="AN208" i="2"/>
  <c r="AJ208" i="2"/>
  <c r="L100" i="2"/>
  <c r="H100" i="2"/>
  <c r="G69" i="2"/>
  <c r="G72" i="2" s="1"/>
  <c r="L65" i="2"/>
  <c r="G30" i="2"/>
  <c r="H65" i="2"/>
  <c r="AI69" i="2"/>
  <c r="AI72" i="2" s="1"/>
  <c r="AN65" i="2"/>
  <c r="AI30" i="2"/>
  <c r="AJ65" i="2"/>
  <c r="I170" i="2"/>
  <c r="D170" i="2"/>
  <c r="V30" i="2" s="1"/>
  <c r="K170" i="2"/>
  <c r="AJ170" i="2"/>
  <c r="AN170" i="2"/>
  <c r="AL135" i="2"/>
  <c r="AH135" i="2"/>
  <c r="U36" i="2"/>
  <c r="V36" i="2" s="1"/>
  <c r="V34" i="2"/>
  <c r="AQ37" i="2"/>
  <c r="AQ36" i="2"/>
  <c r="AR36" i="2" s="1"/>
  <c r="AR34" i="2"/>
  <c r="AL26" i="2"/>
  <c r="AH26" i="2"/>
  <c r="L31" i="2"/>
  <c r="H31" i="2"/>
  <c r="I100" i="2"/>
  <c r="K100" i="2"/>
  <c r="D100" i="2"/>
  <c r="R30" i="2" s="1"/>
  <c r="AM31" i="2"/>
  <c r="AK31" i="2"/>
  <c r="AF31" i="2"/>
  <c r="L135" i="2"/>
  <c r="H135" i="2"/>
  <c r="J135" i="2"/>
  <c r="F135" i="2"/>
  <c r="AM135" i="2"/>
  <c r="AK135" i="2"/>
  <c r="AF135" i="2"/>
  <c r="AV30" i="2" s="1"/>
  <c r="C30" i="2"/>
  <c r="J31" i="2"/>
  <c r="F31" i="2"/>
  <c r="L170" i="2"/>
  <c r="H170" i="2"/>
  <c r="AG71" i="2"/>
  <c r="AH69" i="2"/>
  <c r="AL208" i="2"/>
  <c r="AH208" i="2"/>
  <c r="AN135" i="2"/>
  <c r="AJ135" i="2"/>
  <c r="I208" i="2"/>
  <c r="K208" i="2"/>
  <c r="D208" i="2"/>
  <c r="X30" i="2" s="1"/>
  <c r="AN31" i="2"/>
  <c r="AJ31" i="2"/>
  <c r="AY36" i="2"/>
  <c r="AZ36" i="2" s="1"/>
  <c r="AZ34" i="2"/>
  <c r="L26" i="2"/>
  <c r="H26" i="2"/>
  <c r="K65" i="2"/>
  <c r="K135" i="2"/>
  <c r="I135" i="2"/>
  <c r="D135" i="2"/>
  <c r="T30" i="2" s="1"/>
  <c r="AS37" i="2"/>
  <c r="AS36" i="2"/>
  <c r="AT36" i="2" s="1"/>
  <c r="AT34" i="2"/>
  <c r="J26" i="2"/>
  <c r="F26" i="2"/>
  <c r="W36" i="2"/>
  <c r="X36" i="2" s="1"/>
  <c r="X34" i="2"/>
  <c r="AL100" i="2"/>
  <c r="AH100" i="2"/>
  <c r="AN26" i="2"/>
  <c r="AJ26" i="2"/>
  <c r="AL244" i="2"/>
  <c r="AH244" i="2"/>
  <c r="T34" i="2"/>
  <c r="S36" i="2"/>
  <c r="T36" i="2" s="1"/>
  <c r="E69" i="2"/>
  <c r="J65" i="2"/>
  <c r="E30" i="2"/>
  <c r="F65" i="2"/>
  <c r="AM100" i="2"/>
  <c r="AK100" i="2"/>
  <c r="AF100" i="2"/>
  <c r="AT30" i="2" s="1"/>
  <c r="C71" i="2"/>
  <c r="D69" i="2"/>
  <c r="J170" i="2"/>
  <c r="F170" i="2"/>
  <c r="H244" i="2"/>
  <c r="L244" i="2"/>
  <c r="AG30" i="2"/>
  <c r="AU37" i="2"/>
  <c r="AU36" i="2"/>
  <c r="AV36" i="2" s="1"/>
  <c r="AV34" i="2"/>
  <c r="Q36" i="2"/>
  <c r="R36" i="2" s="1"/>
  <c r="R34" i="2"/>
  <c r="AE69" i="2"/>
  <c r="AM65" i="2"/>
  <c r="AE30" i="2"/>
  <c r="AF65" i="2"/>
  <c r="AR30" i="2" s="1"/>
  <c r="AK65" i="2"/>
  <c r="AK208" i="2"/>
  <c r="AF208" i="2"/>
  <c r="AZ30" i="2" s="1"/>
  <c r="AM208" i="2"/>
  <c r="BC26" i="2"/>
  <c r="BC31" i="2"/>
  <c r="BD31" i="2" s="1"/>
  <c r="BD18" i="2"/>
  <c r="I31" i="2"/>
  <c r="K31" i="2"/>
  <c r="D31" i="2"/>
  <c r="J100" i="2"/>
  <c r="F100" i="2"/>
  <c r="J208" i="2"/>
  <c r="BA36" i="2"/>
  <c r="BB36" i="2" s="1"/>
  <c r="BA37" i="2"/>
  <c r="BB34" i="2"/>
  <c r="K244" i="2"/>
  <c r="I244" i="2"/>
  <c r="D244" i="2"/>
  <c r="Z30" i="2" s="1"/>
  <c r="Y30" i="2"/>
  <c r="Y34" i="2" s="1"/>
  <c r="AK26" i="2"/>
  <c r="AM26" i="2"/>
  <c r="AF26" i="2"/>
  <c r="J244" i="2"/>
  <c r="F244" i="2"/>
  <c r="AK170" i="2"/>
  <c r="AM170" i="2"/>
  <c r="AF170" i="2"/>
  <c r="AX30" i="2" s="1"/>
  <c r="AX34" i="2"/>
  <c r="AW36" i="2"/>
  <c r="AX36" i="2" s="1"/>
  <c r="I65" i="2"/>
  <c r="L208" i="2"/>
  <c r="H208" i="2"/>
  <c r="AF104" i="2" l="1"/>
  <c r="AM104" i="2"/>
  <c r="AM212" i="2"/>
  <c r="AL212" i="2"/>
  <c r="AQ60" i="5"/>
  <c r="AF139" i="2"/>
  <c r="BH100" i="2"/>
  <c r="BV30" i="2"/>
  <c r="BW30" i="2" s="1"/>
  <c r="BG104" i="2"/>
  <c r="AF212" i="2"/>
  <c r="AE214" i="2"/>
  <c r="AD170" i="33" s="1"/>
  <c r="BH166" i="2"/>
  <c r="BG170" i="2"/>
  <c r="BZ26" i="2"/>
  <c r="CB31" i="2"/>
  <c r="CC31" i="2" s="1"/>
  <c r="BH209" i="2"/>
  <c r="BZ31" i="2"/>
  <c r="CA31" i="2" s="1"/>
  <c r="BH171" i="2"/>
  <c r="BG284" i="2"/>
  <c r="BH284" i="2" s="1"/>
  <c r="BG279" i="2"/>
  <c r="BH279" i="2" s="1"/>
  <c r="BX53" i="2"/>
  <c r="BY53" i="2" s="1"/>
  <c r="CA18" i="2"/>
  <c r="BH204" i="2"/>
  <c r="CB26" i="2"/>
  <c r="CC26" i="2" s="1"/>
  <c r="BG208" i="2"/>
  <c r="AW69" i="43"/>
  <c r="AX69" i="43" s="1"/>
  <c r="BB36" i="43"/>
  <c r="BZ69" i="2"/>
  <c r="CE34" i="2"/>
  <c r="CD36" i="2"/>
  <c r="BH250" i="2"/>
  <c r="BX31" i="2"/>
  <c r="BH136" i="2"/>
  <c r="BV53" i="2"/>
  <c r="BW53" i="2" s="1"/>
  <c r="BY18" i="2"/>
  <c r="BH131" i="2"/>
  <c r="BX26" i="2"/>
  <c r="BG135" i="2"/>
  <c r="AK212" i="2"/>
  <c r="AN212" i="2"/>
  <c r="CF12" i="2"/>
  <c r="CG12" i="2" s="1"/>
  <c r="BU17" i="2"/>
  <c r="CF17" i="2"/>
  <c r="BT52" i="2"/>
  <c r="BG31" i="2"/>
  <c r="CB47" i="2"/>
  <c r="CC47" i="2" s="1"/>
  <c r="BU47" i="2"/>
  <c r="BG26" i="2"/>
  <c r="BU18" i="2"/>
  <c r="AN139" i="2"/>
  <c r="AF174" i="2"/>
  <c r="AL104" i="2"/>
  <c r="AL139" i="2"/>
  <c r="AM139" i="2"/>
  <c r="AE176" i="2"/>
  <c r="AD203" i="33" s="1"/>
  <c r="AK174" i="2"/>
  <c r="AE141" i="2"/>
  <c r="AD104" i="33" s="1"/>
  <c r="AN174" i="2"/>
  <c r="AA30" i="2"/>
  <c r="AA34" i="2" s="1"/>
  <c r="AA37" i="2" s="1"/>
  <c r="AM174" i="2"/>
  <c r="AN104" i="2"/>
  <c r="AE106" i="2"/>
  <c r="AD137" i="33" s="1"/>
  <c r="AE34" i="2"/>
  <c r="AD32" i="33"/>
  <c r="AE107" i="2"/>
  <c r="AD138" i="33" s="1"/>
  <c r="AD135" i="33"/>
  <c r="AD69" i="33"/>
  <c r="AE72" i="2"/>
  <c r="AD72" i="33" s="1"/>
  <c r="AE251" i="2"/>
  <c r="AD237" i="33" s="1"/>
  <c r="AD234" i="33"/>
  <c r="AM248" i="2"/>
  <c r="AE250" i="2"/>
  <c r="AK250" i="2" s="1"/>
  <c r="AF248" i="2"/>
  <c r="AN248" i="2"/>
  <c r="AK248" i="2"/>
  <c r="I69" i="2"/>
  <c r="E72" i="2"/>
  <c r="AE142" i="2"/>
  <c r="AD105" i="33" s="1"/>
  <c r="AD102" i="33"/>
  <c r="K69" i="2"/>
  <c r="K250" i="2"/>
  <c r="I250" i="2"/>
  <c r="D250" i="2"/>
  <c r="J250" i="2"/>
  <c r="F250" i="2"/>
  <c r="L250" i="2"/>
  <c r="H250" i="2"/>
  <c r="AL250" i="2"/>
  <c r="AH250" i="2"/>
  <c r="K214" i="2"/>
  <c r="I214" i="2"/>
  <c r="D214" i="2"/>
  <c r="L214" i="2"/>
  <c r="H214" i="2"/>
  <c r="AJ214" i="2"/>
  <c r="AH214" i="2"/>
  <c r="AJ176" i="2"/>
  <c r="J176" i="2"/>
  <c r="F176" i="2"/>
  <c r="K176" i="2"/>
  <c r="I176" i="2"/>
  <c r="D176" i="2"/>
  <c r="AG176" i="2"/>
  <c r="AL174" i="2"/>
  <c r="AH174" i="2"/>
  <c r="L176" i="2"/>
  <c r="H176" i="2"/>
  <c r="AK141" i="2"/>
  <c r="AM141" i="2"/>
  <c r="J141" i="2"/>
  <c r="F141" i="2"/>
  <c r="L141" i="2"/>
  <c r="H141" i="2"/>
  <c r="AH141" i="2"/>
  <c r="AN141" i="2"/>
  <c r="AJ141" i="2"/>
  <c r="K141" i="2"/>
  <c r="I141" i="2"/>
  <c r="D141" i="2"/>
  <c r="L106" i="2"/>
  <c r="H106" i="2"/>
  <c r="J106" i="2"/>
  <c r="F106" i="2"/>
  <c r="AH106" i="2"/>
  <c r="AL69" i="2"/>
  <c r="AJ106" i="2"/>
  <c r="K106" i="2"/>
  <c r="I106" i="2"/>
  <c r="D106" i="2"/>
  <c r="BC30" i="2"/>
  <c r="BD26" i="2"/>
  <c r="AG34" i="2"/>
  <c r="AG37" i="2" s="1"/>
  <c r="AL30" i="2"/>
  <c r="AH30" i="2"/>
  <c r="Y37" i="2"/>
  <c r="Y36" i="2"/>
  <c r="Z36" i="2" s="1"/>
  <c r="Z34" i="2"/>
  <c r="AK69" i="2"/>
  <c r="AE71" i="2"/>
  <c r="AM69" i="2"/>
  <c r="AF69" i="2"/>
  <c r="J69" i="2"/>
  <c r="E71" i="2"/>
  <c r="I71" i="2" s="1"/>
  <c r="F69" i="2"/>
  <c r="AH71" i="2"/>
  <c r="AN69" i="2"/>
  <c r="AI71" i="2"/>
  <c r="AJ69" i="2"/>
  <c r="G71" i="2"/>
  <c r="K71" i="2" s="1"/>
  <c r="L69" i="2"/>
  <c r="H69" i="2"/>
  <c r="D71" i="2"/>
  <c r="C34" i="2"/>
  <c r="C37" i="2" s="1"/>
  <c r="K30" i="2"/>
  <c r="I30" i="2"/>
  <c r="D30" i="2"/>
  <c r="AK30" i="2"/>
  <c r="AM30" i="2"/>
  <c r="AF30" i="2"/>
  <c r="E34" i="2"/>
  <c r="E37" i="2" s="1"/>
  <c r="J30" i="2"/>
  <c r="F30" i="2"/>
  <c r="AI34" i="2"/>
  <c r="AI37" i="2" s="1"/>
  <c r="AN30" i="2"/>
  <c r="AJ30" i="2"/>
  <c r="G34" i="2"/>
  <c r="L30" i="2"/>
  <c r="H30" i="2"/>
  <c r="AL214" i="2" l="1"/>
  <c r="AM214" i="2"/>
  <c r="AK214" i="2"/>
  <c r="AN214" i="2"/>
  <c r="AF214" i="2"/>
  <c r="AM106" i="2"/>
  <c r="AL141" i="2"/>
  <c r="AB30" i="2"/>
  <c r="AM176" i="2"/>
  <c r="AK176" i="2"/>
  <c r="AF176" i="2"/>
  <c r="AK106" i="2"/>
  <c r="BH104" i="2"/>
  <c r="BG106" i="2"/>
  <c r="BV34" i="2"/>
  <c r="BW34" i="2" s="1"/>
  <c r="AL106" i="2"/>
  <c r="AF106" i="2"/>
  <c r="AN106" i="2"/>
  <c r="BG283" i="2"/>
  <c r="BH283" i="2" s="1"/>
  <c r="CA26" i="2"/>
  <c r="BX61" i="2"/>
  <c r="BY61" i="2" s="1"/>
  <c r="BG317" i="2"/>
  <c r="BH317" i="2" s="1"/>
  <c r="BG322" i="2"/>
  <c r="BH322" i="2" s="1"/>
  <c r="BH170" i="2"/>
  <c r="BZ30" i="2"/>
  <c r="BG174" i="2"/>
  <c r="BH208" i="2"/>
  <c r="CB30" i="2"/>
  <c r="BG212" i="2"/>
  <c r="BZ71" i="2"/>
  <c r="CA71" i="2" s="1"/>
  <c r="CE36" i="2"/>
  <c r="BZ72" i="2"/>
  <c r="CA69" i="2"/>
  <c r="BX30" i="2"/>
  <c r="BG139" i="2"/>
  <c r="BH135" i="2"/>
  <c r="BY26" i="2"/>
  <c r="BV61" i="2"/>
  <c r="BW61" i="2" s="1"/>
  <c r="BY31" i="2"/>
  <c r="BV66" i="2"/>
  <c r="BW66" i="2" s="1"/>
  <c r="BH26" i="2"/>
  <c r="CG32" i="2"/>
  <c r="CG17" i="2"/>
  <c r="BH31" i="2"/>
  <c r="CB52" i="2"/>
  <c r="CC52" i="2" s="1"/>
  <c r="BU52" i="2"/>
  <c r="BG30" i="2"/>
  <c r="BT53" i="2"/>
  <c r="CF18" i="2"/>
  <c r="CG18" i="2" s="1"/>
  <c r="AN176" i="2"/>
  <c r="AF141" i="2"/>
  <c r="L127" i="43"/>
  <c r="BM149" i="2"/>
  <c r="BJ154" i="2"/>
  <c r="BJ150" i="2"/>
  <c r="BJ162" i="2"/>
  <c r="BJ160" i="2"/>
  <c r="BJ149" i="2"/>
  <c r="BJ168" i="2"/>
  <c r="BJ169" i="2"/>
  <c r="BJ155" i="2"/>
  <c r="BJ164" i="2"/>
  <c r="BJ151" i="2"/>
  <c r="BN149" i="2"/>
  <c r="BJ156" i="2"/>
  <c r="BI152" i="2"/>
  <c r="BJ161" i="2"/>
  <c r="BJ163" i="2"/>
  <c r="BP115" i="2"/>
  <c r="BO115" i="2"/>
  <c r="BK195" i="2"/>
  <c r="BO195" i="2" s="1"/>
  <c r="BO192" i="2"/>
  <c r="BP192" i="2"/>
  <c r="G294" i="43"/>
  <c r="G58" i="43"/>
  <c r="H58" i="43" s="1"/>
  <c r="AJ185" i="43"/>
  <c r="BO119" i="2"/>
  <c r="BK122" i="2"/>
  <c r="BP119" i="2"/>
  <c r="E58" i="43"/>
  <c r="AN216" i="43"/>
  <c r="AM216" i="43"/>
  <c r="BO206" i="2"/>
  <c r="BP206" i="2"/>
  <c r="BN85" i="2"/>
  <c r="BI268" i="2"/>
  <c r="BM85" i="2"/>
  <c r="BN235" i="2"/>
  <c r="BI239" i="2"/>
  <c r="BJ239" i="2" s="1"/>
  <c r="BM235" i="2"/>
  <c r="H43" i="43"/>
  <c r="H56" i="43"/>
  <c r="H61" i="43"/>
  <c r="H47" i="43"/>
  <c r="G45" i="43"/>
  <c r="H66" i="43"/>
  <c r="H55" i="43"/>
  <c r="H49" i="43"/>
  <c r="H48" i="43"/>
  <c r="H68" i="43"/>
  <c r="H65" i="43"/>
  <c r="G10" i="43"/>
  <c r="H54" i="43"/>
  <c r="H62" i="43"/>
  <c r="AI284" i="43"/>
  <c r="AK93" i="43"/>
  <c r="AL93" i="43"/>
  <c r="AG266" i="43"/>
  <c r="BM200" i="2"/>
  <c r="BN200" i="2"/>
  <c r="BP188" i="2"/>
  <c r="BO188" i="2"/>
  <c r="BP155" i="2"/>
  <c r="BO155" i="2"/>
  <c r="G16" i="43"/>
  <c r="E295" i="43"/>
  <c r="J155" i="43"/>
  <c r="AK230" i="43"/>
  <c r="AL230" i="43"/>
  <c r="AM122" i="43"/>
  <c r="AN122" i="43"/>
  <c r="AK87" i="43"/>
  <c r="AL87" i="43"/>
  <c r="AG260" i="43"/>
  <c r="AK260" i="43" s="1"/>
  <c r="BO198" i="2"/>
  <c r="AM161" i="43"/>
  <c r="AI301" i="43"/>
  <c r="AN161" i="43"/>
  <c r="AN225" i="43"/>
  <c r="AM225" i="43"/>
  <c r="BI281" i="2"/>
  <c r="BN281" i="2" s="1"/>
  <c r="BM98" i="2"/>
  <c r="BN98" i="2"/>
  <c r="BM201" i="2"/>
  <c r="BN201" i="2"/>
  <c r="AM223" i="43"/>
  <c r="AN223" i="43"/>
  <c r="AM189" i="43"/>
  <c r="AN189" i="43"/>
  <c r="AM196" i="43"/>
  <c r="AN196" i="43"/>
  <c r="J213" i="43"/>
  <c r="AG284" i="43"/>
  <c r="G227" i="43"/>
  <c r="H227" i="43" s="1"/>
  <c r="BL155" i="2"/>
  <c r="BL169" i="2"/>
  <c r="BO149" i="2"/>
  <c r="BL156" i="2"/>
  <c r="BL151" i="2"/>
  <c r="BL168" i="2"/>
  <c r="BL149" i="2"/>
  <c r="BL162" i="2"/>
  <c r="BL160" i="2"/>
  <c r="BL154" i="2"/>
  <c r="BK152" i="2"/>
  <c r="BO152" i="2" s="1"/>
  <c r="BP149" i="2"/>
  <c r="BL163" i="2"/>
  <c r="BL164" i="2"/>
  <c r="BL161" i="2"/>
  <c r="BL150" i="2"/>
  <c r="BI15" i="2"/>
  <c r="BN15" i="2" s="1"/>
  <c r="BP162" i="2"/>
  <c r="BO162" i="2"/>
  <c r="BN155" i="2"/>
  <c r="BM155" i="2"/>
  <c r="BN206" i="2"/>
  <c r="BM206" i="2"/>
  <c r="AM93" i="43"/>
  <c r="AI266" i="43"/>
  <c r="AN266" i="43" s="1"/>
  <c r="AN93" i="43"/>
  <c r="G261" i="43"/>
  <c r="L88" i="43"/>
  <c r="G284" i="43"/>
  <c r="AM224" i="43"/>
  <c r="AN224" i="43"/>
  <c r="BI269" i="2"/>
  <c r="BN269" i="2" s="1"/>
  <c r="BN86" i="2"/>
  <c r="BM86" i="2"/>
  <c r="E287" i="43"/>
  <c r="E150" i="43"/>
  <c r="F150" i="43" s="1"/>
  <c r="E219" i="43"/>
  <c r="F219" i="43" s="1"/>
  <c r="L93" i="43"/>
  <c r="G266" i="43"/>
  <c r="AN217" i="43"/>
  <c r="AM217" i="43"/>
  <c r="J223" i="43"/>
  <c r="BN224" i="2"/>
  <c r="BM224" i="2"/>
  <c r="E249" i="43"/>
  <c r="AK62" i="43"/>
  <c r="AG29" i="43"/>
  <c r="AK29" i="43" s="1"/>
  <c r="AL62" i="43"/>
  <c r="BN90" i="2"/>
  <c r="BM90" i="2"/>
  <c r="AK197" i="43"/>
  <c r="AL197" i="43"/>
  <c r="BK21" i="2"/>
  <c r="BO21" i="2" s="1"/>
  <c r="E90" i="43"/>
  <c r="F90" i="43" s="1"/>
  <c r="E288" i="43"/>
  <c r="BM230" i="2"/>
  <c r="BO200" i="2"/>
  <c r="BP200" i="2"/>
  <c r="E260" i="43"/>
  <c r="BP125" i="2"/>
  <c r="BO125" i="2"/>
  <c r="G288" i="43"/>
  <c r="G150" i="43"/>
  <c r="H150" i="43" s="1"/>
  <c r="G287" i="43"/>
  <c r="BP230" i="2"/>
  <c r="BO230" i="2"/>
  <c r="AL217" i="43"/>
  <c r="AK217" i="43"/>
  <c r="BI16" i="2"/>
  <c r="BN16" i="2" s="1"/>
  <c r="E185" i="43"/>
  <c r="F185" i="43" s="1"/>
  <c r="BI28" i="2"/>
  <c r="AL115" i="43"/>
  <c r="AK115" i="43"/>
  <c r="AI260" i="43"/>
  <c r="AN260" i="43" s="1"/>
  <c r="AM87" i="43"/>
  <c r="AN87" i="43"/>
  <c r="AL155" i="43"/>
  <c r="AG295" i="43"/>
  <c r="AK155" i="43"/>
  <c r="BK276" i="2"/>
  <c r="BO93" i="2"/>
  <c r="BP93" i="2"/>
  <c r="BN169" i="2"/>
  <c r="BM169" i="2"/>
  <c r="J122" i="43"/>
  <c r="BO169" i="2"/>
  <c r="BP169" i="2"/>
  <c r="AK184" i="43"/>
  <c r="AL184" i="43"/>
  <c r="AN80" i="43"/>
  <c r="AI253" i="43"/>
  <c r="AM253" i="43" s="1"/>
  <c r="AM80" i="43"/>
  <c r="BK231" i="2"/>
  <c r="BP228" i="2"/>
  <c r="BO228" i="2"/>
  <c r="BP224" i="2"/>
  <c r="BO224" i="2"/>
  <c r="BO194" i="2"/>
  <c r="BP194" i="2"/>
  <c r="AK231" i="43"/>
  <c r="AL231" i="43"/>
  <c r="AM49" i="43"/>
  <c r="AN49" i="43"/>
  <c r="AI16" i="43"/>
  <c r="AM16" i="43" s="1"/>
  <c r="AL156" i="43"/>
  <c r="AG296" i="43"/>
  <c r="AK156" i="43"/>
  <c r="AN156" i="43"/>
  <c r="AI296" i="43"/>
  <c r="AM156" i="43"/>
  <c r="G11" i="43"/>
  <c r="BN156" i="2"/>
  <c r="BM156" i="2"/>
  <c r="AM121" i="43"/>
  <c r="AN121" i="43"/>
  <c r="AJ180" i="43"/>
  <c r="AN178" i="43"/>
  <c r="AM178" i="43"/>
  <c r="BI20" i="2"/>
  <c r="BJ223" i="2"/>
  <c r="BN223" i="2"/>
  <c r="BJ228" i="2"/>
  <c r="BJ236" i="2"/>
  <c r="BJ230" i="2"/>
  <c r="BJ225" i="2"/>
  <c r="BJ229" i="2"/>
  <c r="BJ242" i="2"/>
  <c r="BJ237" i="2"/>
  <c r="BM223" i="2"/>
  <c r="BJ224" i="2"/>
  <c r="BJ243" i="2"/>
  <c r="BI226" i="2"/>
  <c r="BJ235" i="2"/>
  <c r="BN126" i="2"/>
  <c r="BI130" i="2"/>
  <c r="BJ130" i="2" s="1"/>
  <c r="BM126" i="2"/>
  <c r="AI21" i="43"/>
  <c r="AM21" i="43" s="1"/>
  <c r="AM54" i="43"/>
  <c r="AN54" i="43"/>
  <c r="AM190" i="43"/>
  <c r="AN190" i="43"/>
  <c r="BM243" i="2"/>
  <c r="BN243" i="2"/>
  <c r="J127" i="43"/>
  <c r="J190" i="43"/>
  <c r="AM143" i="43"/>
  <c r="AI283" i="43"/>
  <c r="AN143" i="43"/>
  <c r="BN168" i="2"/>
  <c r="BM168" i="2"/>
  <c r="AG249" i="43"/>
  <c r="E11" i="43"/>
  <c r="BO127" i="2"/>
  <c r="BP127" i="2"/>
  <c r="AG11" i="43"/>
  <c r="BI122" i="2"/>
  <c r="BJ122" i="2" s="1"/>
  <c r="BM119" i="2"/>
  <c r="BN119" i="2"/>
  <c r="E294" i="43"/>
  <c r="AN56" i="43"/>
  <c r="AM56" i="43"/>
  <c r="AI23" i="43"/>
  <c r="AM23" i="43" s="1"/>
  <c r="BK20" i="2"/>
  <c r="J88" i="43"/>
  <c r="E261" i="43"/>
  <c r="BM115" i="2"/>
  <c r="BN115" i="2"/>
  <c r="E124" i="43"/>
  <c r="F124" i="43" s="1"/>
  <c r="AL61" i="43"/>
  <c r="AK61" i="43"/>
  <c r="AG28" i="43"/>
  <c r="AK161" i="43"/>
  <c r="AL161" i="43"/>
  <c r="AG301" i="43"/>
  <c r="AL301" i="43" s="1"/>
  <c r="BN228" i="2"/>
  <c r="BM228" i="2"/>
  <c r="BI231" i="2"/>
  <c r="BO121" i="2"/>
  <c r="BP121" i="2"/>
  <c r="L122" i="43"/>
  <c r="AL47" i="43"/>
  <c r="AG14" i="43"/>
  <c r="AK47" i="43"/>
  <c r="AL122" i="43"/>
  <c r="AK122" i="43"/>
  <c r="E158" i="43"/>
  <c r="F158" i="43" s="1"/>
  <c r="AK127" i="43"/>
  <c r="AL127" i="43"/>
  <c r="G158" i="43"/>
  <c r="H158" i="43" s="1"/>
  <c r="BN160" i="2"/>
  <c r="BM160" i="2"/>
  <c r="G283" i="43"/>
  <c r="H283" i="43" s="1"/>
  <c r="G145" i="43"/>
  <c r="H145" i="43" s="1"/>
  <c r="BP207" i="2"/>
  <c r="BO207" i="2"/>
  <c r="BM150" i="2"/>
  <c r="BN150" i="2"/>
  <c r="BM134" i="2"/>
  <c r="BN134" i="2"/>
  <c r="BM319" i="2"/>
  <c r="AK224" i="43"/>
  <c r="AL224" i="43"/>
  <c r="E259" i="43"/>
  <c r="BN163" i="2"/>
  <c r="BM163" i="2"/>
  <c r="BP99" i="2"/>
  <c r="BO99" i="2"/>
  <c r="BK282" i="2"/>
  <c r="BP168" i="2"/>
  <c r="BO168" i="2"/>
  <c r="AJ124" i="43"/>
  <c r="G111" i="43"/>
  <c r="H111" i="43" s="1"/>
  <c r="E28" i="43"/>
  <c r="J28" i="43" s="1"/>
  <c r="J61" i="43"/>
  <c r="AI11" i="43"/>
  <c r="G260" i="43"/>
  <c r="AN114" i="43"/>
  <c r="AM114" i="43"/>
  <c r="AI287" i="43"/>
  <c r="AK120" i="43"/>
  <c r="AL120" i="43"/>
  <c r="BP235" i="2"/>
  <c r="BP229" i="2"/>
  <c r="F235" i="43"/>
  <c r="F234" i="43"/>
  <c r="E214" i="43"/>
  <c r="F214" i="43" s="1"/>
  <c r="F237" i="43"/>
  <c r="G185" i="43"/>
  <c r="H185" i="43" s="1"/>
  <c r="AK218" i="43"/>
  <c r="AL218" i="43"/>
  <c r="AL183" i="43"/>
  <c r="AK183" i="43"/>
  <c r="L56" i="43"/>
  <c r="L230" i="43"/>
  <c r="AG248" i="43"/>
  <c r="AK75" i="43"/>
  <c r="AL75" i="43"/>
  <c r="AH77" i="43"/>
  <c r="AN127" i="43"/>
  <c r="AM127" i="43"/>
  <c r="AI10" i="43"/>
  <c r="AN43" i="43"/>
  <c r="AM43" i="43"/>
  <c r="AN55" i="43"/>
  <c r="AI22" i="43"/>
  <c r="AN22" i="43" s="1"/>
  <c r="AM55" i="43"/>
  <c r="AM155" i="43"/>
  <c r="AI295" i="43"/>
  <c r="AM295" i="43" s="1"/>
  <c r="AN155" i="43"/>
  <c r="E283" i="43"/>
  <c r="F283" i="43" s="1"/>
  <c r="E145" i="43"/>
  <c r="F145" i="43" s="1"/>
  <c r="BP98" i="2"/>
  <c r="BK281" i="2"/>
  <c r="BP281" i="2" s="1"/>
  <c r="BO98" i="2"/>
  <c r="AN148" i="43"/>
  <c r="AI288" i="43"/>
  <c r="AM148" i="43"/>
  <c r="AJ90" i="43"/>
  <c r="BO242" i="2"/>
  <c r="BP242" i="2"/>
  <c r="BL200" i="2"/>
  <c r="BL199" i="2"/>
  <c r="BL194" i="2"/>
  <c r="BK190" i="2"/>
  <c r="BO190" i="2" s="1"/>
  <c r="BL189" i="2"/>
  <c r="BL188" i="2"/>
  <c r="BL207" i="2"/>
  <c r="BL192" i="2"/>
  <c r="BL187" i="2"/>
  <c r="BP187" i="2"/>
  <c r="BL201" i="2"/>
  <c r="BO187" i="2"/>
  <c r="BL206" i="2"/>
  <c r="BL193" i="2"/>
  <c r="AJ193" i="43"/>
  <c r="BM162" i="2"/>
  <c r="BN162" i="2"/>
  <c r="G254" i="43"/>
  <c r="BI195" i="2"/>
  <c r="BN195" i="2" s="1"/>
  <c r="BN192" i="2"/>
  <c r="BM192" i="2"/>
  <c r="L161" i="43"/>
  <c r="G301" i="43"/>
  <c r="H301" i="43" s="1"/>
  <c r="E289" i="43"/>
  <c r="AJ158" i="43"/>
  <c r="BI29" i="2"/>
  <c r="BN29" i="2" s="1"/>
  <c r="AH214" i="43"/>
  <c r="AL212" i="43"/>
  <c r="AK212" i="43"/>
  <c r="L213" i="43"/>
  <c r="E301" i="43"/>
  <c r="J161" i="43"/>
  <c r="AL54" i="43"/>
  <c r="AK54" i="43"/>
  <c r="AL21" i="43"/>
  <c r="BK16" i="2"/>
  <c r="BP16" i="2" s="1"/>
  <c r="AH227" i="43"/>
  <c r="G219" i="43"/>
  <c r="H219" i="43" s="1"/>
  <c r="AG23" i="43"/>
  <c r="AK23" i="43" s="1"/>
  <c r="AL56" i="43"/>
  <c r="AK56" i="43"/>
  <c r="AH116" i="43"/>
  <c r="AN47" i="43"/>
  <c r="AJ50" i="43"/>
  <c r="AI14" i="43"/>
  <c r="AM47" i="43"/>
  <c r="E227" i="43"/>
  <c r="BO243" i="2"/>
  <c r="BP243" i="2"/>
  <c r="BO154" i="2"/>
  <c r="BP154" i="2"/>
  <c r="BK157" i="2"/>
  <c r="BL157" i="2" s="1"/>
  <c r="AH124" i="43"/>
  <c r="AI252" i="43"/>
  <c r="AJ82" i="43"/>
  <c r="BP193" i="2"/>
  <c r="BO193" i="2"/>
  <c r="G180" i="43"/>
  <c r="H180" i="43" s="1"/>
  <c r="BM125" i="2"/>
  <c r="BN125" i="2"/>
  <c r="BK28" i="2"/>
  <c r="BP28" i="2" s="1"/>
  <c r="BL134" i="2"/>
  <c r="BL127" i="2"/>
  <c r="BL116" i="2"/>
  <c r="BL126" i="2"/>
  <c r="BL125" i="2"/>
  <c r="BL114" i="2"/>
  <c r="BO114" i="2"/>
  <c r="BL120" i="2"/>
  <c r="BP114" i="2"/>
  <c r="BL121" i="2"/>
  <c r="BL115" i="2"/>
  <c r="BL119" i="2"/>
  <c r="BL128" i="2"/>
  <c r="BL133" i="2"/>
  <c r="BL129" i="2"/>
  <c r="BK117" i="2"/>
  <c r="BL117" i="2" s="1"/>
  <c r="G124" i="43"/>
  <c r="H124" i="43" s="1"/>
  <c r="BP199" i="2"/>
  <c r="BK203" i="2"/>
  <c r="BL203" i="2" s="1"/>
  <c r="BO199" i="2"/>
  <c r="BI165" i="2"/>
  <c r="BN165" i="2" s="1"/>
  <c r="BM161" i="2"/>
  <c r="BN161" i="2"/>
  <c r="AJ116" i="43"/>
  <c r="AM218" i="43"/>
  <c r="AN218" i="43"/>
  <c r="BO128" i="2"/>
  <c r="BP128" i="2"/>
  <c r="BP312" i="2"/>
  <c r="BI21" i="2"/>
  <c r="E111" i="43"/>
  <c r="F111" i="43" s="1"/>
  <c r="BK14" i="2"/>
  <c r="BO14" i="2" s="1"/>
  <c r="E193" i="43"/>
  <c r="F193" i="43" s="1"/>
  <c r="BO126" i="2"/>
  <c r="BK130" i="2"/>
  <c r="BO130" i="2" s="1"/>
  <c r="BP126" i="2"/>
  <c r="AG288" i="43"/>
  <c r="AL148" i="43"/>
  <c r="AK148" i="43"/>
  <c r="AK88" i="43"/>
  <c r="AG261" i="43"/>
  <c r="AL88" i="43"/>
  <c r="AI259" i="43"/>
  <c r="AM259" i="43" s="1"/>
  <c r="AN86" i="43"/>
  <c r="AM86" i="43"/>
  <c r="L225" i="43"/>
  <c r="G116" i="43"/>
  <c r="H116" i="43" s="1"/>
  <c r="AI15" i="43"/>
  <c r="BI87" i="2"/>
  <c r="BN87" i="2" s="1"/>
  <c r="BM84" i="2"/>
  <c r="BN84" i="2"/>
  <c r="BI267" i="2"/>
  <c r="BN267" i="2" s="1"/>
  <c r="BP156" i="2"/>
  <c r="BO156" i="2"/>
  <c r="AG252" i="43"/>
  <c r="BM93" i="2"/>
  <c r="BN93" i="2"/>
  <c r="BI276" i="2"/>
  <c r="AG267" i="43"/>
  <c r="AL94" i="43"/>
  <c r="AK94" i="43"/>
  <c r="BM193" i="2"/>
  <c r="BN193" i="2"/>
  <c r="BN236" i="2"/>
  <c r="BM236" i="2"/>
  <c r="AH111" i="43"/>
  <c r="AL109" i="43"/>
  <c r="AK109" i="43"/>
  <c r="AL162" i="43"/>
  <c r="AG302" i="43"/>
  <c r="AK162" i="43"/>
  <c r="BP201" i="2"/>
  <c r="BO201" i="2"/>
  <c r="G253" i="43"/>
  <c r="L191" i="43"/>
  <c r="AI261" i="43"/>
  <c r="AM261" i="43" s="1"/>
  <c r="AN88" i="43"/>
  <c r="AM88" i="43"/>
  <c r="AL149" i="43"/>
  <c r="AK149" i="43"/>
  <c r="AG289" i="43"/>
  <c r="AL289" i="43" s="1"/>
  <c r="BM198" i="2"/>
  <c r="AM191" i="43"/>
  <c r="AN191" i="43"/>
  <c r="AK190" i="43"/>
  <c r="AL190" i="43"/>
  <c r="AL196" i="43"/>
  <c r="AK196" i="43"/>
  <c r="AK225" i="43"/>
  <c r="AL225" i="43"/>
  <c r="BM133" i="2"/>
  <c r="BN133" i="2"/>
  <c r="BM199" i="2"/>
  <c r="BN199" i="2"/>
  <c r="BI203" i="2"/>
  <c r="G82" i="43"/>
  <c r="H82" i="43" s="1"/>
  <c r="G252" i="43"/>
  <c r="BO161" i="2"/>
  <c r="BP161" i="2"/>
  <c r="BK165" i="2"/>
  <c r="BO163" i="2"/>
  <c r="BP163" i="2"/>
  <c r="AJ77" i="43"/>
  <c r="AI248" i="43"/>
  <c r="AN75" i="43"/>
  <c r="AM75" i="43"/>
  <c r="BI157" i="2"/>
  <c r="BN157" i="2" s="1"/>
  <c r="BM154" i="2"/>
  <c r="BN154" i="2"/>
  <c r="AJ111" i="43"/>
  <c r="AM109" i="43"/>
  <c r="AN109" i="43"/>
  <c r="G249" i="43"/>
  <c r="AM212" i="43"/>
  <c r="AJ214" i="43"/>
  <c r="AN212" i="43"/>
  <c r="J81" i="43"/>
  <c r="E254" i="43"/>
  <c r="E16" i="43"/>
  <c r="BN237" i="2"/>
  <c r="BM237" i="2"/>
  <c r="J196" i="43"/>
  <c r="AH58" i="43"/>
  <c r="BK269" i="2"/>
  <c r="BP269" i="2" s="1"/>
  <c r="BP86" i="2"/>
  <c r="BO86" i="2"/>
  <c r="G15" i="43"/>
  <c r="AL213" i="43"/>
  <c r="AK213" i="43"/>
  <c r="AM120" i="43"/>
  <c r="AN120" i="43"/>
  <c r="BI190" i="2"/>
  <c r="BN190" i="2" s="1"/>
  <c r="BM187" i="2"/>
  <c r="BJ193" i="2"/>
  <c r="BJ194" i="2"/>
  <c r="BN187" i="2"/>
  <c r="BJ200" i="2"/>
  <c r="BJ189" i="2"/>
  <c r="BJ199" i="2"/>
  <c r="BJ201" i="2"/>
  <c r="BJ192" i="2"/>
  <c r="BJ188" i="2"/>
  <c r="BJ206" i="2"/>
  <c r="BJ187" i="2"/>
  <c r="BJ207" i="2"/>
  <c r="BM128" i="2"/>
  <c r="BN128" i="2"/>
  <c r="BM313" i="2"/>
  <c r="J230" i="43"/>
  <c r="AN115" i="43"/>
  <c r="AM115" i="43"/>
  <c r="E180" i="43"/>
  <c r="F180" i="43" s="1"/>
  <c r="BO92" i="2"/>
  <c r="BK275" i="2"/>
  <c r="BP274" i="2" s="1"/>
  <c r="BP92" i="2"/>
  <c r="AK178" i="43"/>
  <c r="AL178" i="43"/>
  <c r="AH180" i="43"/>
  <c r="AG287" i="43"/>
  <c r="AH150" i="43"/>
  <c r="BM242" i="2"/>
  <c r="BN242" i="2"/>
  <c r="BI275" i="2"/>
  <c r="BN275" i="2" s="1"/>
  <c r="BM92" i="2"/>
  <c r="BN92" i="2"/>
  <c r="H237" i="43"/>
  <c r="H234" i="43"/>
  <c r="H235" i="43"/>
  <c r="G214" i="43"/>
  <c r="H214" i="43" s="1"/>
  <c r="BN194" i="2"/>
  <c r="BM194" i="2"/>
  <c r="AI249" i="43"/>
  <c r="E77" i="43"/>
  <c r="F77" i="43" s="1"/>
  <c r="E248" i="43"/>
  <c r="F273" i="43" s="1"/>
  <c r="BL228" i="2"/>
  <c r="BL229" i="2"/>
  <c r="BL237" i="2"/>
  <c r="BO223" i="2"/>
  <c r="BL223" i="2"/>
  <c r="BP223" i="2"/>
  <c r="BL235" i="2"/>
  <c r="BL224" i="2"/>
  <c r="BK226" i="2"/>
  <c r="BO226" i="2" s="1"/>
  <c r="BL236" i="2"/>
  <c r="BL242" i="2"/>
  <c r="BL225" i="2"/>
  <c r="BL230" i="2"/>
  <c r="BL243" i="2"/>
  <c r="AL189" i="43"/>
  <c r="AK189" i="43"/>
  <c r="BK15" i="2"/>
  <c r="BP15" i="2" s="1"/>
  <c r="BN188" i="2"/>
  <c r="BM188" i="2"/>
  <c r="BI23" i="2"/>
  <c r="BN23" i="2" s="1"/>
  <c r="G248" i="43"/>
  <c r="H223" i="43"/>
  <c r="H225" i="43"/>
  <c r="H217" i="43"/>
  <c r="H231" i="43"/>
  <c r="H216" i="43"/>
  <c r="H224" i="43"/>
  <c r="H213" i="43"/>
  <c r="H212" i="43"/>
  <c r="G77" i="43"/>
  <c r="H77" i="43" s="1"/>
  <c r="H218" i="43"/>
  <c r="H230" i="43"/>
  <c r="AM213" i="43"/>
  <c r="AN213" i="43"/>
  <c r="BK23" i="2"/>
  <c r="BP23" i="2" s="1"/>
  <c r="BP85" i="2"/>
  <c r="BO85" i="2"/>
  <c r="BK268" i="2"/>
  <c r="AK143" i="43"/>
  <c r="AL143" i="43"/>
  <c r="AG283" i="43"/>
  <c r="BP134" i="2"/>
  <c r="BO134" i="2"/>
  <c r="AH45" i="43"/>
  <c r="AK43" i="43"/>
  <c r="AL43" i="43"/>
  <c r="AG10" i="43"/>
  <c r="E116" i="43"/>
  <c r="F116" i="43" s="1"/>
  <c r="AK191" i="43"/>
  <c r="AL191" i="43"/>
  <c r="AG15" i="43"/>
  <c r="BM127" i="2"/>
  <c r="BN312" i="2"/>
  <c r="BN127" i="2"/>
  <c r="BK22" i="2"/>
  <c r="AM81" i="43"/>
  <c r="AN81" i="43"/>
  <c r="AI254" i="43"/>
  <c r="AM254" i="43" s="1"/>
  <c r="E266" i="43"/>
  <c r="J93" i="43"/>
  <c r="AL114" i="43"/>
  <c r="AK114" i="43"/>
  <c r="AG254" i="43"/>
  <c r="AK254" i="43" s="1"/>
  <c r="AL81" i="43"/>
  <c r="AK81" i="43"/>
  <c r="AN183" i="43"/>
  <c r="AM183" i="43"/>
  <c r="E252" i="43"/>
  <c r="E82" i="43"/>
  <c r="F82" i="43" s="1"/>
  <c r="G193" i="43"/>
  <c r="H193" i="43" s="1"/>
  <c r="BK239" i="2"/>
  <c r="BL239" i="2" s="1"/>
  <c r="BP90" i="2"/>
  <c r="BO90" i="2"/>
  <c r="AG22" i="43"/>
  <c r="AK22" i="43" s="1"/>
  <c r="AK55" i="43"/>
  <c r="AL55" i="43"/>
  <c r="AK121" i="43"/>
  <c r="AL121" i="43"/>
  <c r="G289" i="43"/>
  <c r="BI14" i="2"/>
  <c r="BN14" i="2" s="1"/>
  <c r="BO84" i="2"/>
  <c r="BK267" i="2"/>
  <c r="BK87" i="2"/>
  <c r="BO87" i="2" s="1"/>
  <c r="BP84" i="2"/>
  <c r="BL80" i="2"/>
  <c r="BK262" i="2"/>
  <c r="BL86" i="2"/>
  <c r="BK82" i="2"/>
  <c r="BL90" i="2"/>
  <c r="BL91" i="2"/>
  <c r="BL99" i="2"/>
  <c r="BL84" i="2"/>
  <c r="BP79" i="2"/>
  <c r="BL79" i="2"/>
  <c r="BL93" i="2"/>
  <c r="BO79" i="2"/>
  <c r="BL81" i="2"/>
  <c r="BL92" i="2"/>
  <c r="BL85" i="2"/>
  <c r="BL98" i="2"/>
  <c r="BP133" i="2"/>
  <c r="BO133" i="2"/>
  <c r="BN80" i="2"/>
  <c r="BI263" i="2"/>
  <c r="BM80" i="2"/>
  <c r="BK263" i="2"/>
  <c r="BO263" i="2" s="1"/>
  <c r="BP80" i="2"/>
  <c r="BO80" i="2"/>
  <c r="G296" i="43"/>
  <c r="H296" i="43" s="1"/>
  <c r="L156" i="43"/>
  <c r="F55" i="43"/>
  <c r="F65" i="43"/>
  <c r="F213" i="43"/>
  <c r="F66" i="43"/>
  <c r="F62" i="43"/>
  <c r="F217" i="43"/>
  <c r="F231" i="43"/>
  <c r="E10" i="43"/>
  <c r="F33" i="43" s="1"/>
  <c r="F230" i="43"/>
  <c r="F61" i="43"/>
  <c r="F225" i="43"/>
  <c r="F56" i="43"/>
  <c r="F54" i="43"/>
  <c r="F43" i="43"/>
  <c r="F212" i="43"/>
  <c r="F47" i="43"/>
  <c r="F218" i="43"/>
  <c r="F49" i="43"/>
  <c r="F224" i="43"/>
  <c r="E45" i="43"/>
  <c r="F216" i="43"/>
  <c r="F68" i="43"/>
  <c r="F223" i="43"/>
  <c r="F48" i="43"/>
  <c r="BO120" i="2"/>
  <c r="BP120" i="2"/>
  <c r="AL154" i="43"/>
  <c r="AK154" i="43"/>
  <c r="AG294" i="43"/>
  <c r="AL80" i="43"/>
  <c r="AG253" i="43"/>
  <c r="AK80" i="43"/>
  <c r="BM99" i="2"/>
  <c r="BN99" i="2"/>
  <c r="BI282" i="2"/>
  <c r="BM282" i="2" s="1"/>
  <c r="AG259" i="43"/>
  <c r="AL259" i="43" s="1"/>
  <c r="AL86" i="43"/>
  <c r="AK86" i="43"/>
  <c r="J156" i="43"/>
  <c r="E296" i="43"/>
  <c r="BP160" i="2"/>
  <c r="BO160" i="2"/>
  <c r="AM61" i="43"/>
  <c r="AN61" i="43"/>
  <c r="AI28" i="43"/>
  <c r="AN28" i="43" s="1"/>
  <c r="E15" i="43"/>
  <c r="E253" i="43"/>
  <c r="BP91" i="2"/>
  <c r="BK95" i="2"/>
  <c r="BP95" i="2" s="1"/>
  <c r="BO91" i="2"/>
  <c r="BK274" i="2"/>
  <c r="BJ213" i="2"/>
  <c r="AL223" i="43"/>
  <c r="AK223" i="43"/>
  <c r="G90" i="43"/>
  <c r="H90" i="43" s="1"/>
  <c r="J56" i="43"/>
  <c r="AN230" i="43"/>
  <c r="AM230" i="43"/>
  <c r="E284" i="43"/>
  <c r="L196" i="43"/>
  <c r="BM306" i="2"/>
  <c r="BM121" i="2"/>
  <c r="BN121" i="2"/>
  <c r="AL49" i="43"/>
  <c r="AK49" i="43"/>
  <c r="AG16" i="43"/>
  <c r="L61" i="43"/>
  <c r="G28" i="43"/>
  <c r="L28" i="43" s="1"/>
  <c r="J225" i="43"/>
  <c r="AI289" i="43"/>
  <c r="AM149" i="43"/>
  <c r="AN149" i="43"/>
  <c r="BI95" i="2"/>
  <c r="BM91" i="2"/>
  <c r="BN91" i="2"/>
  <c r="BI274" i="2"/>
  <c r="BN274" i="2" s="1"/>
  <c r="BK29" i="2"/>
  <c r="BP29" i="2" s="1"/>
  <c r="BM305" i="2"/>
  <c r="BN120" i="2"/>
  <c r="BM120" i="2"/>
  <c r="AL216" i="43"/>
  <c r="AK216" i="43"/>
  <c r="J191" i="43"/>
  <c r="AN154" i="43"/>
  <c r="AM154" i="43"/>
  <c r="AI294" i="43"/>
  <c r="BJ119" i="2"/>
  <c r="BJ126" i="2"/>
  <c r="BN114" i="2"/>
  <c r="BJ116" i="2"/>
  <c r="BM114" i="2"/>
  <c r="BJ128" i="2"/>
  <c r="BJ127" i="2"/>
  <c r="BJ134" i="2"/>
  <c r="BJ129" i="2"/>
  <c r="BJ133" i="2"/>
  <c r="BJ115" i="2"/>
  <c r="BJ114" i="2"/>
  <c r="BJ120" i="2"/>
  <c r="BJ121" i="2"/>
  <c r="BI117" i="2"/>
  <c r="BM117" i="2" s="1"/>
  <c r="BJ125" i="2"/>
  <c r="AH193" i="43"/>
  <c r="BK10" i="2"/>
  <c r="BO10" i="2" s="1"/>
  <c r="BM207" i="2"/>
  <c r="BN207" i="2"/>
  <c r="BO150" i="2"/>
  <c r="BP150" i="2"/>
  <c r="AM184" i="43"/>
  <c r="AN184" i="43"/>
  <c r="BP236" i="2"/>
  <c r="G295" i="43"/>
  <c r="BK9" i="2"/>
  <c r="BL105" i="2" s="1"/>
  <c r="BJ99" i="2"/>
  <c r="BJ86" i="2"/>
  <c r="BJ90" i="2"/>
  <c r="BI82" i="2"/>
  <c r="BJ79" i="2"/>
  <c r="BJ91" i="2"/>
  <c r="BJ80" i="2"/>
  <c r="BJ93" i="2"/>
  <c r="BJ98" i="2"/>
  <c r="BN79" i="2"/>
  <c r="BJ85" i="2"/>
  <c r="BI262" i="2"/>
  <c r="BJ84" i="2"/>
  <c r="BJ81" i="2"/>
  <c r="BM79" i="2"/>
  <c r="BJ92" i="2"/>
  <c r="E14" i="43"/>
  <c r="E50" i="43"/>
  <c r="G259" i="43"/>
  <c r="BI10" i="2"/>
  <c r="G14" i="43"/>
  <c r="G50" i="43"/>
  <c r="H50" i="43" s="1"/>
  <c r="BI22" i="2"/>
  <c r="AL128" i="43"/>
  <c r="AK128" i="43"/>
  <c r="AL71" i="2"/>
  <c r="AD71" i="33"/>
  <c r="AD236" i="33"/>
  <c r="AM250" i="2"/>
  <c r="AF250" i="2"/>
  <c r="AN250" i="2"/>
  <c r="AD36" i="33"/>
  <c r="AE37" i="2"/>
  <c r="AD39" i="33" s="1"/>
  <c r="AL176" i="2"/>
  <c r="AH176" i="2"/>
  <c r="AI36" i="2"/>
  <c r="AN34" i="2"/>
  <c r="AJ34" i="2"/>
  <c r="AA36" i="2"/>
  <c r="AB36" i="2" s="1"/>
  <c r="AB34" i="2"/>
  <c r="G36" i="2"/>
  <c r="G37" i="2"/>
  <c r="L34" i="2"/>
  <c r="H34" i="2"/>
  <c r="AN71" i="2"/>
  <c r="AJ71" i="2"/>
  <c r="AL34" i="2"/>
  <c r="AG36" i="2"/>
  <c r="AH34" i="2"/>
  <c r="J71" i="2"/>
  <c r="F71" i="2"/>
  <c r="AK71" i="2"/>
  <c r="AM71" i="2"/>
  <c r="AF71" i="2"/>
  <c r="E36" i="2"/>
  <c r="J34" i="2"/>
  <c r="F34" i="2"/>
  <c r="AE36" i="2"/>
  <c r="AD38" i="33" s="1"/>
  <c r="AK34" i="2"/>
  <c r="AM34" i="2"/>
  <c r="AF34" i="2"/>
  <c r="C36" i="2"/>
  <c r="K34" i="2"/>
  <c r="I34" i="2"/>
  <c r="D34" i="2"/>
  <c r="L71" i="2"/>
  <c r="H71" i="2"/>
  <c r="BC34" i="2"/>
  <c r="BD30" i="2"/>
  <c r="BH106" i="2" l="1"/>
  <c r="BV36" i="2"/>
  <c r="BW36" i="2" s="1"/>
  <c r="BO262" i="2"/>
  <c r="BL285" i="2"/>
  <c r="BL281" i="2"/>
  <c r="BL276" i="2"/>
  <c r="BL288" i="2"/>
  <c r="BL275" i="2"/>
  <c r="BL269" i="2"/>
  <c r="BL264" i="2"/>
  <c r="BL282" i="2"/>
  <c r="BL262" i="2"/>
  <c r="BL274" i="2"/>
  <c r="BL268" i="2"/>
  <c r="BL263" i="2"/>
  <c r="BL286" i="2"/>
  <c r="BL277" i="2"/>
  <c r="BL267" i="2"/>
  <c r="BJ285" i="2"/>
  <c r="BJ281" i="2"/>
  <c r="BJ276" i="2"/>
  <c r="BJ288" i="2"/>
  <c r="BJ275" i="2"/>
  <c r="BJ269" i="2"/>
  <c r="BJ264" i="2"/>
  <c r="BJ282" i="2"/>
  <c r="BJ262" i="2"/>
  <c r="BJ274" i="2"/>
  <c r="BJ268" i="2"/>
  <c r="BJ263" i="2"/>
  <c r="BJ286" i="2"/>
  <c r="BJ277" i="2"/>
  <c r="BJ267" i="2"/>
  <c r="CB34" i="2"/>
  <c r="CC30" i="2"/>
  <c r="BG321" i="2"/>
  <c r="BH321" i="2" s="1"/>
  <c r="BH174" i="2"/>
  <c r="BG176" i="2"/>
  <c r="BH176" i="2" s="1"/>
  <c r="BG214" i="2"/>
  <c r="BH214" i="2" s="1"/>
  <c r="BH212" i="2"/>
  <c r="CA30" i="2"/>
  <c r="BZ34" i="2"/>
  <c r="BX65" i="2"/>
  <c r="BY65" i="2" s="1"/>
  <c r="BG287" i="2"/>
  <c r="BH287" i="2" s="1"/>
  <c r="BH139" i="2"/>
  <c r="BG142" i="2"/>
  <c r="BX37" i="2" s="1"/>
  <c r="BG141" i="2"/>
  <c r="BG324" i="2"/>
  <c r="BH324" i="2" s="1"/>
  <c r="BX34" i="2"/>
  <c r="BV65" i="2"/>
  <c r="BW65" i="2" s="1"/>
  <c r="BY30" i="2"/>
  <c r="CB53" i="2"/>
  <c r="CC53" i="2" s="1"/>
  <c r="BU53" i="2"/>
  <c r="BH30" i="2"/>
  <c r="BG34" i="2"/>
  <c r="BG72" i="2"/>
  <c r="BT66" i="2"/>
  <c r="BU66" i="2" s="1"/>
  <c r="BU31" i="2"/>
  <c r="BT61" i="2"/>
  <c r="BU26" i="2"/>
  <c r="CG33" i="2"/>
  <c r="CF31" i="2"/>
  <c r="CG31" i="2" s="1"/>
  <c r="CF26" i="2"/>
  <c r="AH11" i="43"/>
  <c r="AH14" i="43"/>
  <c r="AM58" i="43"/>
  <c r="AJ58" i="43"/>
  <c r="AN45" i="43"/>
  <c r="AJ45" i="43"/>
  <c r="AL50" i="43"/>
  <c r="AH50" i="43"/>
  <c r="AK90" i="43"/>
  <c r="AH90" i="43"/>
  <c r="AH82" i="43"/>
  <c r="AJ145" i="43"/>
  <c r="AJ150" i="43"/>
  <c r="AL158" i="43"/>
  <c r="AH158" i="43"/>
  <c r="AH145" i="43"/>
  <c r="AH185" i="43"/>
  <c r="AN219" i="43"/>
  <c r="AJ219" i="43"/>
  <c r="AM227" i="43"/>
  <c r="AJ227" i="43"/>
  <c r="AL219" i="43"/>
  <c r="AH219" i="43"/>
  <c r="AM248" i="43"/>
  <c r="AJ259" i="43"/>
  <c r="AJ253" i="43"/>
  <c r="AJ248" i="43"/>
  <c r="AJ266" i="43"/>
  <c r="AJ254" i="43"/>
  <c r="AJ252" i="43"/>
  <c r="AJ260" i="43"/>
  <c r="AJ267" i="43"/>
  <c r="AJ261" i="43"/>
  <c r="AJ249" i="43"/>
  <c r="AH259" i="43"/>
  <c r="AH253" i="43"/>
  <c r="AH248" i="43"/>
  <c r="AH266" i="43"/>
  <c r="AH252" i="43"/>
  <c r="AH260" i="43"/>
  <c r="AH267" i="43"/>
  <c r="AH261" i="43"/>
  <c r="AH254" i="43"/>
  <c r="AH249" i="43"/>
  <c r="AJ301" i="43"/>
  <c r="AJ295" i="43"/>
  <c r="AJ289" i="43"/>
  <c r="AJ284" i="43"/>
  <c r="AJ287" i="43"/>
  <c r="AJ302" i="43"/>
  <c r="AJ294" i="43"/>
  <c r="AJ288" i="43"/>
  <c r="AJ283" i="43"/>
  <c r="AJ296" i="43"/>
  <c r="AH301" i="43"/>
  <c r="AH295" i="43"/>
  <c r="AH289" i="43"/>
  <c r="AH284" i="43"/>
  <c r="AH296" i="43"/>
  <c r="AH294" i="43"/>
  <c r="AH288" i="43"/>
  <c r="AH283" i="43"/>
  <c r="AH287" i="43"/>
  <c r="AH302" i="43"/>
  <c r="H35" i="43"/>
  <c r="H23" i="43"/>
  <c r="H33" i="43"/>
  <c r="H259" i="43"/>
  <c r="H252" i="43"/>
  <c r="L266" i="43"/>
  <c r="H266" i="43"/>
  <c r="L261" i="43"/>
  <c r="H261" i="43"/>
  <c r="H253" i="43"/>
  <c r="H254" i="43"/>
  <c r="H260" i="43"/>
  <c r="H248" i="43"/>
  <c r="H273" i="43"/>
  <c r="H249" i="43"/>
  <c r="F252" i="43"/>
  <c r="H289" i="43"/>
  <c r="H288" i="43"/>
  <c r="H287" i="43"/>
  <c r="H284" i="43"/>
  <c r="H295" i="43"/>
  <c r="H294" i="43"/>
  <c r="J301" i="43"/>
  <c r="F301" i="43"/>
  <c r="F289" i="43"/>
  <c r="J296" i="43"/>
  <c r="F296" i="43"/>
  <c r="J295" i="43"/>
  <c r="F295" i="43"/>
  <c r="F294" i="43"/>
  <c r="F253" i="43"/>
  <c r="F287" i="43"/>
  <c r="F288" i="43"/>
  <c r="F284" i="43"/>
  <c r="F254" i="43"/>
  <c r="J266" i="43"/>
  <c r="F266" i="43"/>
  <c r="F259" i="43"/>
  <c r="J261" i="43"/>
  <c r="F261" i="43"/>
  <c r="F260" i="43"/>
  <c r="F249" i="43"/>
  <c r="H32" i="43"/>
  <c r="AJ83" i="43"/>
  <c r="AM266" i="43"/>
  <c r="H10" i="43"/>
  <c r="BM16" i="2"/>
  <c r="BM15" i="2"/>
  <c r="BM269" i="2"/>
  <c r="AL260" i="43"/>
  <c r="H29" i="43"/>
  <c r="H15" i="43"/>
  <c r="AJ10" i="43"/>
  <c r="G12" i="43"/>
  <c r="H12" i="43" s="1"/>
  <c r="G25" i="43"/>
  <c r="H25" i="43" s="1"/>
  <c r="AN16" i="43"/>
  <c r="BP152" i="2"/>
  <c r="BM157" i="2"/>
  <c r="BM190" i="2"/>
  <c r="H16" i="43"/>
  <c r="BN239" i="2"/>
  <c r="BM239" i="2"/>
  <c r="BM300" i="2"/>
  <c r="AM219" i="43"/>
  <c r="BO275" i="2"/>
  <c r="AH29" i="43"/>
  <c r="AN295" i="43"/>
  <c r="BN268" i="2"/>
  <c r="BP275" i="2"/>
  <c r="BP21" i="2"/>
  <c r="AN283" i="43"/>
  <c r="BM281" i="2"/>
  <c r="BN300" i="2"/>
  <c r="BM268" i="2"/>
  <c r="BP190" i="2"/>
  <c r="F28" i="43"/>
  <c r="BP87" i="2"/>
  <c r="BO239" i="2"/>
  <c r="AN301" i="43"/>
  <c r="E285" i="43"/>
  <c r="F285" i="43" s="1"/>
  <c r="AL23" i="43"/>
  <c r="AL227" i="43"/>
  <c r="AM45" i="43"/>
  <c r="BL190" i="2"/>
  <c r="AM158" i="43"/>
  <c r="H11" i="43"/>
  <c r="BK25" i="2"/>
  <c r="BO25" i="2" s="1"/>
  <c r="BN282" i="2"/>
  <c r="AN158" i="43"/>
  <c r="BM263" i="2"/>
  <c r="AK267" i="43"/>
  <c r="F10" i="43"/>
  <c r="AG285" i="43"/>
  <c r="AH285" i="43" s="1"/>
  <c r="BP130" i="2"/>
  <c r="BM14" i="2"/>
  <c r="AM214" i="43"/>
  <c r="BP14" i="2"/>
  <c r="AG250" i="43"/>
  <c r="BN9" i="2"/>
  <c r="AJ29" i="43"/>
  <c r="AN10" i="43"/>
  <c r="AG255" i="43"/>
  <c r="AL283" i="43"/>
  <c r="AK219" i="43"/>
  <c r="AN227" i="43"/>
  <c r="E220" i="43"/>
  <c r="E228" i="43" s="1"/>
  <c r="F228" i="43" s="1"/>
  <c r="H28" i="43"/>
  <c r="BI278" i="2"/>
  <c r="BN278" i="2" s="1"/>
  <c r="BJ157" i="2"/>
  <c r="BN305" i="2"/>
  <c r="BO269" i="2"/>
  <c r="F16" i="43"/>
  <c r="BK270" i="2"/>
  <c r="BO270" i="2" s="1"/>
  <c r="AL254" i="43"/>
  <c r="BN313" i="2"/>
  <c r="BM312" i="2"/>
  <c r="BO305" i="2"/>
  <c r="BN117" i="2"/>
  <c r="BJ117" i="2"/>
  <c r="AN294" i="43"/>
  <c r="AM294" i="43"/>
  <c r="AL45" i="43"/>
  <c r="AK158" i="43"/>
  <c r="BM274" i="2"/>
  <c r="BI123" i="2"/>
  <c r="BI131" i="2" s="1"/>
  <c r="BI135" i="2" s="1"/>
  <c r="BI139" i="2" s="1"/>
  <c r="AK283" i="43"/>
  <c r="BM23" i="2"/>
  <c r="BN319" i="2"/>
  <c r="BP262" i="2"/>
  <c r="BI158" i="2"/>
  <c r="BN158" i="2" s="1"/>
  <c r="F32" i="43"/>
  <c r="F29" i="43"/>
  <c r="BP316" i="2"/>
  <c r="BO16" i="2"/>
  <c r="BN130" i="2"/>
  <c r="BO307" i="2"/>
  <c r="BO267" i="2"/>
  <c r="AK50" i="43"/>
  <c r="BM303" i="2"/>
  <c r="BK196" i="2"/>
  <c r="BK209" i="2" s="1"/>
  <c r="BP209" i="2" s="1"/>
  <c r="AL22" i="43"/>
  <c r="AM124" i="43"/>
  <c r="AN214" i="43"/>
  <c r="BL130" i="2"/>
  <c r="AJ21" i="43"/>
  <c r="AN124" i="43"/>
  <c r="AK289" i="43"/>
  <c r="AJ16" i="43"/>
  <c r="BL35" i="2"/>
  <c r="AJ15" i="43"/>
  <c r="AL296" i="43"/>
  <c r="F35" i="43"/>
  <c r="E51" i="43"/>
  <c r="AL295" i="43"/>
  <c r="G285" i="43"/>
  <c r="H285" i="43" s="1"/>
  <c r="AK295" i="43"/>
  <c r="BP282" i="2"/>
  <c r="G186" i="43"/>
  <c r="H186" i="43" s="1"/>
  <c r="BL140" i="2"/>
  <c r="AJ28" i="43"/>
  <c r="AM301" i="43"/>
  <c r="AK296" i="43"/>
  <c r="AJ33" i="43"/>
  <c r="G220" i="43"/>
  <c r="G228" i="43" s="1"/>
  <c r="G232" i="43" s="1"/>
  <c r="BO282" i="2"/>
  <c r="AJ220" i="43"/>
  <c r="BM29" i="2"/>
  <c r="H14" i="43"/>
  <c r="G17" i="43"/>
  <c r="H17" i="43" s="1"/>
  <c r="BJ172" i="2"/>
  <c r="BL175" i="2"/>
  <c r="F22" i="43"/>
  <c r="F11" i="43"/>
  <c r="AI298" i="43"/>
  <c r="AJ298" i="43" s="1"/>
  <c r="H22" i="43"/>
  <c r="BK12" i="2"/>
  <c r="BO12" i="2" s="1"/>
  <c r="F50" i="43"/>
  <c r="E117" i="43"/>
  <c r="BJ246" i="2"/>
  <c r="BI12" i="2"/>
  <c r="BN12" i="2" s="1"/>
  <c r="BJ82" i="2"/>
  <c r="BI88" i="2"/>
  <c r="BM88" i="2" s="1"/>
  <c r="BJ35" i="2"/>
  <c r="BJ105" i="2"/>
  <c r="BJ33" i="2"/>
  <c r="BJ15" i="2"/>
  <c r="BM9" i="2"/>
  <c r="BJ211" i="2"/>
  <c r="BJ138" i="2"/>
  <c r="BJ249" i="2"/>
  <c r="BJ28" i="2"/>
  <c r="BJ102" i="2"/>
  <c r="BJ32" i="2"/>
  <c r="BJ21" i="2"/>
  <c r="BJ29" i="2"/>
  <c r="BJ247" i="2"/>
  <c r="BJ23" i="2"/>
  <c r="AI250" i="43"/>
  <c r="BK278" i="2"/>
  <c r="BO278" i="2" s="1"/>
  <c r="E298" i="43"/>
  <c r="F298" i="43" s="1"/>
  <c r="E17" i="43"/>
  <c r="F17" i="43" s="1"/>
  <c r="BJ210" i="2"/>
  <c r="G255" i="43"/>
  <c r="H255" i="43" s="1"/>
  <c r="AK302" i="43"/>
  <c r="AL302" i="43"/>
  <c r="BI270" i="2"/>
  <c r="BN270" i="2" s="1"/>
  <c r="BM267" i="2"/>
  <c r="AL90" i="43"/>
  <c r="AK261" i="43"/>
  <c r="AL261" i="43"/>
  <c r="BN21" i="2"/>
  <c r="BM21" i="2"/>
  <c r="BJ165" i="2"/>
  <c r="BM165" i="2"/>
  <c r="AI17" i="43"/>
  <c r="AJ14" i="43"/>
  <c r="AN90" i="43"/>
  <c r="AM90" i="43"/>
  <c r="AG298" i="43"/>
  <c r="AK298" i="43" s="1"/>
  <c r="BO15" i="2"/>
  <c r="AL29" i="43"/>
  <c r="BL152" i="2"/>
  <c r="AN248" i="43"/>
  <c r="AI255" i="43"/>
  <c r="AJ255" i="43" s="1"/>
  <c r="G117" i="43"/>
  <c r="BK17" i="2"/>
  <c r="BO17" i="2" s="1"/>
  <c r="AM260" i="43"/>
  <c r="BM275" i="2"/>
  <c r="E151" i="43"/>
  <c r="AN253" i="43"/>
  <c r="BJ190" i="2"/>
  <c r="AG17" i="43"/>
  <c r="AG25" i="43"/>
  <c r="AH25" i="43" s="1"/>
  <c r="AK21" i="43"/>
  <c r="AK45" i="43"/>
  <c r="BM130" i="2"/>
  <c r="BL29" i="2"/>
  <c r="BL23" i="2"/>
  <c r="G263" i="43"/>
  <c r="H263" i="43" s="1"/>
  <c r="E186" i="43"/>
  <c r="G151" i="43"/>
  <c r="H151" i="43" s="1"/>
  <c r="H45" i="43"/>
  <c r="G51" i="43"/>
  <c r="G64" i="43" s="1"/>
  <c r="H64" i="43" s="1"/>
  <c r="F58" i="43"/>
  <c r="BP195" i="2"/>
  <c r="BL195" i="2"/>
  <c r="BM152" i="2"/>
  <c r="BN152" i="2"/>
  <c r="BJ152" i="2"/>
  <c r="AL193" i="43"/>
  <c r="AM289" i="43"/>
  <c r="AN289" i="43"/>
  <c r="AL16" i="43"/>
  <c r="AK16" i="43"/>
  <c r="AL253" i="43"/>
  <c r="AK294" i="43"/>
  <c r="AL294" i="43"/>
  <c r="BP263" i="2"/>
  <c r="BP82" i="2"/>
  <c r="BL82" i="2"/>
  <c r="BO82" i="2"/>
  <c r="BP267" i="2"/>
  <c r="BM203" i="2"/>
  <c r="BJ203" i="2"/>
  <c r="BM87" i="2"/>
  <c r="BJ87" i="2"/>
  <c r="AL288" i="43"/>
  <c r="AK288" i="43"/>
  <c r="AG290" i="43"/>
  <c r="AL124" i="43"/>
  <c r="F227" i="43"/>
  <c r="H21" i="43"/>
  <c r="L301" i="43"/>
  <c r="BJ195" i="2"/>
  <c r="BM195" i="2"/>
  <c r="AM193" i="43"/>
  <c r="AN193" i="43"/>
  <c r="AI263" i="43"/>
  <c r="AM263" i="43" s="1"/>
  <c r="BO281" i="2"/>
  <c r="AI12" i="43"/>
  <c r="AJ11" i="43"/>
  <c r="BJ226" i="2"/>
  <c r="BM226" i="2"/>
  <c r="BI232" i="2"/>
  <c r="BI245" i="2" s="1"/>
  <c r="BN245" i="2" s="1"/>
  <c r="BN226" i="2"/>
  <c r="BL14" i="2"/>
  <c r="BL246" i="2"/>
  <c r="BL9" i="2"/>
  <c r="BP9" i="2"/>
  <c r="BL173" i="2"/>
  <c r="BL15" i="2"/>
  <c r="BL28" i="2"/>
  <c r="BL137" i="2"/>
  <c r="BL11" i="2"/>
  <c r="BL16" i="2"/>
  <c r="BL247" i="2"/>
  <c r="AK253" i="43"/>
  <c r="AN58" i="43"/>
  <c r="BM10" i="2"/>
  <c r="BN10" i="2"/>
  <c r="BM95" i="2"/>
  <c r="BJ95" i="2"/>
  <c r="BN95" i="2"/>
  <c r="BJ140" i="2"/>
  <c r="BJ137" i="2"/>
  <c r="BJ175" i="2"/>
  <c r="BJ9" i="2"/>
  <c r="BJ10" i="2"/>
  <c r="BJ16" i="2"/>
  <c r="BJ173" i="2"/>
  <c r="BJ103" i="2"/>
  <c r="BJ11" i="2"/>
  <c r="F15" i="43"/>
  <c r="F45" i="43"/>
  <c r="L296" i="43"/>
  <c r="AG12" i="43"/>
  <c r="AH21" i="43"/>
  <c r="AH32" i="43"/>
  <c r="AH22" i="43"/>
  <c r="BN22" i="2"/>
  <c r="BI25" i="2"/>
  <c r="BN25" i="2" s="1"/>
  <c r="BO95" i="2"/>
  <c r="BL103" i="2"/>
  <c r="AK124" i="43"/>
  <c r="BL95" i="2"/>
  <c r="BN203" i="2"/>
  <c r="BM22" i="2"/>
  <c r="BJ14" i="2"/>
  <c r="G250" i="43"/>
  <c r="H250" i="43" s="1"/>
  <c r="F248" i="43"/>
  <c r="E250" i="43"/>
  <c r="F250" i="43" s="1"/>
  <c r="BI196" i="2"/>
  <c r="BI265" i="2"/>
  <c r="BJ265" i="2" s="1"/>
  <c r="BI17" i="2"/>
  <c r="BM17" i="2" s="1"/>
  <c r="E25" i="43"/>
  <c r="F25" i="43" s="1"/>
  <c r="BL122" i="2"/>
  <c r="BP122" i="2"/>
  <c r="BO122" i="2"/>
  <c r="AK214" i="43"/>
  <c r="AL214" i="43"/>
  <c r="AK193" i="43"/>
  <c r="BO157" i="2"/>
  <c r="BP10" i="2"/>
  <c r="G298" i="43"/>
  <c r="H298" i="43" s="1"/>
  <c r="E290" i="43"/>
  <c r="F290" i="43" s="1"/>
  <c r="AM22" i="43"/>
  <c r="BL87" i="2"/>
  <c r="E255" i="43"/>
  <c r="F255" i="43" s="1"/>
  <c r="F21" i="43"/>
  <c r="AM283" i="43"/>
  <c r="AM28" i="43"/>
  <c r="E12" i="43"/>
  <c r="F12" i="43" s="1"/>
  <c r="BL172" i="2"/>
  <c r="BL211" i="2"/>
  <c r="BL22" i="2"/>
  <c r="G83" i="43"/>
  <c r="BL32" i="2"/>
  <c r="BL249" i="2"/>
  <c r="BL33" i="2"/>
  <c r="AH15" i="43"/>
  <c r="BL210" i="2"/>
  <c r="BK265" i="2"/>
  <c r="BP265" i="2" s="1"/>
  <c r="BP303" i="2"/>
  <c r="AL58" i="43"/>
  <c r="BP203" i="2"/>
  <c r="BO306" i="2"/>
  <c r="BP117" i="2"/>
  <c r="BO117" i="2"/>
  <c r="AN259" i="43"/>
  <c r="F14" i="43"/>
  <c r="BN262" i="2"/>
  <c r="BM262" i="2"/>
  <c r="BM82" i="2"/>
  <c r="BN82" i="2"/>
  <c r="BN306" i="2"/>
  <c r="AN254" i="43"/>
  <c r="BO319" i="2"/>
  <c r="BP319" i="2"/>
  <c r="BM276" i="2"/>
  <c r="BN276" i="2"/>
  <c r="AL28" i="43"/>
  <c r="AK28" i="43"/>
  <c r="BL226" i="2"/>
  <c r="BP226" i="2"/>
  <c r="BO268" i="2"/>
  <c r="BP268" i="2"/>
  <c r="BO274" i="2"/>
  <c r="BL10" i="2"/>
  <c r="BK158" i="2"/>
  <c r="BK166" i="2" s="1"/>
  <c r="BP166" i="2" s="1"/>
  <c r="AI285" i="43"/>
  <c r="BK88" i="2"/>
  <c r="BL88" i="2" s="1"/>
  <c r="BL21" i="2"/>
  <c r="E263" i="43"/>
  <c r="F263" i="43" s="1"/>
  <c r="AG263" i="43"/>
  <c r="AK263" i="43" s="1"/>
  <c r="BP305" i="2"/>
  <c r="AI25" i="43"/>
  <c r="AJ25" i="43" s="1"/>
  <c r="BN263" i="2"/>
  <c r="BO28" i="2"/>
  <c r="BP157" i="2"/>
  <c r="BJ22" i="2"/>
  <c r="BO29" i="2"/>
  <c r="BP239" i="2"/>
  <c r="AK227" i="43"/>
  <c r="G290" i="43"/>
  <c r="H290" i="43" s="1"/>
  <c r="AN23" i="43"/>
  <c r="AL267" i="43"/>
  <c r="BL102" i="2"/>
  <c r="E83" i="43"/>
  <c r="AI290" i="43"/>
  <c r="AN21" i="43"/>
  <c r="AJ22" i="43"/>
  <c r="AH16" i="43"/>
  <c r="AJ23" i="43"/>
  <c r="BL138" i="2"/>
  <c r="BL213" i="2"/>
  <c r="AN261" i="43"/>
  <c r="BK123" i="2"/>
  <c r="BK136" i="2" s="1"/>
  <c r="BP136" i="2" s="1"/>
  <c r="BP306" i="2"/>
  <c r="BO312" i="2"/>
  <c r="BO23" i="2"/>
  <c r="AK58" i="43"/>
  <c r="BO22" i="2"/>
  <c r="BP22" i="2"/>
  <c r="AL10" i="43"/>
  <c r="AK10" i="43"/>
  <c r="AH10" i="43"/>
  <c r="AH33" i="43"/>
  <c r="AH23" i="43"/>
  <c r="AH28" i="43"/>
  <c r="AN288" i="43"/>
  <c r="AM288" i="43"/>
  <c r="AK301" i="43"/>
  <c r="AM296" i="43"/>
  <c r="AN296" i="43"/>
  <c r="BM28" i="2"/>
  <c r="BN28" i="2"/>
  <c r="AL266" i="43"/>
  <c r="AK266" i="43"/>
  <c r="BK232" i="2"/>
  <c r="BP232" i="2" s="1"/>
  <c r="BO9" i="2"/>
  <c r="AK259" i="43"/>
  <c r="BO203" i="2"/>
  <c r="BL165" i="2"/>
  <c r="BP165" i="2"/>
  <c r="BO165" i="2"/>
  <c r="AM50" i="43"/>
  <c r="AN50" i="43"/>
  <c r="AJ32" i="43"/>
  <c r="AJ35" i="43"/>
  <c r="AM10" i="43"/>
  <c r="AK248" i="43"/>
  <c r="AL248" i="43"/>
  <c r="BJ231" i="2"/>
  <c r="BN231" i="2"/>
  <c r="BM231" i="2"/>
  <c r="BM122" i="2"/>
  <c r="BN122" i="2"/>
  <c r="BL231" i="2"/>
  <c r="BO231" i="2"/>
  <c r="BP231" i="2"/>
  <c r="BP300" i="2"/>
  <c r="BO300" i="2"/>
  <c r="AD10" i="33"/>
  <c r="I36" i="2"/>
  <c r="K36" i="2"/>
  <c r="D36" i="2"/>
  <c r="AK36" i="2"/>
  <c r="AM36" i="2"/>
  <c r="AF36" i="2"/>
  <c r="BC36" i="2"/>
  <c r="BD36" i="2" s="1"/>
  <c r="BC37" i="2"/>
  <c r="BD34" i="2"/>
  <c r="H36" i="2"/>
  <c r="L36" i="2"/>
  <c r="AL36" i="2"/>
  <c r="AH36" i="2"/>
  <c r="J36" i="2"/>
  <c r="F36" i="2"/>
  <c r="AN36" i="2"/>
  <c r="AJ36" i="2"/>
  <c r="CF34" i="2" l="1"/>
  <c r="CF36" i="2" s="1"/>
  <c r="CG36" i="2" s="1"/>
  <c r="BM139" i="2"/>
  <c r="BL278" i="2"/>
  <c r="BL265" i="2"/>
  <c r="BL270" i="2"/>
  <c r="BJ278" i="2"/>
  <c r="BJ270" i="2"/>
  <c r="BG289" i="2"/>
  <c r="BH289" i="2" s="1"/>
  <c r="BG290" i="2"/>
  <c r="CA34" i="2"/>
  <c r="BZ36" i="2"/>
  <c r="BX69" i="2"/>
  <c r="BY69" i="2" s="1"/>
  <c r="BG325" i="2"/>
  <c r="CB36" i="2"/>
  <c r="CC36" i="2" s="1"/>
  <c r="CC34" i="2"/>
  <c r="BX36" i="2"/>
  <c r="BH141" i="2"/>
  <c r="BV69" i="2"/>
  <c r="BY34" i="2"/>
  <c r="BT65" i="2"/>
  <c r="BU30" i="2"/>
  <c r="CF30" i="2"/>
  <c r="CG30" i="2" s="1"/>
  <c r="CG26" i="2"/>
  <c r="CB61" i="2"/>
  <c r="CC61" i="2" s="1"/>
  <c r="BU61" i="2"/>
  <c r="BH34" i="2"/>
  <c r="BG37" i="2"/>
  <c r="BG36" i="2"/>
  <c r="AJ51" i="43"/>
  <c r="AH51" i="43"/>
  <c r="AH91" i="43"/>
  <c r="AH83" i="43"/>
  <c r="AJ117" i="43"/>
  <c r="AH130" i="43"/>
  <c r="AH117" i="43"/>
  <c r="AJ151" i="43"/>
  <c r="AH164" i="43"/>
  <c r="AH151" i="43"/>
  <c r="AJ199" i="43"/>
  <c r="AJ186" i="43"/>
  <c r="AH186" i="43"/>
  <c r="AK233" i="43"/>
  <c r="AH220" i="43"/>
  <c r="AH250" i="43"/>
  <c r="AJ263" i="43"/>
  <c r="AJ250" i="43"/>
  <c r="AH255" i="43"/>
  <c r="AH263" i="43"/>
  <c r="AH298" i="43"/>
  <c r="AJ285" i="43"/>
  <c r="AJ290" i="43"/>
  <c r="AH290" i="43"/>
  <c r="G96" i="43"/>
  <c r="H96" i="43" s="1"/>
  <c r="H83" i="43"/>
  <c r="E96" i="43"/>
  <c r="F96" i="43" s="1"/>
  <c r="F83" i="43"/>
  <c r="G125" i="43"/>
  <c r="H125" i="43" s="1"/>
  <c r="H117" i="43"/>
  <c r="E125" i="43"/>
  <c r="F125" i="43" s="1"/>
  <c r="F117" i="43"/>
  <c r="E164" i="43"/>
  <c r="F164" i="43" s="1"/>
  <c r="F151" i="43"/>
  <c r="E199" i="43"/>
  <c r="F199" i="43" s="1"/>
  <c r="F186" i="43"/>
  <c r="AJ96" i="43"/>
  <c r="AM298" i="43"/>
  <c r="AJ233" i="43"/>
  <c r="AM220" i="43"/>
  <c r="E233" i="43"/>
  <c r="F233" i="43" s="1"/>
  <c r="BN303" i="2"/>
  <c r="AN220" i="43"/>
  <c r="BN135" i="2"/>
  <c r="BN123" i="2"/>
  <c r="BN139" i="2"/>
  <c r="BM123" i="2"/>
  <c r="BJ131" i="2"/>
  <c r="BM302" i="2"/>
  <c r="BN302" i="2"/>
  <c r="BI141" i="2"/>
  <c r="BN141" i="2" s="1"/>
  <c r="BI136" i="2"/>
  <c r="BM136" i="2" s="1"/>
  <c r="AJ164" i="43"/>
  <c r="H228" i="43"/>
  <c r="BM131" i="2"/>
  <c r="BJ135" i="2"/>
  <c r="BJ123" i="2"/>
  <c r="BN131" i="2"/>
  <c r="BJ139" i="2"/>
  <c r="BI142" i="2"/>
  <c r="BK101" i="2"/>
  <c r="BP101" i="2" s="1"/>
  <c r="AG291" i="43"/>
  <c r="BM135" i="2"/>
  <c r="H220" i="43"/>
  <c r="G233" i="43"/>
  <c r="H233" i="43" s="1"/>
  <c r="BP25" i="2"/>
  <c r="BJ25" i="2"/>
  <c r="BP270" i="2"/>
  <c r="AG18" i="43"/>
  <c r="BI166" i="2"/>
  <c r="BM166" i="2" s="1"/>
  <c r="BJ158" i="2"/>
  <c r="BM158" i="2"/>
  <c r="BI171" i="2"/>
  <c r="BX66" i="2" s="1"/>
  <c r="BI96" i="2"/>
  <c r="BN96" i="2" s="1"/>
  <c r="BI101" i="2"/>
  <c r="BN101" i="2" s="1"/>
  <c r="AL220" i="43"/>
  <c r="BJ88" i="2"/>
  <c r="BK131" i="2"/>
  <c r="BP131" i="2" s="1"/>
  <c r="E130" i="43"/>
  <c r="F130" i="43" s="1"/>
  <c r="BN88" i="2"/>
  <c r="AH17" i="43"/>
  <c r="BL209" i="2"/>
  <c r="BK170" i="2"/>
  <c r="BK174" i="2" s="1"/>
  <c r="BK176" i="2" s="1"/>
  <c r="BO176" i="2" s="1"/>
  <c r="BM307" i="2"/>
  <c r="BN232" i="2"/>
  <c r="BM316" i="2"/>
  <c r="G194" i="43"/>
  <c r="H194" i="43" s="1"/>
  <c r="AG256" i="43"/>
  <c r="BK171" i="2"/>
  <c r="BO171" i="2" s="1"/>
  <c r="E159" i="43"/>
  <c r="F159" i="43" s="1"/>
  <c r="BL196" i="2"/>
  <c r="BO196" i="2"/>
  <c r="BN316" i="2"/>
  <c r="BM270" i="2"/>
  <c r="BM25" i="2"/>
  <c r="E194" i="43"/>
  <c r="F194" i="43" s="1"/>
  <c r="BI271" i="2"/>
  <c r="BL25" i="2"/>
  <c r="BO209" i="2"/>
  <c r="BJ232" i="2"/>
  <c r="BI18" i="2"/>
  <c r="BJ18" i="2" s="1"/>
  <c r="G18" i="43"/>
  <c r="G31" i="43" s="1"/>
  <c r="H31" i="43" s="1"/>
  <c r="BL158" i="2"/>
  <c r="AL263" i="43"/>
  <c r="BM308" i="2"/>
  <c r="BN307" i="2"/>
  <c r="G199" i="43"/>
  <c r="H199" i="43" s="1"/>
  <c r="BO303" i="2"/>
  <c r="F220" i="43"/>
  <c r="BP12" i="2"/>
  <c r="G159" i="43"/>
  <c r="BP278" i="2"/>
  <c r="G164" i="43"/>
  <c r="H164" i="43" s="1"/>
  <c r="BO316" i="2"/>
  <c r="BP302" i="2"/>
  <c r="AK25" i="43"/>
  <c r="BO123" i="2"/>
  <c r="E232" i="43"/>
  <c r="AN263" i="43"/>
  <c r="AH96" i="43"/>
  <c r="AL25" i="43"/>
  <c r="AI18" i="43"/>
  <c r="AJ18" i="43" s="1"/>
  <c r="BP307" i="2"/>
  <c r="BL12" i="2"/>
  <c r="BM278" i="2"/>
  <c r="AH12" i="43"/>
  <c r="G256" i="43"/>
  <c r="F51" i="43"/>
  <c r="BJ17" i="2"/>
  <c r="BP123" i="2"/>
  <c r="BJ12" i="2"/>
  <c r="BM245" i="2"/>
  <c r="BL17" i="2"/>
  <c r="E64" i="43"/>
  <c r="BM12" i="2"/>
  <c r="BP196" i="2"/>
  <c r="BK204" i="2"/>
  <c r="BK208" i="2" s="1"/>
  <c r="BL208" i="2" s="1"/>
  <c r="BP17" i="2"/>
  <c r="BN17" i="2"/>
  <c r="AI256" i="43"/>
  <c r="BL136" i="2"/>
  <c r="AN298" i="43"/>
  <c r="AJ12" i="43"/>
  <c r="BI240" i="2"/>
  <c r="BJ240" i="2" s="1"/>
  <c r="BM232" i="2"/>
  <c r="BJ245" i="2"/>
  <c r="E59" i="43"/>
  <c r="E63" i="43" s="1"/>
  <c r="F63" i="43" s="1"/>
  <c r="G291" i="43"/>
  <c r="H291" i="43" s="1"/>
  <c r="AK220" i="43"/>
  <c r="BO136" i="2"/>
  <c r="G130" i="43"/>
  <c r="H130" i="43" s="1"/>
  <c r="BL123" i="2"/>
  <c r="BL232" i="2"/>
  <c r="E291" i="43"/>
  <c r="F291" i="43" s="1"/>
  <c r="AM25" i="43"/>
  <c r="H51" i="43"/>
  <c r="BK96" i="2"/>
  <c r="BP96" i="2" s="1"/>
  <c r="BO88" i="2"/>
  <c r="E256" i="43"/>
  <c r="F256" i="43" s="1"/>
  <c r="AL298" i="43"/>
  <c r="AJ17" i="43"/>
  <c r="AI291" i="43"/>
  <c r="G59" i="43"/>
  <c r="G63" i="43" s="1"/>
  <c r="H63" i="43" s="1"/>
  <c r="BP88" i="2"/>
  <c r="E91" i="43"/>
  <c r="F91" i="43" s="1"/>
  <c r="AH194" i="43"/>
  <c r="BO302" i="2"/>
  <c r="AN25" i="43"/>
  <c r="BN265" i="2"/>
  <c r="BM265" i="2"/>
  <c r="BI209" i="2"/>
  <c r="BN196" i="2"/>
  <c r="BJ196" i="2"/>
  <c r="BM196" i="2"/>
  <c r="BI204" i="2"/>
  <c r="BK271" i="2"/>
  <c r="BP158" i="2"/>
  <c r="BO166" i="2"/>
  <c r="G91" i="43"/>
  <c r="H91" i="43" s="1"/>
  <c r="BO232" i="2"/>
  <c r="E18" i="43"/>
  <c r="E31" i="43" s="1"/>
  <c r="F31" i="43" s="1"/>
  <c r="BL166" i="2"/>
  <c r="BO158" i="2"/>
  <c r="BK18" i="2"/>
  <c r="BP18" i="2" s="1"/>
  <c r="BO265" i="2"/>
  <c r="BK245" i="2"/>
  <c r="BL245" i="2" s="1"/>
  <c r="BK240" i="2"/>
  <c r="H232" i="43"/>
  <c r="G236" i="43"/>
  <c r="CG34" i="2" l="1"/>
  <c r="BG327" i="2"/>
  <c r="BH327" i="2" s="1"/>
  <c r="BH325" i="2"/>
  <c r="BK284" i="2"/>
  <c r="BO284" i="2" s="1"/>
  <c r="BL271" i="2"/>
  <c r="BM271" i="2"/>
  <c r="BJ271" i="2"/>
  <c r="BX71" i="2"/>
  <c r="BY71" i="2" s="1"/>
  <c r="CA36" i="2"/>
  <c r="BV71" i="2"/>
  <c r="BW71" i="2" s="1"/>
  <c r="BY36" i="2"/>
  <c r="BW69" i="2"/>
  <c r="BV72" i="2"/>
  <c r="CB66" i="2"/>
  <c r="CC66" i="2" s="1"/>
  <c r="BY66" i="2"/>
  <c r="AG99" i="43"/>
  <c r="AH99" i="43" s="1"/>
  <c r="BT69" i="2"/>
  <c r="BU34" i="2"/>
  <c r="BH36" i="2"/>
  <c r="CB65" i="2"/>
  <c r="CC65" i="2" s="1"/>
  <c r="BU65" i="2"/>
  <c r="AM59" i="43"/>
  <c r="AJ59" i="43"/>
  <c r="AJ64" i="43"/>
  <c r="AL59" i="43"/>
  <c r="AH59" i="43"/>
  <c r="AH64" i="43"/>
  <c r="AJ91" i="43"/>
  <c r="AJ130" i="43"/>
  <c r="AJ125" i="43"/>
  <c r="AH125" i="43"/>
  <c r="AJ159" i="43"/>
  <c r="AH159" i="43"/>
  <c r="AJ194" i="43"/>
  <c r="E129" i="43"/>
  <c r="E133" i="43" s="1"/>
  <c r="F133" i="43" s="1"/>
  <c r="AH199" i="43"/>
  <c r="AJ232" i="43"/>
  <c r="AJ228" i="43"/>
  <c r="AL232" i="43"/>
  <c r="AH228" i="43"/>
  <c r="AL233" i="43"/>
  <c r="AH233" i="43"/>
  <c r="AJ256" i="43"/>
  <c r="AH256" i="43"/>
  <c r="AI304" i="43"/>
  <c r="AJ291" i="43"/>
  <c r="AH291" i="43"/>
  <c r="G129" i="43"/>
  <c r="H129" i="43" s="1"/>
  <c r="O21" i="43"/>
  <c r="O22" i="43"/>
  <c r="O23" i="43"/>
  <c r="C23" i="43"/>
  <c r="C22" i="43"/>
  <c r="C21" i="43"/>
  <c r="D44" i="43"/>
  <c r="AJ198" i="43"/>
  <c r="G163" i="43"/>
  <c r="H159" i="43"/>
  <c r="AJ95" i="43"/>
  <c r="D184" i="43"/>
  <c r="D183" i="43"/>
  <c r="D182" i="43"/>
  <c r="AE182" i="43" s="1"/>
  <c r="AF182" i="43" s="1"/>
  <c r="D179" i="43"/>
  <c r="AE179" i="43" s="1"/>
  <c r="AF179" i="43" s="1"/>
  <c r="G264" i="43"/>
  <c r="H256" i="43"/>
  <c r="E264" i="43"/>
  <c r="F264" i="43" s="1"/>
  <c r="L168" i="43"/>
  <c r="L134" i="43"/>
  <c r="L216" i="43"/>
  <c r="L148" i="43"/>
  <c r="L178" i="43"/>
  <c r="L154" i="43"/>
  <c r="L190" i="43"/>
  <c r="L115" i="43"/>
  <c r="L212" i="43"/>
  <c r="L217" i="43"/>
  <c r="L80" i="43"/>
  <c r="L121" i="43"/>
  <c r="L183" i="43"/>
  <c r="L182" i="43"/>
  <c r="L44" i="43"/>
  <c r="L114" i="43"/>
  <c r="L144" i="43"/>
  <c r="L43" i="43"/>
  <c r="L68" i="43"/>
  <c r="L54" i="43"/>
  <c r="L184" i="43"/>
  <c r="L76" i="43"/>
  <c r="L79" i="43"/>
  <c r="L203" i="43"/>
  <c r="L100" i="43"/>
  <c r="L81" i="43"/>
  <c r="L155" i="43"/>
  <c r="L147" i="43"/>
  <c r="L55" i="43"/>
  <c r="L75" i="43"/>
  <c r="L223" i="43"/>
  <c r="L110" i="43"/>
  <c r="L189" i="43"/>
  <c r="L62" i="43"/>
  <c r="L87" i="43"/>
  <c r="L48" i="43"/>
  <c r="L149" i="43"/>
  <c r="L224" i="43"/>
  <c r="L237" i="43"/>
  <c r="L113" i="43"/>
  <c r="L47" i="43"/>
  <c r="L49" i="43"/>
  <c r="L120" i="43"/>
  <c r="L86" i="43"/>
  <c r="L179" i="43"/>
  <c r="L109" i="43"/>
  <c r="L218" i="43"/>
  <c r="L143" i="43"/>
  <c r="J134" i="43"/>
  <c r="J216" i="43"/>
  <c r="J148" i="43"/>
  <c r="J178" i="43"/>
  <c r="J154" i="43"/>
  <c r="J115" i="43"/>
  <c r="J212" i="43"/>
  <c r="J217" i="43"/>
  <c r="J80" i="43"/>
  <c r="J121" i="43"/>
  <c r="J183" i="43"/>
  <c r="J182" i="43"/>
  <c r="J44" i="43"/>
  <c r="J114" i="43"/>
  <c r="J144" i="43"/>
  <c r="J43" i="43"/>
  <c r="J68" i="43"/>
  <c r="J54" i="43"/>
  <c r="J184" i="43"/>
  <c r="J76" i="43"/>
  <c r="J79" i="43"/>
  <c r="J100" i="43"/>
  <c r="J147" i="43"/>
  <c r="J55" i="43"/>
  <c r="J75" i="43"/>
  <c r="J110" i="43"/>
  <c r="J189" i="43"/>
  <c r="J87" i="43"/>
  <c r="J48" i="43"/>
  <c r="J149" i="43"/>
  <c r="J224" i="43"/>
  <c r="J237" i="43"/>
  <c r="J113" i="43"/>
  <c r="J47" i="43"/>
  <c r="J49" i="43"/>
  <c r="J120" i="43"/>
  <c r="J86" i="43"/>
  <c r="J179" i="43"/>
  <c r="J109" i="43"/>
  <c r="J218" i="43"/>
  <c r="J143" i="43"/>
  <c r="AG168" i="43"/>
  <c r="AH168" i="43" s="1"/>
  <c r="U35" i="43"/>
  <c r="I168" i="43"/>
  <c r="C170" i="43"/>
  <c r="K168" i="43"/>
  <c r="K213" i="43"/>
  <c r="I213" i="43"/>
  <c r="Y11" i="43"/>
  <c r="U44" i="43" s="1"/>
  <c r="V44" i="43" s="1"/>
  <c r="C90" i="43"/>
  <c r="D90" i="43" s="1"/>
  <c r="AG134" i="43"/>
  <c r="AH134" i="43" s="1"/>
  <c r="S35" i="43"/>
  <c r="K134" i="43"/>
  <c r="I134" i="43"/>
  <c r="C270" i="43"/>
  <c r="D270" i="43" s="1"/>
  <c r="Q32" i="43"/>
  <c r="K97" i="43"/>
  <c r="I97" i="43"/>
  <c r="U32" i="43"/>
  <c r="C305" i="43"/>
  <c r="D305" i="43" s="1"/>
  <c r="K165" i="43"/>
  <c r="I165" i="43"/>
  <c r="K216" i="43"/>
  <c r="Y14" i="43"/>
  <c r="U47" i="43" s="1"/>
  <c r="I216" i="43"/>
  <c r="C219" i="43"/>
  <c r="D219" i="43" s="1"/>
  <c r="U15" i="43"/>
  <c r="K148" i="43"/>
  <c r="C288" i="43"/>
  <c r="I148" i="43"/>
  <c r="D203" i="43"/>
  <c r="I178" i="43"/>
  <c r="D201" i="43"/>
  <c r="D197" i="43"/>
  <c r="D200" i="43"/>
  <c r="D190" i="43"/>
  <c r="D191" i="43"/>
  <c r="C180" i="43"/>
  <c r="D178" i="43"/>
  <c r="W10" i="43"/>
  <c r="K178" i="43"/>
  <c r="D189" i="43"/>
  <c r="D196" i="43"/>
  <c r="U21" i="43"/>
  <c r="C294" i="43"/>
  <c r="I154" i="43"/>
  <c r="K154" i="43"/>
  <c r="W22" i="43"/>
  <c r="I190" i="43"/>
  <c r="K190" i="43"/>
  <c r="K115" i="43"/>
  <c r="S16" i="43"/>
  <c r="I115" i="43"/>
  <c r="Y33" i="43"/>
  <c r="U66" i="43" s="1"/>
  <c r="V66" i="43" s="1"/>
  <c r="I235" i="43"/>
  <c r="K235" i="43"/>
  <c r="K196" i="43"/>
  <c r="W28" i="43"/>
  <c r="I196" i="43"/>
  <c r="C158" i="43"/>
  <c r="D158" i="43" s="1"/>
  <c r="D230" i="43"/>
  <c r="D212" i="43"/>
  <c r="D217" i="43"/>
  <c r="C214" i="43"/>
  <c r="D225" i="43"/>
  <c r="D237" i="43"/>
  <c r="D224" i="43"/>
  <c r="D213" i="43"/>
  <c r="D216" i="43"/>
  <c r="D234" i="43"/>
  <c r="D223" i="43"/>
  <c r="D235" i="43"/>
  <c r="D218" i="43"/>
  <c r="Y10" i="43"/>
  <c r="I212" i="43"/>
  <c r="D231" i="43"/>
  <c r="K212" i="43"/>
  <c r="Y15" i="43"/>
  <c r="U48" i="43" s="1"/>
  <c r="I217" i="43"/>
  <c r="K217" i="43"/>
  <c r="C253" i="43"/>
  <c r="Q15" i="43"/>
  <c r="I80" i="43"/>
  <c r="K80" i="43"/>
  <c r="S22" i="43"/>
  <c r="I121" i="43"/>
  <c r="K121" i="43"/>
  <c r="I128" i="43"/>
  <c r="K128" i="43"/>
  <c r="S29" i="43"/>
  <c r="C28" i="43"/>
  <c r="O28" i="43"/>
  <c r="K61" i="43"/>
  <c r="I61" i="43"/>
  <c r="K183" i="43"/>
  <c r="W15" i="43"/>
  <c r="I183" i="43"/>
  <c r="C267" i="43"/>
  <c r="Q29" i="43"/>
  <c r="K94" i="43"/>
  <c r="I94" i="43"/>
  <c r="I182" i="43"/>
  <c r="W14" i="43"/>
  <c r="K182" i="43"/>
  <c r="C185" i="43"/>
  <c r="L185" i="43" s="1"/>
  <c r="I44" i="43"/>
  <c r="C11" i="43"/>
  <c r="O11" i="43"/>
  <c r="K44" i="43"/>
  <c r="I231" i="43"/>
  <c r="Y29" i="43"/>
  <c r="U62" i="43" s="1"/>
  <c r="V62" i="43" s="1"/>
  <c r="K231" i="43"/>
  <c r="I114" i="43"/>
  <c r="K114" i="43"/>
  <c r="S15" i="43"/>
  <c r="K127" i="43"/>
  <c r="I127" i="43"/>
  <c r="S28" i="43"/>
  <c r="K144" i="43"/>
  <c r="C284" i="43"/>
  <c r="U11" i="43"/>
  <c r="I144" i="43"/>
  <c r="D68" i="43"/>
  <c r="D49" i="43"/>
  <c r="I43" i="43"/>
  <c r="D48" i="43"/>
  <c r="D47" i="43"/>
  <c r="D65" i="43"/>
  <c r="D62" i="43"/>
  <c r="D54" i="43"/>
  <c r="D66" i="43"/>
  <c r="O10" i="43"/>
  <c r="C10" i="43"/>
  <c r="D61" i="43"/>
  <c r="D55" i="43"/>
  <c r="D43" i="43"/>
  <c r="K43" i="43"/>
  <c r="C45" i="43"/>
  <c r="D45" i="43" s="1"/>
  <c r="D56" i="43"/>
  <c r="I68" i="43"/>
  <c r="AH68" i="43"/>
  <c r="C35" i="43"/>
  <c r="K68" i="43"/>
  <c r="O35" i="43"/>
  <c r="K56" i="43"/>
  <c r="I56" i="43"/>
  <c r="K54" i="43"/>
  <c r="I54" i="43"/>
  <c r="I184" i="43"/>
  <c r="K184" i="43"/>
  <c r="W16" i="43"/>
  <c r="K76" i="43"/>
  <c r="Q11" i="43"/>
  <c r="C249" i="43"/>
  <c r="I76" i="43"/>
  <c r="Y28" i="43"/>
  <c r="U61" i="43" s="1"/>
  <c r="V61" i="43" s="1"/>
  <c r="I230" i="43"/>
  <c r="K230" i="43"/>
  <c r="I79" i="43"/>
  <c r="K79" i="43"/>
  <c r="C252" i="43"/>
  <c r="Q14" i="43"/>
  <c r="C82" i="43"/>
  <c r="AG203" i="43"/>
  <c r="AH203" i="43" s="1"/>
  <c r="W35" i="43"/>
  <c r="W37" i="43" s="1"/>
  <c r="C205" i="43"/>
  <c r="K203" i="43"/>
  <c r="I203" i="43"/>
  <c r="C33" i="43"/>
  <c r="K66" i="43"/>
  <c r="I66" i="43"/>
  <c r="O33" i="43"/>
  <c r="C273" i="43"/>
  <c r="L273" i="43" s="1"/>
  <c r="Q35" i="43"/>
  <c r="AG100" i="43"/>
  <c r="AH100" i="43" s="1"/>
  <c r="I100" i="43"/>
  <c r="K100" i="43"/>
  <c r="S33" i="43"/>
  <c r="K132" i="43"/>
  <c r="I132" i="43"/>
  <c r="W32" i="43"/>
  <c r="K200" i="43"/>
  <c r="I200" i="43"/>
  <c r="I81" i="43"/>
  <c r="C254" i="43"/>
  <c r="Q16" i="43"/>
  <c r="K81" i="43"/>
  <c r="C124" i="43"/>
  <c r="I161" i="43"/>
  <c r="U28" i="43"/>
  <c r="K161" i="43"/>
  <c r="C301" i="43"/>
  <c r="U22" i="43"/>
  <c r="I155" i="43"/>
  <c r="C295" i="43"/>
  <c r="L295" i="43" s="1"/>
  <c r="K155" i="43"/>
  <c r="W23" i="43"/>
  <c r="K191" i="43"/>
  <c r="I191" i="43"/>
  <c r="C150" i="43"/>
  <c r="D150" i="43" s="1"/>
  <c r="C287" i="43"/>
  <c r="K147" i="43"/>
  <c r="I147" i="43"/>
  <c r="U14" i="43"/>
  <c r="K55" i="43"/>
  <c r="I55" i="43"/>
  <c r="C227" i="43"/>
  <c r="L227" i="43" s="1"/>
  <c r="Y32" i="43"/>
  <c r="U65" i="43" s="1"/>
  <c r="V65" i="43" s="1"/>
  <c r="K234" i="43"/>
  <c r="I234" i="43"/>
  <c r="C302" i="43"/>
  <c r="U29" i="43"/>
  <c r="I162" i="43"/>
  <c r="K162" i="43"/>
  <c r="O32" i="43"/>
  <c r="C32" i="43"/>
  <c r="I65" i="43"/>
  <c r="K65" i="43"/>
  <c r="D80" i="43"/>
  <c r="I75" i="43"/>
  <c r="D86" i="43"/>
  <c r="D100" i="43"/>
  <c r="D81" i="43"/>
  <c r="C248" i="43"/>
  <c r="D88" i="43"/>
  <c r="D76" i="43"/>
  <c r="Q10" i="43"/>
  <c r="C77" i="43"/>
  <c r="D94" i="43"/>
  <c r="D98" i="43"/>
  <c r="D79" i="43"/>
  <c r="D93" i="43"/>
  <c r="K75" i="43"/>
  <c r="D87" i="43"/>
  <c r="D75" i="43"/>
  <c r="D97" i="43"/>
  <c r="C58" i="43"/>
  <c r="L58" i="43" s="1"/>
  <c r="I93" i="43"/>
  <c r="Q28" i="43"/>
  <c r="C266" i="43"/>
  <c r="K93" i="43"/>
  <c r="Y21" i="43"/>
  <c r="U54" i="43" s="1"/>
  <c r="K223" i="43"/>
  <c r="I223" i="43"/>
  <c r="U23" i="43"/>
  <c r="I156" i="43"/>
  <c r="C296" i="43"/>
  <c r="K156" i="43"/>
  <c r="K110" i="43"/>
  <c r="I110" i="43"/>
  <c r="S11" i="43"/>
  <c r="S32" i="43"/>
  <c r="I131" i="43"/>
  <c r="K131" i="43"/>
  <c r="W21" i="43"/>
  <c r="K189" i="43"/>
  <c r="I189" i="43"/>
  <c r="Y23" i="43"/>
  <c r="U56" i="43" s="1"/>
  <c r="V56" i="43" s="1"/>
  <c r="K225" i="43"/>
  <c r="I225" i="43"/>
  <c r="O29" i="43"/>
  <c r="K62" i="43"/>
  <c r="C29" i="43"/>
  <c r="L29" i="43" s="1"/>
  <c r="I62" i="43"/>
  <c r="Q22" i="43"/>
  <c r="I87" i="43"/>
  <c r="C260" i="43"/>
  <c r="K87" i="43"/>
  <c r="C15" i="43"/>
  <c r="I48" i="43"/>
  <c r="O15" i="43"/>
  <c r="K48" i="43"/>
  <c r="U16" i="43"/>
  <c r="I149" i="43"/>
  <c r="K149" i="43"/>
  <c r="C289" i="43"/>
  <c r="Y22" i="43"/>
  <c r="U55" i="43" s="1"/>
  <c r="I224" i="43"/>
  <c r="K224" i="43"/>
  <c r="K197" i="43"/>
  <c r="W29" i="43"/>
  <c r="I197" i="43"/>
  <c r="AG237" i="43"/>
  <c r="AH237" i="43" s="1"/>
  <c r="K237" i="43"/>
  <c r="I237" i="43"/>
  <c r="I113" i="43"/>
  <c r="C116" i="43"/>
  <c r="S14" i="43"/>
  <c r="K113" i="43"/>
  <c r="C271" i="43"/>
  <c r="D271" i="43" s="1"/>
  <c r="Q33" i="43"/>
  <c r="K98" i="43"/>
  <c r="I98" i="43"/>
  <c r="K47" i="43"/>
  <c r="O14" i="43"/>
  <c r="C50" i="43"/>
  <c r="L50" i="43" s="1"/>
  <c r="C14" i="43"/>
  <c r="I47" i="43"/>
  <c r="O16" i="43"/>
  <c r="I49" i="43"/>
  <c r="K49" i="43"/>
  <c r="C16" i="43"/>
  <c r="C306" i="43"/>
  <c r="D306" i="43" s="1"/>
  <c r="U33" i="43"/>
  <c r="K166" i="43"/>
  <c r="I166" i="43"/>
  <c r="S21" i="43"/>
  <c r="I120" i="43"/>
  <c r="K120" i="43"/>
  <c r="C193" i="43"/>
  <c r="L193" i="43" s="1"/>
  <c r="Q21" i="43"/>
  <c r="K86" i="43"/>
  <c r="C259" i="43"/>
  <c r="I86" i="43"/>
  <c r="S23" i="43"/>
  <c r="I122" i="43"/>
  <c r="K122" i="43"/>
  <c r="W11" i="43"/>
  <c r="I179" i="43"/>
  <c r="K179" i="43"/>
  <c r="D110" i="43"/>
  <c r="AE110" i="43" s="1"/>
  <c r="AF110" i="43" s="1"/>
  <c r="D127" i="43"/>
  <c r="K109" i="43"/>
  <c r="D134" i="43"/>
  <c r="D109" i="43"/>
  <c r="D122" i="43"/>
  <c r="D120" i="43"/>
  <c r="C111" i="43"/>
  <c r="D114" i="43"/>
  <c r="S10" i="43"/>
  <c r="I109" i="43"/>
  <c r="D128" i="43"/>
  <c r="D115" i="43"/>
  <c r="D132" i="43"/>
  <c r="D113" i="43"/>
  <c r="AE113" i="43" s="1"/>
  <c r="AF113" i="43" s="1"/>
  <c r="D131" i="43"/>
  <c r="D121" i="43"/>
  <c r="Y16" i="43"/>
  <c r="U49" i="43" s="1"/>
  <c r="K218" i="43"/>
  <c r="I218" i="43"/>
  <c r="Q23" i="43"/>
  <c r="C261" i="43"/>
  <c r="K88" i="43"/>
  <c r="I88" i="43"/>
  <c r="D149" i="43"/>
  <c r="D148" i="43"/>
  <c r="I143" i="43"/>
  <c r="D165" i="43"/>
  <c r="D166" i="43"/>
  <c r="K143" i="43"/>
  <c r="D155" i="43"/>
  <c r="D162" i="43"/>
  <c r="D168" i="43"/>
  <c r="D144" i="43"/>
  <c r="AE144" i="43" s="1"/>
  <c r="AF144" i="43" s="1"/>
  <c r="D143" i="43"/>
  <c r="D154" i="43"/>
  <c r="D161" i="43"/>
  <c r="D156" i="43"/>
  <c r="D147" i="43"/>
  <c r="AE147" i="43" s="1"/>
  <c r="AF147" i="43" s="1"/>
  <c r="C283" i="43"/>
  <c r="U10" i="43"/>
  <c r="C145" i="43"/>
  <c r="W33" i="43"/>
  <c r="I201" i="43"/>
  <c r="K201" i="43"/>
  <c r="AN233" i="43"/>
  <c r="AM233" i="43"/>
  <c r="AN228" i="43"/>
  <c r="BJ136" i="2"/>
  <c r="BO101" i="2"/>
  <c r="BN136" i="2"/>
  <c r="AK59" i="43"/>
  <c r="AM228" i="43"/>
  <c r="BM141" i="2"/>
  <c r="BJ141" i="2"/>
  <c r="BJ96" i="2"/>
  <c r="AG299" i="43"/>
  <c r="AG304" i="43"/>
  <c r="AH129" i="43"/>
  <c r="AG264" i="43"/>
  <c r="E236" i="43"/>
  <c r="BO170" i="2"/>
  <c r="BP170" i="2"/>
  <c r="BL170" i="2"/>
  <c r="AH18" i="43"/>
  <c r="E198" i="43"/>
  <c r="BJ166" i="2"/>
  <c r="G269" i="43"/>
  <c r="H269" i="43" s="1"/>
  <c r="AG26" i="43"/>
  <c r="BN271" i="2"/>
  <c r="AG31" i="43"/>
  <c r="AH31" i="43" s="1"/>
  <c r="G198" i="43"/>
  <c r="BO308" i="2"/>
  <c r="BL101" i="2"/>
  <c r="AL228" i="43"/>
  <c r="AG269" i="43"/>
  <c r="BL174" i="2"/>
  <c r="BL176" i="2"/>
  <c r="AI26" i="43"/>
  <c r="BO174" i="2"/>
  <c r="BP176" i="2"/>
  <c r="BP174" i="2"/>
  <c r="E163" i="43"/>
  <c r="BN166" i="2"/>
  <c r="BI170" i="2"/>
  <c r="BI174" i="2" s="1"/>
  <c r="BK212" i="2"/>
  <c r="BO212" i="2" s="1"/>
  <c r="F18" i="43"/>
  <c r="BJ171" i="2"/>
  <c r="BN171" i="2"/>
  <c r="BM171" i="2"/>
  <c r="BK135" i="2"/>
  <c r="BL135" i="2" s="1"/>
  <c r="BI100" i="2"/>
  <c r="BI104" i="2" s="1"/>
  <c r="AI264" i="43"/>
  <c r="BO131" i="2"/>
  <c r="G26" i="43"/>
  <c r="G30" i="43" s="1"/>
  <c r="BN308" i="2"/>
  <c r="E67" i="43"/>
  <c r="F59" i="43"/>
  <c r="BJ101" i="2"/>
  <c r="H18" i="43"/>
  <c r="AI269" i="43"/>
  <c r="BL171" i="2"/>
  <c r="BN18" i="2"/>
  <c r="BM101" i="2"/>
  <c r="BM96" i="2"/>
  <c r="BI31" i="2"/>
  <c r="BJ31" i="2" s="1"/>
  <c r="BL131" i="2"/>
  <c r="BL96" i="2"/>
  <c r="BP204" i="2"/>
  <c r="BO208" i="2"/>
  <c r="BL204" i="2"/>
  <c r="BP208" i="2"/>
  <c r="G299" i="43"/>
  <c r="BI244" i="2"/>
  <c r="BM244" i="2" s="1"/>
  <c r="BN240" i="2"/>
  <c r="BM240" i="2"/>
  <c r="BO96" i="2"/>
  <c r="E299" i="43"/>
  <c r="F299" i="43" s="1"/>
  <c r="F64" i="43"/>
  <c r="E304" i="43"/>
  <c r="F304" i="43" s="1"/>
  <c r="E269" i="43"/>
  <c r="F269" i="43" s="1"/>
  <c r="AI299" i="43"/>
  <c r="BI279" i="2"/>
  <c r="BP171" i="2"/>
  <c r="BL18" i="2"/>
  <c r="BI26" i="2"/>
  <c r="BN26" i="2" s="1"/>
  <c r="BM18" i="2"/>
  <c r="E95" i="43"/>
  <c r="F95" i="43" s="1"/>
  <c r="BI284" i="2"/>
  <c r="AK228" i="43"/>
  <c r="BP308" i="2"/>
  <c r="F232" i="43"/>
  <c r="BO245" i="2"/>
  <c r="AI31" i="43"/>
  <c r="AJ31" i="43" s="1"/>
  <c r="BK31" i="2"/>
  <c r="BP31" i="2" s="1"/>
  <c r="AN59" i="43"/>
  <c r="BO309" i="2"/>
  <c r="BK26" i="2"/>
  <c r="BO26" i="2" s="1"/>
  <c r="G95" i="43"/>
  <c r="H95" i="43" s="1"/>
  <c r="BK279" i="2"/>
  <c r="BP271" i="2"/>
  <c r="BO271" i="2"/>
  <c r="BO18" i="2"/>
  <c r="E26" i="43"/>
  <c r="G304" i="43"/>
  <c r="H304" i="43" s="1"/>
  <c r="BO204" i="2"/>
  <c r="BK100" i="2"/>
  <c r="BK104" i="2" s="1"/>
  <c r="BK106" i="2" s="1"/>
  <c r="H59" i="43"/>
  <c r="G67" i="43"/>
  <c r="G69" i="43" s="1"/>
  <c r="H69" i="43" s="1"/>
  <c r="BM204" i="2"/>
  <c r="BJ204" i="2"/>
  <c r="BN204" i="2"/>
  <c r="BI208" i="2"/>
  <c r="BJ209" i="2"/>
  <c r="BM209" i="2"/>
  <c r="BN209" i="2"/>
  <c r="BO240" i="2"/>
  <c r="BK244" i="2"/>
  <c r="BP240" i="2"/>
  <c r="BL240" i="2"/>
  <c r="BP245" i="2"/>
  <c r="G239" i="43"/>
  <c r="G238" i="43"/>
  <c r="H236" i="43"/>
  <c r="AE76" i="43" l="1"/>
  <c r="AF76" i="43" s="1"/>
  <c r="BN174" i="2"/>
  <c r="BI324" i="2"/>
  <c r="BN324" i="2" s="1"/>
  <c r="BO279" i="2"/>
  <c r="BL279" i="2"/>
  <c r="BP284" i="2"/>
  <c r="BL284" i="2"/>
  <c r="BM279" i="2"/>
  <c r="BJ279" i="2"/>
  <c r="BN284" i="2"/>
  <c r="BJ284" i="2"/>
  <c r="AE79" i="43"/>
  <c r="AF79" i="43" s="1"/>
  <c r="AE185" i="43"/>
  <c r="AF185" i="43" s="1"/>
  <c r="AY14" i="43"/>
  <c r="AZ14" i="43" s="1"/>
  <c r="AM182" i="43"/>
  <c r="AN182" i="43"/>
  <c r="AL182" i="43"/>
  <c r="AK182" i="43"/>
  <c r="AY11" i="43"/>
  <c r="AZ11" i="43" s="1"/>
  <c r="AE180" i="43"/>
  <c r="AF180" i="43" s="1"/>
  <c r="AM179" i="43"/>
  <c r="AN179" i="43"/>
  <c r="AK179" i="43"/>
  <c r="AL179" i="43"/>
  <c r="AE287" i="43"/>
  <c r="AF287" i="43" s="1"/>
  <c r="AE150" i="43"/>
  <c r="AF150" i="43" s="1"/>
  <c r="AW14" i="43"/>
  <c r="AN147" i="43"/>
  <c r="AM147" i="43"/>
  <c r="AL147" i="43"/>
  <c r="AK147" i="43"/>
  <c r="AE284" i="43"/>
  <c r="AF284" i="43" s="1"/>
  <c r="AE145" i="43"/>
  <c r="AF145" i="43" s="1"/>
  <c r="AW11" i="43"/>
  <c r="AX11" i="43" s="1"/>
  <c r="AN144" i="43"/>
  <c r="AK144" i="43"/>
  <c r="AM144" i="43"/>
  <c r="AL144" i="43"/>
  <c r="AE116" i="43"/>
  <c r="AF116" i="43" s="1"/>
  <c r="AU14" i="43"/>
  <c r="AV14" i="43" s="1"/>
  <c r="AL113" i="43"/>
  <c r="AM113" i="43"/>
  <c r="AK113" i="43"/>
  <c r="AN113" i="43"/>
  <c r="AU11" i="43"/>
  <c r="AV11" i="43" s="1"/>
  <c r="AE111" i="43"/>
  <c r="AF111" i="43" s="1"/>
  <c r="AL110" i="43"/>
  <c r="AN110" i="43"/>
  <c r="AM110" i="43"/>
  <c r="AK110" i="43"/>
  <c r="AH95" i="43"/>
  <c r="AQ15" i="43"/>
  <c r="AE15" i="43"/>
  <c r="AF48" i="43"/>
  <c r="AN48" i="43"/>
  <c r="AL48" i="43"/>
  <c r="AM48" i="43"/>
  <c r="AK48" i="43"/>
  <c r="AF44" i="43"/>
  <c r="AQ11" i="43"/>
  <c r="AK44" i="43"/>
  <c r="AN44" i="43"/>
  <c r="AM44" i="43"/>
  <c r="AL44" i="43"/>
  <c r="BT71" i="2"/>
  <c r="BU36" i="2"/>
  <c r="BU69" i="2"/>
  <c r="CB69" i="2"/>
  <c r="BT72" i="2"/>
  <c r="F129" i="43"/>
  <c r="AN63" i="43"/>
  <c r="AJ63" i="43"/>
  <c r="AK63" i="43"/>
  <c r="AH63" i="43"/>
  <c r="AG236" i="43"/>
  <c r="AH236" i="43" s="1"/>
  <c r="AJ129" i="43"/>
  <c r="AJ163" i="43"/>
  <c r="AG167" i="43"/>
  <c r="AH167" i="43" s="1"/>
  <c r="AH163" i="43"/>
  <c r="AJ236" i="43"/>
  <c r="AN232" i="43"/>
  <c r="AH198" i="43"/>
  <c r="AM232" i="43"/>
  <c r="AK232" i="43"/>
  <c r="AH232" i="43"/>
  <c r="AJ269" i="43"/>
  <c r="AJ264" i="43"/>
  <c r="AH264" i="43"/>
  <c r="AH269" i="43"/>
  <c r="G133" i="43"/>
  <c r="H133" i="43" s="1"/>
  <c r="AI303" i="43"/>
  <c r="AI307" i="43" s="1"/>
  <c r="AJ299" i="43"/>
  <c r="AJ304" i="43"/>
  <c r="AH299" i="43"/>
  <c r="AH304" i="43"/>
  <c r="I23" i="43"/>
  <c r="K23" i="43"/>
  <c r="Z23" i="43"/>
  <c r="Z22" i="43"/>
  <c r="Z21" i="43"/>
  <c r="X23" i="43"/>
  <c r="X22" i="43"/>
  <c r="X21" i="43"/>
  <c r="V23" i="43"/>
  <c r="V22" i="43"/>
  <c r="V21" i="43"/>
  <c r="T23" i="43"/>
  <c r="T22" i="43"/>
  <c r="T21" i="43"/>
  <c r="R23" i="43"/>
  <c r="R22" i="43"/>
  <c r="R21" i="43"/>
  <c r="P23" i="43"/>
  <c r="P22" i="43"/>
  <c r="P21" i="43"/>
  <c r="Q55" i="43"/>
  <c r="AG102" i="43"/>
  <c r="E135" i="43"/>
  <c r="F135" i="43" s="1"/>
  <c r="E136" i="43"/>
  <c r="AJ99" i="43"/>
  <c r="G167" i="43"/>
  <c r="H163" i="43"/>
  <c r="E167" i="43"/>
  <c r="F163" i="43"/>
  <c r="G202" i="43"/>
  <c r="G205" i="43" s="1"/>
  <c r="H198" i="43"/>
  <c r="E202" i="43"/>
  <c r="F198" i="43"/>
  <c r="G268" i="43"/>
  <c r="H264" i="43"/>
  <c r="G303" i="43"/>
  <c r="H299" i="43"/>
  <c r="E268" i="43"/>
  <c r="F268" i="43" s="1"/>
  <c r="Q66" i="43"/>
  <c r="R66" i="43" s="1"/>
  <c r="BN320" i="2"/>
  <c r="S49" i="43"/>
  <c r="S47" i="43"/>
  <c r="AG101" i="43"/>
  <c r="S61" i="43"/>
  <c r="T61" i="43" s="1"/>
  <c r="J283" i="43"/>
  <c r="L283" i="43"/>
  <c r="J16" i="43"/>
  <c r="L16" i="43"/>
  <c r="J14" i="43"/>
  <c r="L14" i="43"/>
  <c r="J15" i="43"/>
  <c r="L15" i="43"/>
  <c r="J287" i="43"/>
  <c r="L287" i="43"/>
  <c r="J249" i="43"/>
  <c r="L249" i="43"/>
  <c r="J22" i="43"/>
  <c r="L22" i="43"/>
  <c r="J10" i="43"/>
  <c r="L10" i="43"/>
  <c r="J11" i="43"/>
  <c r="L11" i="43"/>
  <c r="J214" i="43"/>
  <c r="L214" i="43"/>
  <c r="J158" i="43"/>
  <c r="L158" i="43"/>
  <c r="J288" i="43"/>
  <c r="L288" i="43"/>
  <c r="J289" i="43"/>
  <c r="L289" i="43"/>
  <c r="J77" i="43"/>
  <c r="L77" i="43"/>
  <c r="J150" i="43"/>
  <c r="L150" i="43"/>
  <c r="J254" i="43"/>
  <c r="L254" i="43"/>
  <c r="J252" i="43"/>
  <c r="L252" i="43"/>
  <c r="J35" i="43"/>
  <c r="L35" i="43"/>
  <c r="J90" i="43"/>
  <c r="L90" i="43"/>
  <c r="J145" i="43"/>
  <c r="L145" i="43"/>
  <c r="J111" i="43"/>
  <c r="L111" i="43"/>
  <c r="J116" i="43"/>
  <c r="L116" i="43"/>
  <c r="J260" i="43"/>
  <c r="L260" i="43"/>
  <c r="J248" i="43"/>
  <c r="L248" i="43"/>
  <c r="J124" i="43"/>
  <c r="L124" i="43"/>
  <c r="J45" i="43"/>
  <c r="L45" i="43"/>
  <c r="J253" i="43"/>
  <c r="L253" i="43"/>
  <c r="J294" i="43"/>
  <c r="L294" i="43"/>
  <c r="J180" i="43"/>
  <c r="L180" i="43"/>
  <c r="J259" i="43"/>
  <c r="L259" i="43"/>
  <c r="J21" i="43"/>
  <c r="L21" i="43"/>
  <c r="J82" i="43"/>
  <c r="L82" i="43"/>
  <c r="J284" i="43"/>
  <c r="L284" i="43"/>
  <c r="J219" i="43"/>
  <c r="L219" i="43"/>
  <c r="D50" i="43"/>
  <c r="J50" i="43"/>
  <c r="D273" i="43"/>
  <c r="J273" i="43"/>
  <c r="D185" i="43"/>
  <c r="J185" i="43"/>
  <c r="D193" i="43"/>
  <c r="J193" i="43"/>
  <c r="D58" i="43"/>
  <c r="J58" i="43"/>
  <c r="D227" i="43"/>
  <c r="J227" i="43"/>
  <c r="Q54" i="43"/>
  <c r="S56" i="43"/>
  <c r="T56" i="43" s="1"/>
  <c r="Q56" i="43"/>
  <c r="Q44" i="43"/>
  <c r="Q48" i="43"/>
  <c r="S54" i="43"/>
  <c r="S44" i="43"/>
  <c r="T35" i="43"/>
  <c r="T10" i="43"/>
  <c r="T14" i="43"/>
  <c r="T16" i="43"/>
  <c r="T32" i="43"/>
  <c r="T11" i="43"/>
  <c r="T15" i="43"/>
  <c r="T29" i="43"/>
  <c r="T33" i="43"/>
  <c r="K16" i="43"/>
  <c r="I16" i="43"/>
  <c r="D77" i="43"/>
  <c r="I77" i="43"/>
  <c r="C83" i="43"/>
  <c r="L83" i="43" s="1"/>
  <c r="Q12" i="43"/>
  <c r="K77" i="43"/>
  <c r="I32" i="43"/>
  <c r="K32" i="43"/>
  <c r="S62" i="43"/>
  <c r="T62" i="43" s="1"/>
  <c r="K273" i="43"/>
  <c r="I273" i="43"/>
  <c r="AA21" i="43"/>
  <c r="O54" i="43"/>
  <c r="I267" i="43"/>
  <c r="K267" i="43"/>
  <c r="U43" i="43"/>
  <c r="V47" i="43" s="1"/>
  <c r="Z29" i="43"/>
  <c r="Z32" i="43"/>
  <c r="Z28" i="43"/>
  <c r="Z15" i="43"/>
  <c r="Z33" i="43"/>
  <c r="Z10" i="43"/>
  <c r="Z11" i="43"/>
  <c r="Z14" i="43"/>
  <c r="Z16" i="43"/>
  <c r="Z35" i="43"/>
  <c r="D145" i="43"/>
  <c r="I145" i="43"/>
  <c r="C151" i="43"/>
  <c r="U12" i="43"/>
  <c r="K145" i="43"/>
  <c r="AA32" i="43"/>
  <c r="O65" i="43"/>
  <c r="P65" i="43" s="1"/>
  <c r="I295" i="43"/>
  <c r="K295" i="43"/>
  <c r="AG35" i="43"/>
  <c r="AH35" i="43" s="1"/>
  <c r="O12" i="43"/>
  <c r="P12" i="43" s="1"/>
  <c r="I45" i="43"/>
  <c r="K45" i="43"/>
  <c r="C51" i="43"/>
  <c r="L51" i="43" s="1"/>
  <c r="I185" i="43"/>
  <c r="W17" i="43"/>
  <c r="X17" i="43" s="1"/>
  <c r="K185" i="43"/>
  <c r="U25" i="43"/>
  <c r="K158" i="43"/>
  <c r="I158" i="43"/>
  <c r="K288" i="43"/>
  <c r="I288" i="43"/>
  <c r="C263" i="43"/>
  <c r="S66" i="43"/>
  <c r="T66" i="43" s="1"/>
  <c r="C17" i="43"/>
  <c r="D17" i="43" s="1"/>
  <c r="I14" i="43"/>
  <c r="K14" i="43"/>
  <c r="I15" i="43"/>
  <c r="K15" i="43"/>
  <c r="O62" i="43"/>
  <c r="AA29" i="43"/>
  <c r="O25" i="43"/>
  <c r="P25" i="43" s="1"/>
  <c r="I58" i="43"/>
  <c r="K58" i="43"/>
  <c r="U17" i="43"/>
  <c r="K150" i="43"/>
  <c r="I150" i="43"/>
  <c r="K254" i="43"/>
  <c r="I254" i="43"/>
  <c r="K33" i="43"/>
  <c r="I33" i="43"/>
  <c r="I252" i="43"/>
  <c r="C255" i="43"/>
  <c r="K252" i="43"/>
  <c r="K35" i="43"/>
  <c r="I35" i="43"/>
  <c r="P29" i="43"/>
  <c r="P10" i="43"/>
  <c r="P15" i="43"/>
  <c r="P32" i="43"/>
  <c r="P35" i="43"/>
  <c r="P14" i="43"/>
  <c r="P33" i="43"/>
  <c r="P16" i="43"/>
  <c r="AA10" i="43"/>
  <c r="P28" i="43"/>
  <c r="P11" i="43"/>
  <c r="O43" i="43"/>
  <c r="T28" i="43"/>
  <c r="C298" i="43"/>
  <c r="X10" i="43"/>
  <c r="X35" i="43"/>
  <c r="X29" i="43"/>
  <c r="X28" i="43"/>
  <c r="X16" i="43"/>
  <c r="X14" i="43"/>
  <c r="X11" i="43"/>
  <c r="X15" i="43"/>
  <c r="X33" i="43"/>
  <c r="X32" i="43"/>
  <c r="Y17" i="43"/>
  <c r="U50" i="43" s="1"/>
  <c r="K219" i="43"/>
  <c r="I219" i="43"/>
  <c r="O17" i="43"/>
  <c r="P17" i="43" s="1"/>
  <c r="K50" i="43"/>
  <c r="I50" i="43"/>
  <c r="I289" i="43"/>
  <c r="K289" i="43"/>
  <c r="K266" i="43"/>
  <c r="I266" i="43"/>
  <c r="D254" i="43"/>
  <c r="D266" i="43"/>
  <c r="D261" i="43"/>
  <c r="D259" i="43"/>
  <c r="D252" i="43"/>
  <c r="D267" i="43"/>
  <c r="D248" i="43"/>
  <c r="K248" i="43"/>
  <c r="D249" i="43"/>
  <c r="I248" i="43"/>
  <c r="D260" i="43"/>
  <c r="C250" i="43"/>
  <c r="D253" i="43"/>
  <c r="K302" i="43"/>
  <c r="I302" i="43"/>
  <c r="D124" i="43"/>
  <c r="I124" i="43"/>
  <c r="S25" i="43"/>
  <c r="T25" i="43" s="1"/>
  <c r="K124" i="43"/>
  <c r="O66" i="43"/>
  <c r="P66" i="43" s="1"/>
  <c r="AA33" i="43"/>
  <c r="AK203" i="43"/>
  <c r="AL203" i="43"/>
  <c r="AG205" i="43"/>
  <c r="I253" i="43"/>
  <c r="K253" i="43"/>
  <c r="D214" i="43"/>
  <c r="Y12" i="43"/>
  <c r="K214" i="43"/>
  <c r="C220" i="43"/>
  <c r="L220" i="43" s="1"/>
  <c r="I214" i="43"/>
  <c r="V35" i="43"/>
  <c r="V29" i="43"/>
  <c r="V11" i="43"/>
  <c r="V16" i="43"/>
  <c r="V28" i="43"/>
  <c r="V33" i="43"/>
  <c r="V14" i="43"/>
  <c r="V10" i="43"/>
  <c r="V32" i="43"/>
  <c r="V15" i="43"/>
  <c r="S43" i="43"/>
  <c r="D111" i="43"/>
  <c r="K111" i="43"/>
  <c r="I111" i="43"/>
  <c r="C117" i="43"/>
  <c r="L117" i="43" s="1"/>
  <c r="S12" i="43"/>
  <c r="T12" i="43" s="1"/>
  <c r="O47" i="43"/>
  <c r="AA14" i="43"/>
  <c r="D116" i="43"/>
  <c r="I116" i="43"/>
  <c r="K116" i="43"/>
  <c r="S17" i="43"/>
  <c r="T17" i="43" s="1"/>
  <c r="AL237" i="43"/>
  <c r="AK237" i="43"/>
  <c r="AA15" i="43"/>
  <c r="O48" i="43"/>
  <c r="K260" i="43"/>
  <c r="I260" i="43"/>
  <c r="K29" i="43"/>
  <c r="I29" i="43"/>
  <c r="K296" i="43"/>
  <c r="I296" i="43"/>
  <c r="Q61" i="43"/>
  <c r="R61" i="43" s="1"/>
  <c r="R10" i="43"/>
  <c r="R32" i="43"/>
  <c r="R14" i="43"/>
  <c r="R29" i="43"/>
  <c r="R35" i="43"/>
  <c r="R11" i="43"/>
  <c r="R33" i="43"/>
  <c r="Q43" i="43"/>
  <c r="R28" i="43"/>
  <c r="R15" i="43"/>
  <c r="R16" i="43"/>
  <c r="K21" i="43"/>
  <c r="C25" i="43"/>
  <c r="I21" i="43"/>
  <c r="AG273" i="43"/>
  <c r="AH273" i="43" s="1"/>
  <c r="AK100" i="43"/>
  <c r="AL100" i="43"/>
  <c r="D82" i="43"/>
  <c r="K82" i="43"/>
  <c r="Q17" i="43"/>
  <c r="I82" i="43"/>
  <c r="AA35" i="43"/>
  <c r="O68" i="43"/>
  <c r="K284" i="43"/>
  <c r="I284" i="43"/>
  <c r="O44" i="43"/>
  <c r="P44" i="43" s="1"/>
  <c r="AA11" i="43"/>
  <c r="O61" i="43"/>
  <c r="P61" i="43" s="1"/>
  <c r="AA28" i="43"/>
  <c r="K305" i="43"/>
  <c r="I305" i="43"/>
  <c r="Q65" i="43"/>
  <c r="R65" i="43" s="1"/>
  <c r="Q25" i="43"/>
  <c r="R25" i="43" s="1"/>
  <c r="I90" i="43"/>
  <c r="K90" i="43"/>
  <c r="S68" i="43"/>
  <c r="U37" i="43"/>
  <c r="AI30" i="43"/>
  <c r="D283" i="43"/>
  <c r="D287" i="43"/>
  <c r="I283" i="43"/>
  <c r="D294" i="43"/>
  <c r="D295" i="43"/>
  <c r="K283" i="43"/>
  <c r="D301" i="43"/>
  <c r="D284" i="43"/>
  <c r="D296" i="43"/>
  <c r="C285" i="43"/>
  <c r="D289" i="43"/>
  <c r="D302" i="43"/>
  <c r="D288" i="43"/>
  <c r="K261" i="43"/>
  <c r="I261" i="43"/>
  <c r="I259" i="43"/>
  <c r="K259" i="43"/>
  <c r="I193" i="43"/>
  <c r="K193" i="43"/>
  <c r="W25" i="43"/>
  <c r="X25" i="43" s="1"/>
  <c r="I306" i="43"/>
  <c r="K306" i="43"/>
  <c r="O49" i="43"/>
  <c r="AA16" i="43"/>
  <c r="K271" i="43"/>
  <c r="I271" i="43"/>
  <c r="Y25" i="43"/>
  <c r="U58" i="43" s="1"/>
  <c r="K227" i="43"/>
  <c r="I227" i="43"/>
  <c r="I287" i="43"/>
  <c r="K287" i="43"/>
  <c r="C290" i="43"/>
  <c r="S55" i="43"/>
  <c r="T55" i="43" s="1"/>
  <c r="I301" i="43"/>
  <c r="K301" i="43"/>
  <c r="Q49" i="43"/>
  <c r="Q68" i="43"/>
  <c r="Q47" i="43"/>
  <c r="I249" i="43"/>
  <c r="K249" i="43"/>
  <c r="K22" i="43"/>
  <c r="I22" i="43"/>
  <c r="D15" i="43"/>
  <c r="I10" i="43"/>
  <c r="D10" i="43"/>
  <c r="D35" i="43"/>
  <c r="D14" i="43"/>
  <c r="D16" i="43"/>
  <c r="D33" i="43"/>
  <c r="K10" i="43"/>
  <c r="D11" i="43"/>
  <c r="D29" i="43"/>
  <c r="D28" i="43"/>
  <c r="D21" i="43"/>
  <c r="C12" i="43"/>
  <c r="D32" i="43"/>
  <c r="D22" i="43"/>
  <c r="K11" i="43"/>
  <c r="I11" i="43"/>
  <c r="Q62" i="43"/>
  <c r="R62" i="43" s="1"/>
  <c r="K28" i="43"/>
  <c r="I28" i="43"/>
  <c r="K294" i="43"/>
  <c r="I294" i="43"/>
  <c r="D180" i="43"/>
  <c r="C186" i="43"/>
  <c r="L186" i="43" s="1"/>
  <c r="W12" i="43"/>
  <c r="X12" i="43" s="1"/>
  <c r="I180" i="43"/>
  <c r="K180" i="43"/>
  <c r="S48" i="43"/>
  <c r="S65" i="43"/>
  <c r="T65" i="43" s="1"/>
  <c r="I270" i="43"/>
  <c r="K270" i="43"/>
  <c r="AK134" i="43"/>
  <c r="AL134" i="43"/>
  <c r="AG170" i="43"/>
  <c r="AL168" i="43"/>
  <c r="AK168" i="43"/>
  <c r="AG30" i="43"/>
  <c r="AH30" i="43" s="1"/>
  <c r="BJ100" i="2"/>
  <c r="AL63" i="43"/>
  <c r="AH67" i="43"/>
  <c r="E70" i="43"/>
  <c r="F236" i="43"/>
  <c r="E239" i="43"/>
  <c r="BL31" i="2"/>
  <c r="BM26" i="2"/>
  <c r="AG133" i="43"/>
  <c r="AG268" i="43"/>
  <c r="AH268" i="43" s="1"/>
  <c r="AG303" i="43"/>
  <c r="E238" i="43"/>
  <c r="AH26" i="43"/>
  <c r="E69" i="43"/>
  <c r="BO104" i="2"/>
  <c r="BP212" i="2"/>
  <c r="AI268" i="43"/>
  <c r="BN244" i="2"/>
  <c r="AJ26" i="43"/>
  <c r="BM174" i="2"/>
  <c r="BK139" i="2"/>
  <c r="BN170" i="2"/>
  <c r="BJ174" i="2"/>
  <c r="BM170" i="2"/>
  <c r="BN317" i="2"/>
  <c r="BJ170" i="2"/>
  <c r="BI176" i="2"/>
  <c r="BJ176" i="2" s="1"/>
  <c r="BN100" i="2"/>
  <c r="BM284" i="2"/>
  <c r="BJ26" i="2"/>
  <c r="BM309" i="2"/>
  <c r="BO135" i="2"/>
  <c r="BO320" i="2"/>
  <c r="BM100" i="2"/>
  <c r="BI248" i="2"/>
  <c r="BI250" i="2" s="1"/>
  <c r="BJ250" i="2" s="1"/>
  <c r="BN309" i="2"/>
  <c r="BJ244" i="2"/>
  <c r="AG202" i="43"/>
  <c r="AH202" i="43" s="1"/>
  <c r="BI30" i="2"/>
  <c r="BN30" i="2" s="1"/>
  <c r="BP135" i="2"/>
  <c r="F67" i="43"/>
  <c r="BK214" i="2"/>
  <c r="BO214" i="2" s="1"/>
  <c r="BL212" i="2"/>
  <c r="BN31" i="2"/>
  <c r="BN279" i="2"/>
  <c r="F26" i="43"/>
  <c r="BM31" i="2"/>
  <c r="BP26" i="2"/>
  <c r="H26" i="43"/>
  <c r="BP309" i="2"/>
  <c r="BO31" i="2"/>
  <c r="BO317" i="2"/>
  <c r="AM63" i="43"/>
  <c r="BK283" i="2"/>
  <c r="E303" i="43"/>
  <c r="F303" i="43" s="1"/>
  <c r="BL26" i="2"/>
  <c r="BO100" i="2"/>
  <c r="BP279" i="2"/>
  <c r="E30" i="43"/>
  <c r="G99" i="43"/>
  <c r="H99" i="43" s="1"/>
  <c r="G70" i="43"/>
  <c r="BI283" i="2"/>
  <c r="E99" i="43"/>
  <c r="F99" i="43" s="1"/>
  <c r="H67" i="43"/>
  <c r="BP104" i="2"/>
  <c r="BP100" i="2"/>
  <c r="BL104" i="2"/>
  <c r="BK30" i="2"/>
  <c r="BK34" i="2" s="1"/>
  <c r="BL34" i="2" s="1"/>
  <c r="BL100" i="2"/>
  <c r="BN208" i="2"/>
  <c r="BI212" i="2"/>
  <c r="BM208" i="2"/>
  <c r="BJ208" i="2"/>
  <c r="BO244" i="2"/>
  <c r="BL244" i="2"/>
  <c r="BP244" i="2"/>
  <c r="BK248" i="2"/>
  <c r="H30" i="43"/>
  <c r="G34" i="43"/>
  <c r="BI107" i="2"/>
  <c r="BN104" i="2"/>
  <c r="BI106" i="2"/>
  <c r="BJ104" i="2"/>
  <c r="BM104" i="2"/>
  <c r="BP106" i="2"/>
  <c r="BL106" i="2"/>
  <c r="BO106" i="2"/>
  <c r="H238" i="43"/>
  <c r="AM76" i="43" l="1"/>
  <c r="AE11" i="43"/>
  <c r="AF11" i="43" s="1"/>
  <c r="AN76" i="43"/>
  <c r="AE249" i="43"/>
  <c r="AF249" i="43" s="1"/>
  <c r="AL76" i="43"/>
  <c r="AE77" i="43"/>
  <c r="AF77" i="43" s="1"/>
  <c r="AK76" i="43"/>
  <c r="AS11" i="43"/>
  <c r="AT11" i="43" s="1"/>
  <c r="R56" i="43"/>
  <c r="AK79" i="43"/>
  <c r="BI325" i="2"/>
  <c r="BN325" i="2" s="1"/>
  <c r="BJ324" i="2"/>
  <c r="BL139" i="2"/>
  <c r="BK324" i="2"/>
  <c r="BO283" i="2"/>
  <c r="BL283" i="2"/>
  <c r="BI287" i="2"/>
  <c r="BJ287" i="2" s="1"/>
  <c r="BJ283" i="2"/>
  <c r="AE14" i="43"/>
  <c r="AM14" i="43" s="1"/>
  <c r="AN79" i="43"/>
  <c r="AE252" i="43"/>
  <c r="AF252" i="43" s="1"/>
  <c r="AL79" i="43"/>
  <c r="AS14" i="43"/>
  <c r="AT14" i="43" s="1"/>
  <c r="AM79" i="43"/>
  <c r="AE82" i="43"/>
  <c r="AF82" i="43" s="1"/>
  <c r="AU47" i="43"/>
  <c r="AV47" i="43" s="1"/>
  <c r="AX14" i="43"/>
  <c r="AU44" i="43"/>
  <c r="AV44" i="43" s="1"/>
  <c r="AY17" i="43"/>
  <c r="AZ17" i="43" s="1"/>
  <c r="AN185" i="43"/>
  <c r="AL185" i="43"/>
  <c r="AK185" i="43"/>
  <c r="AM185" i="43"/>
  <c r="AY12" i="43"/>
  <c r="AZ12" i="43" s="1"/>
  <c r="AE186" i="43"/>
  <c r="AF186" i="43" s="1"/>
  <c r="AL180" i="43"/>
  <c r="AN180" i="43"/>
  <c r="AM180" i="43"/>
  <c r="AK180" i="43"/>
  <c r="AW17" i="43"/>
  <c r="AM150" i="43"/>
  <c r="AL150" i="43"/>
  <c r="AK150" i="43"/>
  <c r="AN150" i="43"/>
  <c r="AE290" i="43"/>
  <c r="AF290" i="43" s="1"/>
  <c r="AM287" i="43"/>
  <c r="AK287" i="43"/>
  <c r="AN287" i="43"/>
  <c r="AL287" i="43"/>
  <c r="AW12" i="43"/>
  <c r="AE151" i="43"/>
  <c r="AF151" i="43" s="1"/>
  <c r="AL145" i="43"/>
  <c r="AK145" i="43"/>
  <c r="AM145" i="43"/>
  <c r="AN145" i="43"/>
  <c r="AE285" i="43"/>
  <c r="AF285" i="43" s="1"/>
  <c r="AM284" i="43"/>
  <c r="AK284" i="43"/>
  <c r="AL284" i="43"/>
  <c r="AN284" i="43"/>
  <c r="AU17" i="43"/>
  <c r="AV17" i="43" s="1"/>
  <c r="AL116" i="43"/>
  <c r="AK116" i="43"/>
  <c r="AM116" i="43"/>
  <c r="AN116" i="43"/>
  <c r="AU12" i="43"/>
  <c r="AV12" i="43" s="1"/>
  <c r="AE117" i="43"/>
  <c r="AF117" i="43" s="1"/>
  <c r="AN111" i="43"/>
  <c r="AK111" i="43"/>
  <c r="AM111" i="43"/>
  <c r="AL111" i="43"/>
  <c r="AF15" i="43"/>
  <c r="AK15" i="43"/>
  <c r="AL15" i="43"/>
  <c r="AM15" i="43"/>
  <c r="AN15" i="43"/>
  <c r="AQ44" i="43"/>
  <c r="AR11" i="43"/>
  <c r="AQ48" i="43"/>
  <c r="AR15" i="43"/>
  <c r="BC15" i="43"/>
  <c r="BD15" i="43" s="1"/>
  <c r="AQ18" i="43"/>
  <c r="AF51" i="43"/>
  <c r="AN51" i="43"/>
  <c r="AL51" i="43"/>
  <c r="AK51" i="43"/>
  <c r="AM51" i="43"/>
  <c r="CB72" i="2"/>
  <c r="CC69" i="2"/>
  <c r="CB71" i="2"/>
  <c r="CC71" i="2" s="1"/>
  <c r="BU71" i="2"/>
  <c r="AK236" i="43"/>
  <c r="AG169" i="43"/>
  <c r="AM67" i="43"/>
  <c r="AJ67" i="43"/>
  <c r="AG238" i="43"/>
  <c r="AL238" i="43" s="1"/>
  <c r="AL236" i="43"/>
  <c r="AG239" i="43"/>
  <c r="AI238" i="43"/>
  <c r="AN238" i="43" s="1"/>
  <c r="AI239" i="43"/>
  <c r="AH101" i="43"/>
  <c r="AM236" i="43"/>
  <c r="AN236" i="43"/>
  <c r="AJ133" i="43"/>
  <c r="AH133" i="43"/>
  <c r="AJ167" i="43"/>
  <c r="G135" i="43"/>
  <c r="H135" i="43" s="1"/>
  <c r="G136" i="43"/>
  <c r="AI205" i="43"/>
  <c r="AJ202" i="43"/>
  <c r="AI272" i="43"/>
  <c r="AJ268" i="43"/>
  <c r="AJ307" i="43"/>
  <c r="AJ303" i="43"/>
  <c r="AH303" i="43"/>
  <c r="R68" i="43"/>
  <c r="V50" i="43"/>
  <c r="V58" i="43"/>
  <c r="V49" i="43"/>
  <c r="P49" i="43"/>
  <c r="P48" i="43"/>
  <c r="T44" i="43"/>
  <c r="T49" i="43"/>
  <c r="T48" i="43"/>
  <c r="P47" i="43"/>
  <c r="V48" i="43"/>
  <c r="V55" i="43"/>
  <c r="P68" i="43"/>
  <c r="V54" i="43"/>
  <c r="R49" i="43"/>
  <c r="T54" i="43"/>
  <c r="R47" i="43"/>
  <c r="S70" i="43"/>
  <c r="T68" i="43"/>
  <c r="T47" i="43"/>
  <c r="R44" i="43"/>
  <c r="R55" i="43"/>
  <c r="R48" i="43"/>
  <c r="R54" i="43"/>
  <c r="P62" i="43"/>
  <c r="P54" i="43"/>
  <c r="AI102" i="43"/>
  <c r="AB21" i="43"/>
  <c r="AI204" i="43"/>
  <c r="AI101" i="43"/>
  <c r="G170" i="43"/>
  <c r="H167" i="43"/>
  <c r="G169" i="43"/>
  <c r="BM320" i="2"/>
  <c r="E169" i="43"/>
  <c r="F167" i="43"/>
  <c r="G204" i="43"/>
  <c r="H204" i="43" s="1"/>
  <c r="H202" i="43"/>
  <c r="BI72" i="2"/>
  <c r="E204" i="43"/>
  <c r="F204" i="43" s="1"/>
  <c r="F202" i="43"/>
  <c r="G272" i="43"/>
  <c r="H268" i="43"/>
  <c r="G307" i="43"/>
  <c r="H307" i="43" s="1"/>
  <c r="H303" i="43"/>
  <c r="S50" i="43"/>
  <c r="T50" i="43" s="1"/>
  <c r="BK141" i="2"/>
  <c r="BL141" i="2" s="1"/>
  <c r="E272" i="43"/>
  <c r="F272" i="43" s="1"/>
  <c r="W54" i="43"/>
  <c r="W44" i="43"/>
  <c r="AG70" i="43"/>
  <c r="W62" i="43"/>
  <c r="V17" i="43"/>
  <c r="AI136" i="43"/>
  <c r="AJ30" i="43"/>
  <c r="AI34" i="43"/>
  <c r="AJ34" i="43" s="1"/>
  <c r="J12" i="43"/>
  <c r="L12" i="43"/>
  <c r="J25" i="43"/>
  <c r="L25" i="43"/>
  <c r="J298" i="43"/>
  <c r="L298" i="43"/>
  <c r="J17" i="43"/>
  <c r="L17" i="43"/>
  <c r="J250" i="43"/>
  <c r="L250" i="43"/>
  <c r="J285" i="43"/>
  <c r="L285" i="43"/>
  <c r="J290" i="43"/>
  <c r="L290" i="43"/>
  <c r="J255" i="43"/>
  <c r="L255" i="43"/>
  <c r="J263" i="43"/>
  <c r="L263" i="43"/>
  <c r="J151" i="43"/>
  <c r="L151" i="43"/>
  <c r="D117" i="43"/>
  <c r="J117" i="43"/>
  <c r="D51" i="43"/>
  <c r="J51" i="43"/>
  <c r="D83" i="43"/>
  <c r="J83" i="43"/>
  <c r="D186" i="43"/>
  <c r="J186" i="43"/>
  <c r="D220" i="43"/>
  <c r="J220" i="43"/>
  <c r="Z25" i="43"/>
  <c r="Z17" i="43"/>
  <c r="E34" i="43"/>
  <c r="E36" i="43" s="1"/>
  <c r="F36" i="43" s="1"/>
  <c r="W66" i="43"/>
  <c r="X66" i="43" s="1"/>
  <c r="AG34" i="43"/>
  <c r="AG36" i="43" s="1"/>
  <c r="W47" i="43"/>
  <c r="W68" i="43"/>
  <c r="D12" i="43"/>
  <c r="K12" i="43"/>
  <c r="C18" i="43"/>
  <c r="L18" i="43" s="1"/>
  <c r="I12" i="43"/>
  <c r="D285" i="43"/>
  <c r="I285" i="43"/>
  <c r="K285" i="43"/>
  <c r="C291" i="43"/>
  <c r="L291" i="43" s="1"/>
  <c r="D250" i="43"/>
  <c r="I250" i="43"/>
  <c r="K250" i="43"/>
  <c r="C256" i="43"/>
  <c r="Q58" i="43"/>
  <c r="R58" i="43" s="1"/>
  <c r="O58" i="43"/>
  <c r="P58" i="43" s="1"/>
  <c r="AA25" i="43"/>
  <c r="AB25" i="43" s="1"/>
  <c r="D263" i="43"/>
  <c r="I263" i="43"/>
  <c r="K263" i="43"/>
  <c r="W43" i="43"/>
  <c r="AL67" i="43"/>
  <c r="AK67" i="43"/>
  <c r="C194" i="43"/>
  <c r="L194" i="43" s="1"/>
  <c r="I186" i="43"/>
  <c r="W18" i="43"/>
  <c r="X18" i="43" s="1"/>
  <c r="K186" i="43"/>
  <c r="C199" i="43"/>
  <c r="L199" i="43" s="1"/>
  <c r="W49" i="43"/>
  <c r="D25" i="43"/>
  <c r="I25" i="43"/>
  <c r="K25" i="43"/>
  <c r="C228" i="43"/>
  <c r="L228" i="43" s="1"/>
  <c r="K220" i="43"/>
  <c r="C233" i="43"/>
  <c r="Y18" i="43"/>
  <c r="I220" i="43"/>
  <c r="O50" i="43"/>
  <c r="P50" i="43" s="1"/>
  <c r="AA17" i="43"/>
  <c r="AB17" i="43" s="1"/>
  <c r="AB33" i="43"/>
  <c r="AB35" i="43"/>
  <c r="AB10" i="43"/>
  <c r="AB32" i="43"/>
  <c r="AB11" i="43"/>
  <c r="AB14" i="43"/>
  <c r="AB15" i="43"/>
  <c r="AB28" i="43"/>
  <c r="AB29" i="43"/>
  <c r="AB16" i="43"/>
  <c r="I17" i="43"/>
  <c r="K17" i="43"/>
  <c r="O45" i="43"/>
  <c r="P45" i="43" s="1"/>
  <c r="AA12" i="43"/>
  <c r="AB12" i="43" s="1"/>
  <c r="W61" i="43"/>
  <c r="X61" i="43" s="1"/>
  <c r="W65" i="43"/>
  <c r="X65" i="43" s="1"/>
  <c r="D151" i="43"/>
  <c r="K151" i="43"/>
  <c r="I151" i="43"/>
  <c r="U18" i="43"/>
  <c r="C159" i="43"/>
  <c r="C164" i="43"/>
  <c r="L164" i="43" s="1"/>
  <c r="AL273" i="43"/>
  <c r="AK273" i="43"/>
  <c r="Z12" i="43"/>
  <c r="U45" i="43"/>
  <c r="V45" i="43" s="1"/>
  <c r="D298" i="43"/>
  <c r="I298" i="43"/>
  <c r="K298" i="43"/>
  <c r="D255" i="43"/>
  <c r="K255" i="43"/>
  <c r="I255" i="43"/>
  <c r="C91" i="43"/>
  <c r="L91" i="43" s="1"/>
  <c r="I83" i="43"/>
  <c r="Q18" i="43"/>
  <c r="K83" i="43"/>
  <c r="C96" i="43"/>
  <c r="L96" i="43" s="1"/>
  <c r="V12" i="43"/>
  <c r="S45" i="43"/>
  <c r="T45" i="43" s="1"/>
  <c r="AH69" i="43"/>
  <c r="D290" i="43"/>
  <c r="K290" i="43"/>
  <c r="I290" i="43"/>
  <c r="R17" i="43"/>
  <c r="Q50" i="43"/>
  <c r="R50" i="43" s="1"/>
  <c r="S18" i="43"/>
  <c r="T18" i="43" s="1"/>
  <c r="K117" i="43"/>
  <c r="C130" i="43"/>
  <c r="I117" i="43"/>
  <c r="C125" i="43"/>
  <c r="W48" i="43"/>
  <c r="V25" i="43"/>
  <c r="S58" i="43"/>
  <c r="T58" i="43" s="1"/>
  <c r="C64" i="43"/>
  <c r="L64" i="43" s="1"/>
  <c r="O18" i="43"/>
  <c r="P18" i="43" s="1"/>
  <c r="K51" i="43"/>
  <c r="I51" i="43"/>
  <c r="C59" i="43"/>
  <c r="L59" i="43" s="1"/>
  <c r="R12" i="43"/>
  <c r="Q45" i="43"/>
  <c r="R45" i="43" s="1"/>
  <c r="AI169" i="43"/>
  <c r="AJ169" i="43" s="1"/>
  <c r="AI170" i="43"/>
  <c r="AI135" i="43"/>
  <c r="E102" i="43"/>
  <c r="F69" i="43"/>
  <c r="BN322" i="2"/>
  <c r="F238" i="43"/>
  <c r="AG307" i="43"/>
  <c r="BM317" i="2"/>
  <c r="BM322" i="2"/>
  <c r="BP139" i="2"/>
  <c r="BO139" i="2"/>
  <c r="AG272" i="43"/>
  <c r="AG136" i="43"/>
  <c r="AG135" i="43"/>
  <c r="BN248" i="2"/>
  <c r="BM324" i="2"/>
  <c r="BM30" i="2"/>
  <c r="BM176" i="2"/>
  <c r="BP30" i="2"/>
  <c r="BN176" i="2"/>
  <c r="BI34" i="2"/>
  <c r="BI37" i="2" s="1"/>
  <c r="BJ30" i="2"/>
  <c r="BP320" i="2"/>
  <c r="AG204" i="43"/>
  <c r="AH204" i="43" s="1"/>
  <c r="BM248" i="2"/>
  <c r="BN250" i="2"/>
  <c r="BM250" i="2"/>
  <c r="BP214" i="2"/>
  <c r="BI251" i="2"/>
  <c r="BJ248" i="2"/>
  <c r="BL214" i="2"/>
  <c r="BP34" i="2"/>
  <c r="G102" i="43"/>
  <c r="AN67" i="43"/>
  <c r="BK287" i="2"/>
  <c r="BL287" i="2" s="1"/>
  <c r="AI70" i="43"/>
  <c r="BP283" i="2"/>
  <c r="BP322" i="2"/>
  <c r="BO322" i="2"/>
  <c r="BK36" i="2"/>
  <c r="BO36" i="2" s="1"/>
  <c r="BO30" i="2"/>
  <c r="BP317" i="2"/>
  <c r="E307" i="43"/>
  <c r="BO34" i="2"/>
  <c r="F30" i="43"/>
  <c r="E101" i="43"/>
  <c r="F101" i="43" s="1"/>
  <c r="BL30" i="2"/>
  <c r="BN283" i="2"/>
  <c r="BM283" i="2"/>
  <c r="G101" i="43"/>
  <c r="H101" i="43" s="1"/>
  <c r="G36" i="43"/>
  <c r="H36" i="43" s="1"/>
  <c r="G37" i="43"/>
  <c r="H34" i="43"/>
  <c r="BJ212" i="2"/>
  <c r="BM212" i="2"/>
  <c r="BI214" i="2"/>
  <c r="BN212" i="2"/>
  <c r="BK250" i="2"/>
  <c r="BL248" i="2"/>
  <c r="BP248" i="2"/>
  <c r="BO248" i="2"/>
  <c r="BJ106" i="2"/>
  <c r="BM106" i="2"/>
  <c r="BN106" i="2"/>
  <c r="AE12" i="43" l="1"/>
  <c r="AM12" i="43" s="1"/>
  <c r="AL77" i="43"/>
  <c r="AS12" i="43"/>
  <c r="AT12" i="43" s="1"/>
  <c r="AN11" i="43"/>
  <c r="AK11" i="43"/>
  <c r="AM11" i="43"/>
  <c r="AL11" i="43"/>
  <c r="AK249" i="43"/>
  <c r="BC11" i="43"/>
  <c r="BD11" i="43" s="1"/>
  <c r="AM77" i="43"/>
  <c r="AN77" i="43"/>
  <c r="AK77" i="43"/>
  <c r="AM249" i="43"/>
  <c r="AL249" i="43"/>
  <c r="AN249" i="43"/>
  <c r="AE250" i="43"/>
  <c r="AF250" i="43" s="1"/>
  <c r="AS44" i="43"/>
  <c r="AT44" i="43" s="1"/>
  <c r="AS17" i="43"/>
  <c r="AT17" i="43" s="1"/>
  <c r="BN287" i="2"/>
  <c r="BK325" i="2"/>
  <c r="BP325" i="2" s="1"/>
  <c r="BL324" i="2"/>
  <c r="BI327" i="2"/>
  <c r="BJ327" i="2" s="1"/>
  <c r="BJ325" i="2"/>
  <c r="BM287" i="2"/>
  <c r="BI290" i="2"/>
  <c r="BI289" i="2"/>
  <c r="BJ289" i="2" s="1"/>
  <c r="AK14" i="43"/>
  <c r="AL14" i="43"/>
  <c r="AF14" i="43"/>
  <c r="AE17" i="43"/>
  <c r="AF17" i="43" s="1"/>
  <c r="AN14" i="43"/>
  <c r="AL82" i="43"/>
  <c r="AN252" i="43"/>
  <c r="AE255" i="43"/>
  <c r="AF255" i="43" s="1"/>
  <c r="AE83" i="43"/>
  <c r="AF83" i="43" s="1"/>
  <c r="AL252" i="43"/>
  <c r="AK82" i="43"/>
  <c r="AM252" i="43"/>
  <c r="AM82" i="43"/>
  <c r="X49" i="43"/>
  <c r="AK252" i="43"/>
  <c r="AN82" i="43"/>
  <c r="BC14" i="43"/>
  <c r="BD14" i="43" s="1"/>
  <c r="AS47" i="43"/>
  <c r="AT47" i="43" s="1"/>
  <c r="AU50" i="43"/>
  <c r="AV50" i="43" s="1"/>
  <c r="AX17" i="43"/>
  <c r="AU45" i="43"/>
  <c r="AV45" i="43" s="1"/>
  <c r="AX12" i="43"/>
  <c r="AE194" i="43"/>
  <c r="AF194" i="43" s="1"/>
  <c r="AE199" i="43"/>
  <c r="AF199" i="43" s="1"/>
  <c r="AY18" i="43"/>
  <c r="AZ18" i="43" s="1"/>
  <c r="AK186" i="43"/>
  <c r="AM186" i="43"/>
  <c r="AL186" i="43"/>
  <c r="AN186" i="43"/>
  <c r="AK290" i="43"/>
  <c r="AM290" i="43"/>
  <c r="AL290" i="43"/>
  <c r="AN290" i="43"/>
  <c r="AE291" i="43"/>
  <c r="AF291" i="43" s="1"/>
  <c r="AN285" i="43"/>
  <c r="AL285" i="43"/>
  <c r="AM285" i="43"/>
  <c r="AK285" i="43"/>
  <c r="AE164" i="43"/>
  <c r="AF164" i="43" s="1"/>
  <c r="AW18" i="43"/>
  <c r="AX18" i="43" s="1"/>
  <c r="AE159" i="43"/>
  <c r="AF159" i="43" s="1"/>
  <c r="AM151" i="43"/>
  <c r="AK151" i="43"/>
  <c r="AN151" i="43"/>
  <c r="AL151" i="43"/>
  <c r="AE125" i="43"/>
  <c r="AF125" i="43" s="1"/>
  <c r="AE130" i="43"/>
  <c r="AF130" i="43" s="1"/>
  <c r="AU18" i="43"/>
  <c r="AV18" i="43" s="1"/>
  <c r="AN117" i="43"/>
  <c r="AK117" i="43"/>
  <c r="AL117" i="43"/>
  <c r="AM117" i="43"/>
  <c r="AQ31" i="43"/>
  <c r="AF64" i="43"/>
  <c r="AN64" i="43"/>
  <c r="AL64" i="43"/>
  <c r="AK64" i="43"/>
  <c r="AM64" i="43"/>
  <c r="AQ51" i="43"/>
  <c r="AR18" i="43"/>
  <c r="AR44" i="43"/>
  <c r="AE32" i="43"/>
  <c r="AF65" i="43"/>
  <c r="AK65" i="43"/>
  <c r="AM65" i="43"/>
  <c r="AR48" i="43"/>
  <c r="AY48" i="43"/>
  <c r="AZ48" i="43" s="1"/>
  <c r="AI274" i="43"/>
  <c r="AJ274" i="43" s="1"/>
  <c r="AH169" i="43"/>
  <c r="AK238" i="43"/>
  <c r="AH238" i="43"/>
  <c r="AN69" i="43"/>
  <c r="AJ69" i="43"/>
  <c r="AJ238" i="43"/>
  <c r="AM238" i="43"/>
  <c r="AJ101" i="43"/>
  <c r="AJ135" i="43"/>
  <c r="AG308" i="43"/>
  <c r="AH308" i="43" s="1"/>
  <c r="AH135" i="43"/>
  <c r="AH34" i="43"/>
  <c r="AJ204" i="43"/>
  <c r="AI275" i="43"/>
  <c r="AJ272" i="43"/>
  <c r="AH272" i="43"/>
  <c r="AH307" i="43"/>
  <c r="X48" i="43"/>
  <c r="X47" i="43"/>
  <c r="X62" i="43"/>
  <c r="X44" i="43"/>
  <c r="X54" i="43"/>
  <c r="X68" i="43"/>
  <c r="AH36" i="43"/>
  <c r="H169" i="43"/>
  <c r="G308" i="43"/>
  <c r="G310" i="43" s="1"/>
  <c r="F169" i="43"/>
  <c r="E308" i="43"/>
  <c r="F308" i="43" s="1"/>
  <c r="G275" i="43"/>
  <c r="H272" i="43"/>
  <c r="G274" i="43"/>
  <c r="H274" i="43" s="1"/>
  <c r="BO141" i="2"/>
  <c r="BP141" i="2"/>
  <c r="F307" i="43"/>
  <c r="AG37" i="43"/>
  <c r="E274" i="43"/>
  <c r="F274" i="43" s="1"/>
  <c r="E275" i="43"/>
  <c r="E37" i="43"/>
  <c r="F34" i="43"/>
  <c r="AI36" i="43"/>
  <c r="AI308" i="43"/>
  <c r="AK69" i="43"/>
  <c r="AL69" i="43"/>
  <c r="AI37" i="43"/>
  <c r="J256" i="43"/>
  <c r="L256" i="43"/>
  <c r="J130" i="43"/>
  <c r="L130" i="43"/>
  <c r="J159" i="43"/>
  <c r="L159" i="43"/>
  <c r="J233" i="43"/>
  <c r="L233" i="43"/>
  <c r="D59" i="43"/>
  <c r="J59" i="43"/>
  <c r="D64" i="43"/>
  <c r="J64" i="43"/>
  <c r="D125" i="43"/>
  <c r="J125" i="43"/>
  <c r="D228" i="43"/>
  <c r="J228" i="43"/>
  <c r="D164" i="43"/>
  <c r="J164" i="43"/>
  <c r="D199" i="43"/>
  <c r="J199" i="43"/>
  <c r="D194" i="43"/>
  <c r="J194" i="43"/>
  <c r="D291" i="43"/>
  <c r="J291" i="43"/>
  <c r="D96" i="43"/>
  <c r="J96" i="43"/>
  <c r="D91" i="43"/>
  <c r="J91" i="43"/>
  <c r="D18" i="43"/>
  <c r="J18" i="43"/>
  <c r="BM321" i="2"/>
  <c r="D233" i="43"/>
  <c r="K233" i="43"/>
  <c r="Y31" i="43"/>
  <c r="I233" i="43"/>
  <c r="W31" i="43"/>
  <c r="X31" i="43" s="1"/>
  <c r="K199" i="43"/>
  <c r="I199" i="43"/>
  <c r="D256" i="43"/>
  <c r="K256" i="43"/>
  <c r="C269" i="43"/>
  <c r="I256" i="43"/>
  <c r="C264" i="43"/>
  <c r="C299" i="43"/>
  <c r="L299" i="43" s="1"/>
  <c r="C304" i="43"/>
  <c r="K291" i="43"/>
  <c r="I291" i="43"/>
  <c r="C63" i="43"/>
  <c r="O26" i="43"/>
  <c r="K59" i="43"/>
  <c r="I59" i="43"/>
  <c r="R18" i="43"/>
  <c r="Q51" i="43"/>
  <c r="R51" i="43" s="1"/>
  <c r="C26" i="43"/>
  <c r="L26" i="43" s="1"/>
  <c r="K18" i="43"/>
  <c r="I18" i="43"/>
  <c r="C31" i="43"/>
  <c r="W45" i="43"/>
  <c r="X45" i="43" s="1"/>
  <c r="U31" i="43"/>
  <c r="I164" i="43"/>
  <c r="K164" i="43"/>
  <c r="C232" i="43"/>
  <c r="I228" i="43"/>
  <c r="Y26" i="43"/>
  <c r="K228" i="43"/>
  <c r="O51" i="43"/>
  <c r="P51" i="43" s="1"/>
  <c r="AA18" i="43"/>
  <c r="AB18" i="43" s="1"/>
  <c r="V18" i="43"/>
  <c r="S51" i="43"/>
  <c r="T51" i="43" s="1"/>
  <c r="W26" i="43"/>
  <c r="X26" i="43" s="1"/>
  <c r="C198" i="43"/>
  <c r="L198" i="43" s="1"/>
  <c r="I194" i="43"/>
  <c r="K194" i="43"/>
  <c r="O31" i="43"/>
  <c r="K64" i="43"/>
  <c r="I64" i="43"/>
  <c r="L125" i="43"/>
  <c r="K125" i="43"/>
  <c r="S26" i="43"/>
  <c r="T26" i="43" s="1"/>
  <c r="I125" i="43"/>
  <c r="C129" i="43"/>
  <c r="L129" i="43" s="1"/>
  <c r="D130" i="43"/>
  <c r="K130" i="43"/>
  <c r="I130" i="43"/>
  <c r="S31" i="43"/>
  <c r="T31" i="43" s="1"/>
  <c r="Q31" i="43"/>
  <c r="K96" i="43"/>
  <c r="I96" i="43"/>
  <c r="Q26" i="43"/>
  <c r="R26" i="43" s="1"/>
  <c r="C95" i="43"/>
  <c r="L95" i="43" s="1"/>
  <c r="K91" i="43"/>
  <c r="I91" i="43"/>
  <c r="D159" i="43"/>
  <c r="I159" i="43"/>
  <c r="K159" i="43"/>
  <c r="C163" i="43"/>
  <c r="L163" i="43" s="1"/>
  <c r="U26" i="43"/>
  <c r="W50" i="43"/>
  <c r="X50" i="43" s="1"/>
  <c r="Z18" i="43"/>
  <c r="U51" i="43"/>
  <c r="V51" i="43" s="1"/>
  <c r="W58" i="43"/>
  <c r="X58" i="43" s="1"/>
  <c r="BN321" i="2"/>
  <c r="AG275" i="43"/>
  <c r="AG274" i="43"/>
  <c r="AH274" i="43" s="1"/>
  <c r="BP324" i="2"/>
  <c r="BO324" i="2"/>
  <c r="BM325" i="2"/>
  <c r="BP287" i="2"/>
  <c r="BO287" i="2"/>
  <c r="BO321" i="2"/>
  <c r="BN34" i="2"/>
  <c r="BM34" i="2"/>
  <c r="BK289" i="2"/>
  <c r="BL289" i="2" s="1"/>
  <c r="BI36" i="2"/>
  <c r="BN36" i="2" s="1"/>
  <c r="BJ34" i="2"/>
  <c r="BL36" i="2"/>
  <c r="BP36" i="2"/>
  <c r="AM69" i="43"/>
  <c r="BP321" i="2"/>
  <c r="BN214" i="2"/>
  <c r="BM214" i="2"/>
  <c r="BJ214" i="2"/>
  <c r="BL250" i="2"/>
  <c r="BO250" i="2"/>
  <c r="BP250" i="2"/>
  <c r="AN12" i="43" l="1"/>
  <c r="AK12" i="43"/>
  <c r="AL12" i="43"/>
  <c r="AF12" i="43"/>
  <c r="AS45" i="43"/>
  <c r="AT45" i="43" s="1"/>
  <c r="BC12" i="43"/>
  <c r="BD12" i="43" s="1"/>
  <c r="AK250" i="43"/>
  <c r="AL250" i="43"/>
  <c r="AM250" i="43"/>
  <c r="AN250" i="43"/>
  <c r="AY44" i="43"/>
  <c r="AZ44" i="43" s="1"/>
  <c r="BC17" i="43"/>
  <c r="BD17" i="43" s="1"/>
  <c r="AS50" i="43"/>
  <c r="AY50" i="43" s="1"/>
  <c r="AZ50" i="43" s="1"/>
  <c r="BM327" i="2"/>
  <c r="BK327" i="2"/>
  <c r="BL327" i="2" s="1"/>
  <c r="BL325" i="2"/>
  <c r="BM289" i="2"/>
  <c r="BN289" i="2"/>
  <c r="AE18" i="43"/>
  <c r="AE31" i="43" s="1"/>
  <c r="AE256" i="43"/>
  <c r="AF256" i="43" s="1"/>
  <c r="AK17" i="43"/>
  <c r="AL17" i="43"/>
  <c r="AN17" i="43"/>
  <c r="AM17" i="43"/>
  <c r="AE96" i="43"/>
  <c r="AF96" i="43" s="1"/>
  <c r="AL255" i="43"/>
  <c r="AN255" i="43"/>
  <c r="AK255" i="43"/>
  <c r="AS18" i="43"/>
  <c r="AT18" i="43" s="1"/>
  <c r="AM83" i="43"/>
  <c r="AN83" i="43"/>
  <c r="AL83" i="43"/>
  <c r="AK83" i="43"/>
  <c r="AE91" i="43"/>
  <c r="AF91" i="43" s="1"/>
  <c r="AM255" i="43"/>
  <c r="AY47" i="43"/>
  <c r="AZ47" i="43" s="1"/>
  <c r="AU51" i="43"/>
  <c r="AV51" i="43" s="1"/>
  <c r="AY31" i="43"/>
  <c r="AZ31" i="43" s="1"/>
  <c r="AN199" i="43"/>
  <c r="AM199" i="43"/>
  <c r="AK199" i="43"/>
  <c r="AL199" i="43"/>
  <c r="AE198" i="43"/>
  <c r="AF198" i="43" s="1"/>
  <c r="AY26" i="43"/>
  <c r="AZ26" i="43" s="1"/>
  <c r="AK194" i="43"/>
  <c r="AN194" i="43"/>
  <c r="AM194" i="43"/>
  <c r="AL194" i="43"/>
  <c r="AW26" i="43"/>
  <c r="AX26" i="43" s="1"/>
  <c r="AE163" i="43"/>
  <c r="AF163" i="43" s="1"/>
  <c r="AK159" i="43"/>
  <c r="AM159" i="43"/>
  <c r="AN159" i="43"/>
  <c r="AL159" i="43"/>
  <c r="AW31" i="43"/>
  <c r="AX31" i="43" s="1"/>
  <c r="AL164" i="43"/>
  <c r="AK164" i="43"/>
  <c r="AM164" i="43"/>
  <c r="AN164" i="43"/>
  <c r="AE299" i="43"/>
  <c r="AF299" i="43" s="1"/>
  <c r="AE304" i="43"/>
  <c r="AF304" i="43" s="1"/>
  <c r="AM291" i="43"/>
  <c r="AL291" i="43"/>
  <c r="AN291" i="43"/>
  <c r="AK291" i="43"/>
  <c r="AU31" i="43"/>
  <c r="AV31" i="43" s="1"/>
  <c r="AK130" i="43"/>
  <c r="AL130" i="43"/>
  <c r="AN130" i="43"/>
  <c r="AM130" i="43"/>
  <c r="AU26" i="43"/>
  <c r="AV26" i="43" s="1"/>
  <c r="AE129" i="43"/>
  <c r="AF129" i="43" s="1"/>
  <c r="AN125" i="43"/>
  <c r="AM125" i="43"/>
  <c r="AK125" i="43"/>
  <c r="AL125" i="43"/>
  <c r="AR51" i="43"/>
  <c r="AQ64" i="43"/>
  <c r="AR31" i="43"/>
  <c r="AK32" i="43"/>
  <c r="AF32" i="43"/>
  <c r="AM32" i="43"/>
  <c r="AE35" i="43"/>
  <c r="AF68" i="43"/>
  <c r="AM68" i="43"/>
  <c r="AN68" i="43"/>
  <c r="AK68" i="43"/>
  <c r="AL68" i="43"/>
  <c r="AG310" i="43"/>
  <c r="AG309" i="43"/>
  <c r="AH309" i="43" s="1"/>
  <c r="AJ308" i="43"/>
  <c r="E309" i="43"/>
  <c r="F309" i="43" s="1"/>
  <c r="E310" i="43"/>
  <c r="G309" i="43"/>
  <c r="H309" i="43" s="1"/>
  <c r="H308" i="43"/>
  <c r="AI309" i="43"/>
  <c r="AI310" i="43"/>
  <c r="AJ36" i="43"/>
  <c r="J232" i="43"/>
  <c r="L232" i="43"/>
  <c r="J31" i="43"/>
  <c r="L31" i="43"/>
  <c r="J304" i="43"/>
  <c r="L304" i="43"/>
  <c r="J269" i="43"/>
  <c r="L269" i="43"/>
  <c r="J63" i="43"/>
  <c r="L63" i="43"/>
  <c r="D264" i="43"/>
  <c r="L264" i="43"/>
  <c r="D95" i="43"/>
  <c r="J95" i="43"/>
  <c r="D26" i="43"/>
  <c r="J26" i="43"/>
  <c r="D129" i="43"/>
  <c r="J129" i="43"/>
  <c r="D163" i="43"/>
  <c r="J163" i="43"/>
  <c r="D299" i="43"/>
  <c r="J299" i="43"/>
  <c r="D198" i="43"/>
  <c r="J198" i="43"/>
  <c r="U64" i="43"/>
  <c r="V64" i="43" s="1"/>
  <c r="Z31" i="43"/>
  <c r="Q59" i="43"/>
  <c r="R59" i="43" s="1"/>
  <c r="W30" i="43"/>
  <c r="C202" i="43"/>
  <c r="L202" i="43" s="1"/>
  <c r="I198" i="43"/>
  <c r="K198" i="43"/>
  <c r="J264" i="43"/>
  <c r="K264" i="43"/>
  <c r="C268" i="43"/>
  <c r="L268" i="43" s="1"/>
  <c r="I264" i="43"/>
  <c r="Q30" i="43"/>
  <c r="C99" i="43"/>
  <c r="L99" i="43" s="1"/>
  <c r="K95" i="43"/>
  <c r="I95" i="43"/>
  <c r="P31" i="43"/>
  <c r="O64" i="43"/>
  <c r="P64" i="43" s="1"/>
  <c r="V26" i="43"/>
  <c r="S59" i="43"/>
  <c r="T59" i="43" s="1"/>
  <c r="S30" i="43"/>
  <c r="K129" i="43"/>
  <c r="I129" i="43"/>
  <c r="C133" i="43"/>
  <c r="L133" i="43" s="1"/>
  <c r="D31" i="43"/>
  <c r="I31" i="43"/>
  <c r="K31" i="43"/>
  <c r="P26" i="43"/>
  <c r="O59" i="43"/>
  <c r="P59" i="43" s="1"/>
  <c r="D304" i="43"/>
  <c r="I304" i="43"/>
  <c r="K304" i="43"/>
  <c r="D269" i="43"/>
  <c r="I269" i="43"/>
  <c r="K269" i="43"/>
  <c r="AA31" i="43"/>
  <c r="AB31" i="43" s="1"/>
  <c r="AA26" i="43"/>
  <c r="V31" i="43"/>
  <c r="S64" i="43"/>
  <c r="T64" i="43" s="1"/>
  <c r="R31" i="43"/>
  <c r="Q64" i="43"/>
  <c r="R64" i="43" s="1"/>
  <c r="D232" i="43"/>
  <c r="K232" i="43"/>
  <c r="Y30" i="43"/>
  <c r="Z30" i="43" s="1"/>
  <c r="C236" i="43"/>
  <c r="I232" i="43"/>
  <c r="C30" i="43"/>
  <c r="L30" i="43" s="1"/>
  <c r="I26" i="43"/>
  <c r="K26" i="43"/>
  <c r="W51" i="43"/>
  <c r="X51" i="43" s="1"/>
  <c r="C167" i="43"/>
  <c r="L167" i="43" s="1"/>
  <c r="U30" i="43"/>
  <c r="V30" i="43" s="1"/>
  <c r="K163" i="43"/>
  <c r="I163" i="43"/>
  <c r="Z26" i="43"/>
  <c r="U59" i="43"/>
  <c r="V59" i="43" s="1"/>
  <c r="D63" i="43"/>
  <c r="C67" i="43"/>
  <c r="L67" i="43" s="1"/>
  <c r="O30" i="43"/>
  <c r="P30" i="43" s="1"/>
  <c r="K63" i="43"/>
  <c r="I63" i="43"/>
  <c r="C303" i="43"/>
  <c r="L303" i="43" s="1"/>
  <c r="K299" i="43"/>
  <c r="I299" i="43"/>
  <c r="BN327" i="2"/>
  <c r="BP289" i="2"/>
  <c r="BM36" i="2"/>
  <c r="BO325" i="2"/>
  <c r="BO289" i="2"/>
  <c r="BJ36" i="2"/>
  <c r="AT50" i="43" l="1"/>
  <c r="AY45" i="43"/>
  <c r="AZ45" i="43" s="1"/>
  <c r="BP327" i="2"/>
  <c r="AL18" i="43"/>
  <c r="AM18" i="43"/>
  <c r="AN18" i="43"/>
  <c r="AF18" i="43"/>
  <c r="AE264" i="43"/>
  <c r="AF264" i="43" s="1"/>
  <c r="AK18" i="43"/>
  <c r="AM256" i="43"/>
  <c r="AL256" i="43"/>
  <c r="AK256" i="43"/>
  <c r="AN256" i="43"/>
  <c r="AE269" i="43"/>
  <c r="AF269" i="43" s="1"/>
  <c r="AK96" i="43"/>
  <c r="AN96" i="43"/>
  <c r="AL96" i="43"/>
  <c r="AM96" i="43"/>
  <c r="AS31" i="43"/>
  <c r="AT31" i="43" s="1"/>
  <c r="AE26" i="43"/>
  <c r="AN26" i="43" s="1"/>
  <c r="AE95" i="43"/>
  <c r="AF95" i="43" s="1"/>
  <c r="AS51" i="43"/>
  <c r="AT51" i="43" s="1"/>
  <c r="BC18" i="43"/>
  <c r="BC26" i="43" s="1"/>
  <c r="BC30" i="43" s="1"/>
  <c r="AL91" i="43"/>
  <c r="AK91" i="43"/>
  <c r="AM91" i="43"/>
  <c r="AN91" i="43"/>
  <c r="AS26" i="43"/>
  <c r="AT26" i="43" s="1"/>
  <c r="AU64" i="43"/>
  <c r="AV64" i="43" s="1"/>
  <c r="AE202" i="43"/>
  <c r="AF202" i="43" s="1"/>
  <c r="AY30" i="43"/>
  <c r="AM198" i="43"/>
  <c r="AN198" i="43"/>
  <c r="AK198" i="43"/>
  <c r="AL198" i="43"/>
  <c r="AU59" i="43"/>
  <c r="AV59" i="43" s="1"/>
  <c r="AE303" i="43"/>
  <c r="AF303" i="43" s="1"/>
  <c r="AN299" i="43"/>
  <c r="AM299" i="43"/>
  <c r="AL299" i="43"/>
  <c r="AK299" i="43"/>
  <c r="AE167" i="43"/>
  <c r="AF167" i="43" s="1"/>
  <c r="AW30" i="43"/>
  <c r="AX30" i="43" s="1"/>
  <c r="AK163" i="43"/>
  <c r="AM163" i="43"/>
  <c r="AN163" i="43"/>
  <c r="AL163" i="43"/>
  <c r="AM304" i="43"/>
  <c r="AL304" i="43"/>
  <c r="AK304" i="43"/>
  <c r="AN304" i="43"/>
  <c r="AU30" i="43"/>
  <c r="AE133" i="43"/>
  <c r="AF133" i="43" s="1"/>
  <c r="AN129" i="43"/>
  <c r="AL129" i="43"/>
  <c r="AK129" i="43"/>
  <c r="AM129" i="43"/>
  <c r="AF35" i="43"/>
  <c r="AM35" i="43"/>
  <c r="AN35" i="43"/>
  <c r="AL35" i="43"/>
  <c r="AK35" i="43"/>
  <c r="AR64" i="43"/>
  <c r="AF31" i="43"/>
  <c r="AM31" i="43"/>
  <c r="AN31" i="43"/>
  <c r="AL31" i="43"/>
  <c r="AK31" i="43"/>
  <c r="AJ309" i="43"/>
  <c r="J236" i="43"/>
  <c r="L236" i="43"/>
  <c r="D167" i="43"/>
  <c r="J167" i="43"/>
  <c r="D303" i="43"/>
  <c r="J303" i="43"/>
  <c r="D67" i="43"/>
  <c r="J67" i="43"/>
  <c r="D30" i="43"/>
  <c r="J30" i="43"/>
  <c r="D268" i="43"/>
  <c r="J268" i="43"/>
  <c r="C102" i="43"/>
  <c r="J99" i="43"/>
  <c r="D202" i="43"/>
  <c r="J202" i="43"/>
  <c r="D133" i="43"/>
  <c r="C136" i="43"/>
  <c r="W34" i="43"/>
  <c r="X30" i="43"/>
  <c r="D236" i="43"/>
  <c r="C239" i="43"/>
  <c r="AA30" i="43"/>
  <c r="AB26" i="43"/>
  <c r="S34" i="43"/>
  <c r="T30" i="43"/>
  <c r="W64" i="43"/>
  <c r="X64" i="43" s="1"/>
  <c r="U34" i="43"/>
  <c r="S63" i="43"/>
  <c r="T63" i="43" s="1"/>
  <c r="C238" i="43"/>
  <c r="K236" i="43"/>
  <c r="I236" i="43"/>
  <c r="O34" i="43"/>
  <c r="O63" i="43"/>
  <c r="P63" i="43" s="1"/>
  <c r="C169" i="43"/>
  <c r="K167" i="43"/>
  <c r="I167" i="43"/>
  <c r="U63" i="43"/>
  <c r="V63" i="43" s="1"/>
  <c r="Y34" i="43"/>
  <c r="J133" i="43"/>
  <c r="I133" i="43"/>
  <c r="C135" i="43"/>
  <c r="K133" i="43"/>
  <c r="D99" i="43"/>
  <c r="C101" i="43"/>
  <c r="L101" i="43" s="1"/>
  <c r="I99" i="43"/>
  <c r="K99" i="43"/>
  <c r="C204" i="43"/>
  <c r="L204" i="43" s="1"/>
  <c r="I202" i="43"/>
  <c r="K202" i="43"/>
  <c r="W59" i="43"/>
  <c r="X59" i="43" s="1"/>
  <c r="I268" i="43"/>
  <c r="K268" i="43"/>
  <c r="C272" i="43"/>
  <c r="C307" i="43"/>
  <c r="K303" i="43"/>
  <c r="I303" i="43"/>
  <c r="C70" i="43"/>
  <c r="C69" i="43"/>
  <c r="K67" i="43"/>
  <c r="I67" i="43"/>
  <c r="C34" i="43"/>
  <c r="L34" i="43" s="1"/>
  <c r="K30" i="43"/>
  <c r="I30" i="43"/>
  <c r="R30" i="43"/>
  <c r="Q34" i="43"/>
  <c r="R34" i="43" s="1"/>
  <c r="Q63" i="43"/>
  <c r="R63" i="43" s="1"/>
  <c r="BO327" i="2"/>
  <c r="AE30" i="43" l="1"/>
  <c r="AF30" i="43" s="1"/>
  <c r="AM264" i="43"/>
  <c r="AN264" i="43"/>
  <c r="AL264" i="43"/>
  <c r="AK264" i="43"/>
  <c r="AE268" i="43"/>
  <c r="AF268" i="43" s="1"/>
  <c r="AM269" i="43"/>
  <c r="AM26" i="43"/>
  <c r="AK26" i="43"/>
  <c r="AF26" i="43"/>
  <c r="AK269" i="43"/>
  <c r="AL269" i="43"/>
  <c r="AN269" i="43"/>
  <c r="AL95" i="43"/>
  <c r="AK95" i="43"/>
  <c r="AL26" i="43"/>
  <c r="AE99" i="43"/>
  <c r="AL99" i="43" s="1"/>
  <c r="AN95" i="43"/>
  <c r="AS64" i="43"/>
  <c r="AT64" i="43" s="1"/>
  <c r="AM95" i="43"/>
  <c r="AS30" i="43"/>
  <c r="AT30" i="43" s="1"/>
  <c r="AY51" i="43"/>
  <c r="AZ51" i="43" s="1"/>
  <c r="BD26" i="43"/>
  <c r="BD18" i="43"/>
  <c r="AS59" i="43"/>
  <c r="AT59" i="43" s="1"/>
  <c r="BC31" i="43"/>
  <c r="BD31" i="43" s="1"/>
  <c r="AY34" i="43"/>
  <c r="AZ30" i="43"/>
  <c r="AU34" i="43"/>
  <c r="AV30" i="43"/>
  <c r="AE204" i="43"/>
  <c r="AF204" i="43" s="1"/>
  <c r="AK202" i="43"/>
  <c r="AM202" i="43"/>
  <c r="AL202" i="43"/>
  <c r="AN202" i="43"/>
  <c r="AW34" i="43"/>
  <c r="AX34" i="43" s="1"/>
  <c r="AU63" i="43"/>
  <c r="AV63" i="43" s="1"/>
  <c r="AE169" i="43"/>
  <c r="AF169" i="43" s="1"/>
  <c r="AM167" i="43"/>
  <c r="AN167" i="43"/>
  <c r="AK167" i="43"/>
  <c r="AL167" i="43"/>
  <c r="AE307" i="43"/>
  <c r="AF307" i="43" s="1"/>
  <c r="AN303" i="43"/>
  <c r="AM303" i="43"/>
  <c r="AK303" i="43"/>
  <c r="AL303" i="43"/>
  <c r="AE135" i="43"/>
  <c r="AF135" i="43" s="1"/>
  <c r="AE136" i="43"/>
  <c r="AL133" i="43"/>
  <c r="AN133" i="43"/>
  <c r="AM133" i="43"/>
  <c r="AK133" i="43"/>
  <c r="BC34" i="43"/>
  <c r="BD30" i="43"/>
  <c r="J69" i="43"/>
  <c r="L69" i="43"/>
  <c r="J307" i="43"/>
  <c r="L307" i="43"/>
  <c r="J272" i="43"/>
  <c r="L272" i="43"/>
  <c r="J169" i="43"/>
  <c r="L169" i="43"/>
  <c r="J238" i="43"/>
  <c r="L238" i="43"/>
  <c r="D135" i="43"/>
  <c r="J135" i="43"/>
  <c r="D101" i="43"/>
  <c r="J101" i="43"/>
  <c r="D204" i="43"/>
  <c r="J204" i="43"/>
  <c r="D34" i="43"/>
  <c r="J34" i="43"/>
  <c r="C275" i="43"/>
  <c r="D272" i="43"/>
  <c r="AA34" i="43"/>
  <c r="AB30" i="43"/>
  <c r="W36" i="43"/>
  <c r="X36" i="43" s="1"/>
  <c r="X34" i="43"/>
  <c r="O37" i="43"/>
  <c r="P34" i="43"/>
  <c r="S36" i="43"/>
  <c r="T36" i="43" s="1"/>
  <c r="T34" i="43"/>
  <c r="S37" i="43"/>
  <c r="Q37" i="43"/>
  <c r="Q36" i="43"/>
  <c r="Q67" i="43"/>
  <c r="R67" i="43" s="1"/>
  <c r="K272" i="43"/>
  <c r="I272" i="43"/>
  <c r="C274" i="43"/>
  <c r="D169" i="43"/>
  <c r="I169" i="43"/>
  <c r="K169" i="43"/>
  <c r="W63" i="43"/>
  <c r="X63" i="43" s="1"/>
  <c r="D238" i="43"/>
  <c r="K238" i="43"/>
  <c r="I238" i="43"/>
  <c r="I101" i="43"/>
  <c r="K101" i="43"/>
  <c r="O67" i="43"/>
  <c r="P67" i="43" s="1"/>
  <c r="O36" i="43"/>
  <c r="C37" i="43"/>
  <c r="C36" i="43"/>
  <c r="K34" i="43"/>
  <c r="I34" i="43"/>
  <c r="Z34" i="43"/>
  <c r="U67" i="43"/>
  <c r="V67" i="43" s="1"/>
  <c r="Y36" i="43"/>
  <c r="L135" i="43"/>
  <c r="C308" i="43"/>
  <c r="L308" i="43" s="1"/>
  <c r="K135" i="43"/>
  <c r="I135" i="43"/>
  <c r="D69" i="43"/>
  <c r="K69" i="43"/>
  <c r="I69" i="43"/>
  <c r="D307" i="43"/>
  <c r="K307" i="43"/>
  <c r="I307" i="43"/>
  <c r="I204" i="43"/>
  <c r="K204" i="43"/>
  <c r="V34" i="43"/>
  <c r="S67" i="43"/>
  <c r="T67" i="43" s="1"/>
  <c r="U36" i="43"/>
  <c r="AE272" i="43" l="1"/>
  <c r="AF272" i="43" s="1"/>
  <c r="AE34" i="43"/>
  <c r="AE37" i="43" s="1"/>
  <c r="AM30" i="43"/>
  <c r="AK30" i="43"/>
  <c r="AN30" i="43"/>
  <c r="AL30" i="43"/>
  <c r="AM268" i="43"/>
  <c r="AL268" i="43"/>
  <c r="AN268" i="43"/>
  <c r="AK268" i="43"/>
  <c r="AM99" i="43"/>
  <c r="AY64" i="43"/>
  <c r="AZ64" i="43" s="1"/>
  <c r="AS63" i="43"/>
  <c r="AY63" i="43" s="1"/>
  <c r="AZ63" i="43" s="1"/>
  <c r="AK99" i="43"/>
  <c r="AE101" i="43"/>
  <c r="AF101" i="43" s="1"/>
  <c r="AE102" i="43"/>
  <c r="AN99" i="43"/>
  <c r="AF99" i="43"/>
  <c r="AS34" i="43"/>
  <c r="AT34" i="43" s="1"/>
  <c r="AY59" i="43"/>
  <c r="AZ59" i="43" s="1"/>
  <c r="AY36" i="43"/>
  <c r="AZ36" i="43" s="1"/>
  <c r="AZ34" i="43"/>
  <c r="AU36" i="43"/>
  <c r="AV36" i="43" s="1"/>
  <c r="AV34" i="43"/>
  <c r="AN204" i="43"/>
  <c r="AM204" i="43"/>
  <c r="AL204" i="43"/>
  <c r="AK204" i="43"/>
  <c r="AN307" i="43"/>
  <c r="AM307" i="43"/>
  <c r="AL307" i="43"/>
  <c r="AK307" i="43"/>
  <c r="AK169" i="43"/>
  <c r="AM169" i="43"/>
  <c r="AL169" i="43"/>
  <c r="AN169" i="43"/>
  <c r="AU67" i="43"/>
  <c r="AV67" i="43" s="1"/>
  <c r="AW36" i="43"/>
  <c r="AE308" i="43"/>
  <c r="AN135" i="43"/>
  <c r="AL135" i="43"/>
  <c r="AM135" i="43"/>
  <c r="AK135" i="43"/>
  <c r="BC36" i="43"/>
  <c r="BD36" i="43" s="1"/>
  <c r="BD34" i="43"/>
  <c r="D274" i="43"/>
  <c r="L274" i="43"/>
  <c r="J36" i="43"/>
  <c r="L36" i="43"/>
  <c r="U69" i="43"/>
  <c r="V69" i="43" s="1"/>
  <c r="Z36" i="43"/>
  <c r="O70" i="43"/>
  <c r="AA36" i="43"/>
  <c r="AB36" i="43" s="1"/>
  <c r="AB34" i="43"/>
  <c r="AA37" i="43"/>
  <c r="C309" i="43"/>
  <c r="L309" i="43" s="1"/>
  <c r="D308" i="43"/>
  <c r="Q70" i="43"/>
  <c r="D36" i="43"/>
  <c r="I36" i="43"/>
  <c r="K36" i="43"/>
  <c r="J308" i="43"/>
  <c r="C310" i="43"/>
  <c r="I308" i="43"/>
  <c r="K308" i="43"/>
  <c r="P36" i="43"/>
  <c r="O69" i="43"/>
  <c r="P69" i="43" s="1"/>
  <c r="J274" i="43"/>
  <c r="K274" i="43"/>
  <c r="I274" i="43"/>
  <c r="R36" i="43"/>
  <c r="Q69" i="43"/>
  <c r="R69" i="43" s="1"/>
  <c r="W67" i="43"/>
  <c r="X67" i="43" s="1"/>
  <c r="V36" i="43"/>
  <c r="S69" i="43"/>
  <c r="T69" i="43" s="1"/>
  <c r="AM272" i="43" l="1"/>
  <c r="AK272" i="43"/>
  <c r="AE274" i="43"/>
  <c r="AF274" i="43" s="1"/>
  <c r="AL272" i="43"/>
  <c r="AN272" i="43"/>
  <c r="AE275" i="43"/>
  <c r="AE36" i="43"/>
  <c r="AM36" i="43" s="1"/>
  <c r="AK34" i="43"/>
  <c r="AN34" i="43"/>
  <c r="AM34" i="43"/>
  <c r="AL34" i="43"/>
  <c r="AF34" i="43"/>
  <c r="AT63" i="43"/>
  <c r="AK101" i="43"/>
  <c r="AM101" i="43"/>
  <c r="AN101" i="43"/>
  <c r="AL101" i="43"/>
  <c r="AS36" i="43"/>
  <c r="AT36" i="43" s="1"/>
  <c r="AS67" i="43"/>
  <c r="AY67" i="43" s="1"/>
  <c r="AZ67" i="43" s="1"/>
  <c r="AU69" i="43"/>
  <c r="AV69" i="43" s="1"/>
  <c r="AX36" i="43"/>
  <c r="AF308" i="43"/>
  <c r="AE310" i="43"/>
  <c r="AE309" i="43"/>
  <c r="AF309" i="43" s="1"/>
  <c r="AL308" i="43"/>
  <c r="AN308" i="43"/>
  <c r="AK308" i="43"/>
  <c r="AM308" i="43"/>
  <c r="K309" i="43"/>
  <c r="I309" i="43"/>
  <c r="D309" i="43"/>
  <c r="J309" i="43"/>
  <c r="W70" i="43"/>
  <c r="W69" i="43"/>
  <c r="X69" i="43" s="1"/>
  <c r="AM274" i="43" l="1"/>
  <c r="AN274" i="43"/>
  <c r="AK274" i="43"/>
  <c r="AL274" i="43"/>
  <c r="AN36" i="43"/>
  <c r="AL36" i="43"/>
  <c r="AK36" i="43"/>
  <c r="AF36" i="43"/>
  <c r="AT67" i="43"/>
  <c r="AS69" i="43"/>
  <c r="AT69" i="43" s="1"/>
  <c r="AK309" i="43"/>
  <c r="AN309" i="43"/>
  <c r="AL309" i="43"/>
  <c r="AM309" i="43"/>
  <c r="AA22" i="43"/>
  <c r="AB22" i="43" s="1"/>
  <c r="AA23" i="43"/>
  <c r="AB23" i="43" s="1"/>
  <c r="O56" i="43"/>
  <c r="P56" i="43" s="1"/>
  <c r="O55" i="43"/>
  <c r="P55" i="43" s="1"/>
  <c r="AY69" i="43" l="1"/>
  <c r="AZ69" i="43" s="1"/>
  <c r="W55" i="43"/>
  <c r="X55" i="43" s="1"/>
  <c r="W56" i="43"/>
  <c r="X56" i="43" s="1"/>
</calcChain>
</file>

<file path=xl/comments1.xml><?xml version="1.0" encoding="utf-8"?>
<comments xmlns="http://schemas.openxmlformats.org/spreadsheetml/2006/main">
  <authors>
    <author>Rosa Calderon</author>
  </authors>
  <commentList>
    <comment ref="D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E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F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G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H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O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P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  <comment ref="Q56" authorId="0" shapeId="0">
      <text>
        <r>
          <rPr>
            <b/>
            <sz val="9"/>
            <color indexed="81"/>
            <rFont val="Tahoma"/>
            <family val="2"/>
          </rPr>
          <t>Rosa Calderon:</t>
        </r>
        <r>
          <rPr>
            <sz val="9"/>
            <color indexed="81"/>
            <rFont val="Tahoma"/>
            <family val="2"/>
          </rPr>
          <t xml:space="preserve">
Ajuste para cuadrar el cambio en depreciacion</t>
        </r>
      </text>
    </comment>
  </commentList>
</comments>
</file>

<file path=xl/sharedStrings.xml><?xml version="1.0" encoding="utf-8"?>
<sst xmlns="http://schemas.openxmlformats.org/spreadsheetml/2006/main" count="4838" uniqueCount="548">
  <si>
    <t>Mes</t>
  </si>
  <si>
    <t>Actual</t>
  </si>
  <si>
    <t>Dep. y Amtz.</t>
  </si>
  <si>
    <t>UAFIR Flujo</t>
  </si>
  <si>
    <t>Ppto</t>
  </si>
  <si>
    <t xml:space="preserve">AA </t>
  </si>
  <si>
    <t>vs Ppto</t>
  </si>
  <si>
    <t>vs. AA</t>
  </si>
  <si>
    <t>Acum</t>
  </si>
  <si>
    <t>AA</t>
  </si>
  <si>
    <t>%</t>
  </si>
  <si>
    <t>Variacion</t>
  </si>
  <si>
    <t>Vs Saldo Inicia</t>
  </si>
  <si>
    <t xml:space="preserve">Capital                                 </t>
  </si>
  <si>
    <t xml:space="preserve">Diferencia                              </t>
  </si>
  <si>
    <t xml:space="preserve">Balance General </t>
  </si>
  <si>
    <t>División</t>
  </si>
  <si>
    <t xml:space="preserve">Capital               </t>
  </si>
  <si>
    <t>Estado de Resultados</t>
  </si>
  <si>
    <t>mes</t>
  </si>
  <si>
    <t>Ac</t>
  </si>
  <si>
    <t>Aj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</si>
  <si>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</si>
  <si>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</si>
  <si>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</si>
  <si>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Inv. y Mejoras Inm. Arrend              </t>
  </si>
  <si>
    <t>Div</t>
  </si>
  <si>
    <t>Variaciones C de T.</t>
  </si>
  <si>
    <t>Amtz. Ac. Inv. y mejoras IA</t>
  </si>
  <si>
    <t>BG</t>
  </si>
  <si>
    <t>Divisional</t>
  </si>
  <si>
    <t>Southwen</t>
  </si>
  <si>
    <t>Pollos del Sur</t>
  </si>
  <si>
    <t>Pollos del Centro</t>
  </si>
  <si>
    <t>Prov.</t>
  </si>
  <si>
    <t>Pollos del Sur, Inc.</t>
  </si>
  <si>
    <t>Pollos del Centro, Inc.</t>
  </si>
  <si>
    <t>División Alimentos EU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</si>
  <si>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</si>
  <si>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</si>
  <si>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</si>
  <si>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</si>
  <si>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</si>
  <si>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</si>
  <si>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</si>
  <si>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</si>
  <si>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Financiel expenses</t>
  </si>
  <si>
    <t>Financial income</t>
  </si>
  <si>
    <t>Financial costs</t>
  </si>
  <si>
    <t>Earnings before tax</t>
  </si>
  <si>
    <t>Sales Tax</t>
  </si>
  <si>
    <t>Franchise tax</t>
  </si>
  <si>
    <t>Other income</t>
  </si>
  <si>
    <t>Net profit</t>
  </si>
  <si>
    <t>Cash</t>
  </si>
  <si>
    <t>Short term investments</t>
  </si>
  <si>
    <t>Accounts receivable</t>
  </si>
  <si>
    <t>Intercompany receivables</t>
  </si>
  <si>
    <t>Inventories</t>
  </si>
  <si>
    <t>Prepaids &amp; other assets</t>
  </si>
  <si>
    <t>Electronic equipment</t>
  </si>
  <si>
    <t>Machinery &amp; office equipment</t>
  </si>
  <si>
    <t>Building</t>
  </si>
  <si>
    <t>Land</t>
  </si>
  <si>
    <t>Transport equipment.</t>
  </si>
  <si>
    <t>Other fixed assets</t>
  </si>
  <si>
    <t>Accumulated depreciation</t>
  </si>
  <si>
    <t>Net fixed assets</t>
  </si>
  <si>
    <t>Differed expenses</t>
  </si>
  <si>
    <t>Differed investments</t>
  </si>
  <si>
    <t>Accumulated amortization</t>
  </si>
  <si>
    <t>Net Other assets</t>
  </si>
  <si>
    <t>Total assets</t>
  </si>
  <si>
    <t>Accounts payable</t>
  </si>
  <si>
    <t>Accrued Liabilities</t>
  </si>
  <si>
    <t>Other current liabilities</t>
  </si>
  <si>
    <t>Long term notes payable</t>
  </si>
  <si>
    <t>Other long term payables</t>
  </si>
  <si>
    <t>Differed liabilities</t>
  </si>
  <si>
    <t>Common stock</t>
  </si>
  <si>
    <t>Paid in capital</t>
  </si>
  <si>
    <t>Retained earnings</t>
  </si>
  <si>
    <t>Total Stockholders equity</t>
  </si>
  <si>
    <t>Total Debt+Equity</t>
  </si>
  <si>
    <t>Net cash flow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</si>
  <si>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</si>
  <si>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</si>
  <si>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</si>
  <si>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</si>
  <si>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</si>
  <si>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</si>
  <si>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</si>
  <si>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</si>
  <si>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</si>
  <si>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</si>
  <si>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</si>
  <si>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</si>
  <si>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 xml:space="preserve">Amtz. Ac. Depósitos Garantía            </t>
  </si>
  <si>
    <t xml:space="preserve">Gts. Instalación                        </t>
  </si>
  <si>
    <t xml:space="preserve">Amtz. Ac. Gts. Instalación              </t>
  </si>
  <si>
    <t xml:space="preserve">Gts. Organización                       </t>
  </si>
  <si>
    <t xml:space="preserve">Amtz. Ac. Gts. Organización             </t>
  </si>
  <si>
    <t xml:space="preserve">Amtz. Const. T.Arrendados               </t>
  </si>
  <si>
    <t>Differed Assets</t>
  </si>
  <si>
    <t>Other assets</t>
  </si>
  <si>
    <t xml:space="preserve">Net other assets                   </t>
  </si>
  <si>
    <t>Short and long term bank loans /liabilities</t>
  </si>
  <si>
    <t>Current Assets</t>
  </si>
  <si>
    <t>Net Current assets</t>
  </si>
  <si>
    <t xml:space="preserve">Fixed assets  </t>
  </si>
  <si>
    <t>Current Liabilities</t>
  </si>
  <si>
    <t xml:space="preserve">Total Current liabilities                 </t>
  </si>
  <si>
    <t xml:space="preserve">Long term liabilities      </t>
  </si>
  <si>
    <t xml:space="preserve">Total long term liabilities                      </t>
  </si>
  <si>
    <t xml:space="preserve">Total differed liabilities                   </t>
  </si>
  <si>
    <t>Budget</t>
  </si>
  <si>
    <t>Initial</t>
  </si>
  <si>
    <t>Actual vs B</t>
  </si>
  <si>
    <t>Actual vs Ini</t>
  </si>
  <si>
    <t>PDC</t>
  </si>
  <si>
    <t>PDS</t>
  </si>
  <si>
    <t>SW</t>
  </si>
  <si>
    <t>EBITDA</t>
  </si>
  <si>
    <t>Corp. Int.</t>
  </si>
  <si>
    <t>Ut. Neta</t>
  </si>
  <si>
    <t>Gasto por Dep. y Amtz.</t>
  </si>
  <si>
    <t xml:space="preserve">Generacion Bruta                        </t>
  </si>
  <si>
    <t>Generación Bruta</t>
  </si>
  <si>
    <t xml:space="preserve">Clientes                                </t>
  </si>
  <si>
    <t xml:space="preserve">Func. y empleados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</si>
  <si>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</si>
  <si>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</si>
  <si>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</si>
  <si>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 xml:space="preserve">Proveedores                             </t>
  </si>
  <si>
    <t xml:space="preserve">Anticipo de Clientes                    </t>
  </si>
  <si>
    <t xml:space="preserve">Acreedores diversos                     </t>
  </si>
  <si>
    <t xml:space="preserve">Gts. Ac. por pagar                      </t>
  </si>
  <si>
    <t xml:space="preserve">Iva x pagar                             </t>
  </si>
  <si>
    <t xml:space="preserve">Impuestos x pagar                   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</si>
  <si>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</si>
  <si>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</si>
  <si>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</si>
  <si>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Capital Social                          </t>
  </si>
  <si>
    <t xml:space="preserve">Aport. Para Fut Aum Capital             </t>
  </si>
  <si>
    <t xml:space="preserve">Reserva Legal                           </t>
  </si>
  <si>
    <t xml:space="preserve">Reservas. Primas Antiguedad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</si>
  <si>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</si>
  <si>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</si>
  <si>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</si>
  <si>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Edificios                               </t>
  </si>
  <si>
    <t xml:space="preserve">Dep. Acum. Edificio                     </t>
  </si>
  <si>
    <t xml:space="preserve">Maquinaria y Equipo                     </t>
  </si>
  <si>
    <t xml:space="preserve">Dep.Acum Maquinaria y Equipo            </t>
  </si>
  <si>
    <t xml:space="preserve">Equipo de Transporte                    </t>
  </si>
  <si>
    <t xml:space="preserve">Dep. Acum Eq de Transporte              </t>
  </si>
  <si>
    <t xml:space="preserve">Equipo Electronico                      </t>
  </si>
  <si>
    <t xml:space="preserve">Dep. Acum. Eq. Electronico              </t>
  </si>
  <si>
    <t xml:space="preserve">Mob. y Eq. Oficina                      </t>
  </si>
  <si>
    <t xml:space="preserve">Dep. Acum. Mob. y Eq. Oficina           </t>
  </si>
  <si>
    <t xml:space="preserve">Dep. En Garantía                        </t>
  </si>
  <si>
    <t xml:space="preserve">Const. Terr. Arrendados                 </t>
  </si>
  <si>
    <t xml:space="preserve">Flujo Neto                              </t>
  </si>
  <si>
    <t>S.Ini</t>
  </si>
  <si>
    <t>S. F.</t>
  </si>
  <si>
    <t>Renglón</t>
  </si>
  <si>
    <t>Descripción</t>
  </si>
  <si>
    <t>Flujo Mensual</t>
  </si>
  <si>
    <t>Saldo Ini</t>
  </si>
  <si>
    <t>Saldo Ac</t>
  </si>
  <si>
    <t>Flujo Ac.</t>
  </si>
  <si>
    <t xml:space="preserve">Ventas                                  </t>
  </si>
  <si>
    <t xml:space="preserve">Utilidad Bruta                          </t>
  </si>
  <si>
    <t xml:space="preserve">Gastos de Venta                         </t>
  </si>
  <si>
    <t xml:space="preserve">Costo Integral de Financiamiento        </t>
  </si>
  <si>
    <t xml:space="preserve">Impuestos                               </t>
  </si>
  <si>
    <t xml:space="preserve">Utilidad Neta                           </t>
  </si>
  <si>
    <t xml:space="preserve">Var. en el Capital de Trabajo           </t>
  </si>
  <si>
    <t xml:space="preserve">Construcc. en proceso                   </t>
  </si>
  <si>
    <t xml:space="preserve">Utilidad x Particip. en afiliadas       </t>
  </si>
  <si>
    <t>Reservas</t>
  </si>
  <si>
    <t xml:space="preserve">Flujo de efectivo </t>
  </si>
  <si>
    <t xml:space="preserve"> </t>
  </si>
  <si>
    <t>South-Wen,Inc.</t>
  </si>
  <si>
    <t>South-Wen</t>
  </si>
  <si>
    <t>Financial expenses</t>
  </si>
  <si>
    <t>Pizzas del Sur</t>
  </si>
  <si>
    <t>Pizzas del Sur, Inc.</t>
  </si>
  <si>
    <t>Pizzas Del Sur</t>
  </si>
  <si>
    <t>Pizzas del Golfo</t>
  </si>
  <si>
    <t>Pizzas del Golfo, Inc.</t>
  </si>
  <si>
    <t>Ef. Net Income</t>
  </si>
  <si>
    <t>Debt (Principle</t>
  </si>
  <si>
    <t>Debt (P only</t>
  </si>
  <si>
    <t>(ENl-CE-CI)/Debt</t>
  </si>
  <si>
    <t xml:space="preserve">Capital Expenditures </t>
  </si>
  <si>
    <t>Enero</t>
  </si>
  <si>
    <t>Division Alimentos EU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</si>
  <si>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</si>
  <si>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</si>
  <si>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</si>
  <si>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</si>
  <si>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</si>
  <si>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</si>
  <si>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</si>
  <si>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</si>
  <si>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</si>
  <si>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</si>
  <si>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</si>
  <si>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Acumulado ppto 2014</t>
  </si>
  <si>
    <t>Real Estate</t>
  </si>
  <si>
    <t>Acumulado 2015</t>
  </si>
  <si>
    <t>Deferred Assets</t>
  </si>
  <si>
    <t>Loan Receivables</t>
  </si>
  <si>
    <t>Income Tax</t>
  </si>
  <si>
    <t>Gain / Loss Sale of Asset</t>
  </si>
  <si>
    <t>Year to Date</t>
  </si>
  <si>
    <t>Put Principle on all co</t>
  </si>
  <si>
    <t>2017 Actual Last Year</t>
  </si>
  <si>
    <t>Acumulado 2018</t>
  </si>
  <si>
    <t>Direct Cost - Labor</t>
  </si>
  <si>
    <t>Diference</t>
  </si>
  <si>
    <t>Mes AA</t>
  </si>
  <si>
    <t>Fct. Mes</t>
  </si>
  <si>
    <t>AA Act</t>
  </si>
  <si>
    <t>Ac. AAnt</t>
  </si>
  <si>
    <t>Fct. AA Ac</t>
  </si>
  <si>
    <t>Ac. AA Act</t>
  </si>
  <si>
    <t>Ppto Ac.</t>
  </si>
  <si>
    <t>Mes vs AA</t>
  </si>
  <si>
    <t>Ac vs AA</t>
  </si>
  <si>
    <t>Mes vs Ppto</t>
  </si>
  <si>
    <t>Ac vs Ppto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</si>
  <si>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</si>
  <si>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</si>
  <si>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</si>
  <si>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</si>
  <si>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</si>
  <si>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</si>
  <si>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</si>
  <si>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</si>
  <si>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</si>
  <si>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</si>
  <si>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</si>
  <si>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</si>
  <si>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</si>
  <si>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</si>
  <si>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</si>
  <si>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Earnings before tax                     </t>
  </si>
  <si>
    <t xml:space="preserve">Franchise tax                           </t>
  </si>
  <si>
    <t xml:space="preserve">Sales Tax                               </t>
  </si>
  <si>
    <t xml:space="preserve">Net profit                              </t>
  </si>
  <si>
    <t xml:space="preserve">EBITDA                                  </t>
  </si>
  <si>
    <t>South Wen</t>
  </si>
  <si>
    <t xml:space="preserve">Earning before Tax                      </t>
  </si>
  <si>
    <t xml:space="preserve">Franchise Tax                           </t>
  </si>
  <si>
    <t xml:space="preserve">Earnings before Tax                     </t>
  </si>
  <si>
    <t>Acumulado</t>
  </si>
  <si>
    <t>Presupuesto</t>
  </si>
  <si>
    <t>Saldo</t>
  </si>
  <si>
    <t>Saldo Inicial</t>
  </si>
  <si>
    <t>Al Mes</t>
  </si>
  <si>
    <t>vs Presupuesto</t>
  </si>
  <si>
    <t>Vs Mes Anterior</t>
  </si>
  <si>
    <t>Mes Anterior</t>
  </si>
  <si>
    <t xml:space="preserve">Activo Circulante    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</si>
  <si>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</si>
  <si>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</si>
  <si>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</si>
  <si>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</si>
  <si>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</si>
  <si>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</si>
  <si>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</si>
  <si>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</si>
  <si>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</si>
  <si>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</si>
  <si>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</si>
  <si>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</si>
  <si>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</si>
  <si>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</si>
  <si>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</si>
  <si>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</si>
  <si>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</si>
  <si>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</si>
  <si>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</si>
  <si>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</si>
  <si>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</si>
  <si>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</si>
  <si>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</si>
  <si>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</si>
  <si>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</si>
  <si>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</si>
  <si>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</si>
  <si>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</si>
  <si>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</si>
  <si>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</si>
  <si>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</si>
  <si>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</si>
  <si>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</si>
  <si>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</si>
  <si>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</si>
  <si>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</si>
  <si>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</si>
  <si>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</si>
  <si>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</si>
  <si>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</si>
  <si>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</si>
  <si>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</si>
  <si>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</si>
  <si>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</si>
  <si>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</si>
  <si>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</si>
  <si>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</si>
  <si>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</si>
  <si>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</si>
  <si>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</si>
  <si>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</si>
  <si>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Gastos de Administracion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</si>
  <si>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</si>
  <si>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</si>
  <si>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</si>
  <si>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</si>
  <si>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</si>
  <si>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</si>
  <si>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</si>
  <si>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Flujo de Efectivo                       </t>
  </si>
  <si>
    <t xml:space="preserve">Total Variaciones en Capital de Tbjo    </t>
  </si>
  <si>
    <t xml:space="preserve">Amtz. Ac. Inv. y Mejoras Inm. Arrend    </t>
  </si>
  <si>
    <t xml:space="preserve">Otros                                   </t>
  </si>
  <si>
    <t>PIZZAS DEL GOLFO</t>
  </si>
  <si>
    <t>PIZZAS DEL SUR</t>
  </si>
  <si>
    <t>Gasto 2018</t>
  </si>
  <si>
    <t>Alimentos EU</t>
  </si>
  <si>
    <t>ALIMENTOS EU Gastos</t>
  </si>
  <si>
    <t>Costo 2018</t>
  </si>
  <si>
    <t>ALIMENTOS EU Costos</t>
  </si>
  <si>
    <t>Provecho - Real Estate</t>
  </si>
  <si>
    <t xml:space="preserve">Earning before tax                      </t>
  </si>
  <si>
    <t>UAFIR FL./V.P.</t>
  </si>
  <si>
    <t>UAFIR FL./V.R.</t>
  </si>
  <si>
    <t>TOTAL</t>
  </si>
  <si>
    <t>REAL ESTATE</t>
  </si>
  <si>
    <t>POLLOS DEL SUR</t>
  </si>
  <si>
    <t>POLLOS DEL CENTRO</t>
  </si>
  <si>
    <t>SOUTHWEN</t>
  </si>
  <si>
    <t>ALIMENTOS EU</t>
  </si>
  <si>
    <t>Div AlimEU</t>
  </si>
  <si>
    <t>Tendencias</t>
  </si>
  <si>
    <t>Ventas ER</t>
  </si>
  <si>
    <t>Ventas Tendencias</t>
  </si>
  <si>
    <t>Ventas ER por Mes</t>
  </si>
  <si>
    <t>Hojas</t>
  </si>
  <si>
    <t>Ventas Reales</t>
  </si>
  <si>
    <t>Diferencias</t>
  </si>
  <si>
    <t>Presentacion</t>
  </si>
  <si>
    <t>ER</t>
  </si>
  <si>
    <t>FE</t>
  </si>
  <si>
    <t>Presentacion Junta de Consejo</t>
  </si>
  <si>
    <t xml:space="preserve">LRD020                                  </t>
  </si>
  <si>
    <t xml:space="preserve">South-wen                               </t>
  </si>
  <si>
    <t xml:space="preserve">LRD021                                  </t>
  </si>
  <si>
    <t xml:space="preserve">LRD022                                  </t>
  </si>
  <si>
    <t xml:space="preserve">LRD023                                  </t>
  </si>
  <si>
    <t xml:space="preserve">LRD024                                  </t>
  </si>
  <si>
    <t xml:space="preserve">LRD025                                  </t>
  </si>
  <si>
    <t xml:space="preserve">LRD027                                  </t>
  </si>
  <si>
    <t xml:space="preserve">Suma I                                  </t>
  </si>
  <si>
    <t xml:space="preserve">LV042                                   </t>
  </si>
  <si>
    <t xml:space="preserve">LV044                                   </t>
  </si>
  <si>
    <t xml:space="preserve">UV045                                   </t>
  </si>
  <si>
    <t xml:space="preserve">LV046                                   </t>
  </si>
  <si>
    <t xml:space="preserve">LV048                                   </t>
  </si>
  <si>
    <t xml:space="preserve">UV051                                   </t>
  </si>
  <si>
    <t xml:space="preserve">UV052                                   </t>
  </si>
  <si>
    <t xml:space="preserve">UV053                                   </t>
  </si>
  <si>
    <t xml:space="preserve">Suma II                                 </t>
  </si>
  <si>
    <t xml:space="preserve">Total South Wen                         </t>
  </si>
  <si>
    <t xml:space="preserve">Pollos del Sur                          </t>
  </si>
  <si>
    <t xml:space="preserve">LRD001                                  </t>
  </si>
  <si>
    <t xml:space="preserve">LRD002                                  </t>
  </si>
  <si>
    <t xml:space="preserve">LRD003                                  </t>
  </si>
  <si>
    <t xml:space="preserve">LRD004                                  </t>
  </si>
  <si>
    <t xml:space="preserve">LRD005                                  </t>
  </si>
  <si>
    <t xml:space="preserve">Total Pollos del Sur                    </t>
  </si>
  <si>
    <t xml:space="preserve">Pollos del Centro                       </t>
  </si>
  <si>
    <t xml:space="preserve">DEN070                                  </t>
  </si>
  <si>
    <t xml:space="preserve">DEN071                                  </t>
  </si>
  <si>
    <t xml:space="preserve">DEN072                                  </t>
  </si>
  <si>
    <t xml:space="preserve">DEN073                                  </t>
  </si>
  <si>
    <t xml:space="preserve">DEN074                                  </t>
  </si>
  <si>
    <t xml:space="preserve">DEN075                                  </t>
  </si>
  <si>
    <t xml:space="preserve">DEN076                                  </t>
  </si>
  <si>
    <t xml:space="preserve">DEN077                                  </t>
  </si>
  <si>
    <t xml:space="preserve">Total Pollos del Centro                 </t>
  </si>
  <si>
    <t xml:space="preserve">Pizzas del Sur                          </t>
  </si>
  <si>
    <t xml:space="preserve">LDR90                                   </t>
  </si>
  <si>
    <t xml:space="preserve">MC100                                   </t>
  </si>
  <si>
    <t xml:space="preserve">ED101                                   </t>
  </si>
  <si>
    <t xml:space="preserve">HAR102                                  </t>
  </si>
  <si>
    <t xml:space="preserve">MI103                                   </t>
  </si>
  <si>
    <t xml:space="preserve">Total Pizzas del Sur                    </t>
  </si>
  <si>
    <t xml:space="preserve">Pizzas del Golfo                        </t>
  </si>
  <si>
    <t xml:space="preserve">CC200                                   </t>
  </si>
  <si>
    <t xml:space="preserve">CC201                                   </t>
  </si>
  <si>
    <t xml:space="preserve">CC202                                   </t>
  </si>
  <si>
    <t xml:space="preserve">CC203                                   </t>
  </si>
  <si>
    <t xml:space="preserve">CC204                                   </t>
  </si>
  <si>
    <t xml:space="preserve">Total Pizzas del Golfo                  </t>
  </si>
  <si>
    <t xml:space="preserve">Total SW - PDC - PDS - PzS - PzG        </t>
  </si>
  <si>
    <t xml:space="preserve">Real Estate                             </t>
  </si>
  <si>
    <t xml:space="preserve">Total División Alimentos EU             </t>
  </si>
  <si>
    <t>Ventas Ppto</t>
  </si>
  <si>
    <t>Leave blank at first</t>
  </si>
  <si>
    <t>SW 610</t>
  </si>
  <si>
    <t>Costo 2019</t>
  </si>
  <si>
    <t>Costo P. 2019</t>
  </si>
  <si>
    <t>Gasto 2019</t>
  </si>
  <si>
    <t>Gasto P. 2019</t>
  </si>
  <si>
    <t>March</t>
  </si>
  <si>
    <t>January</t>
  </si>
  <si>
    <t>February</t>
  </si>
  <si>
    <t>April</t>
  </si>
  <si>
    <t>May</t>
  </si>
  <si>
    <t>Jun</t>
  </si>
  <si>
    <t>July</t>
  </si>
  <si>
    <t>September</t>
  </si>
  <si>
    <t>October</t>
  </si>
  <si>
    <t>November</t>
  </si>
  <si>
    <t>December</t>
  </si>
  <si>
    <t>August</t>
  </si>
  <si>
    <t>Augost</t>
  </si>
  <si>
    <t>Trimestre</t>
  </si>
  <si>
    <t>Trimestre Proyección</t>
  </si>
  <si>
    <t>PZS</t>
  </si>
  <si>
    <t>PZG</t>
  </si>
  <si>
    <t>RE</t>
  </si>
  <si>
    <t>DIV</t>
  </si>
  <si>
    <t xml:space="preserve">SW                                      </t>
  </si>
  <si>
    <t xml:space="preserve">PDC                                     </t>
  </si>
  <si>
    <t xml:space="preserve">PDS                                     </t>
  </si>
  <si>
    <t xml:space="preserve">PZG                                     </t>
  </si>
  <si>
    <t xml:space="preserve">PZS                                     </t>
  </si>
  <si>
    <t xml:space="preserve">RE                                      </t>
  </si>
  <si>
    <t>Saldo Inicial AA</t>
  </si>
  <si>
    <t>Saldo Acum AA</t>
  </si>
  <si>
    <t>Mov Mes AA</t>
  </si>
  <si>
    <t>Mov Año AA</t>
  </si>
  <si>
    <t>.</t>
  </si>
  <si>
    <t>Saldo Inicial Ac</t>
  </si>
  <si>
    <t>Saldo Acum Act</t>
  </si>
  <si>
    <t>Mov Mes</t>
  </si>
  <si>
    <t>Mov Año</t>
  </si>
  <si>
    <t>N.D.</t>
  </si>
  <si>
    <t>CH'S</t>
  </si>
  <si>
    <t>PJ'S</t>
  </si>
  <si>
    <t>Rep Ejecutivos</t>
  </si>
  <si>
    <t>Vs</t>
  </si>
  <si>
    <t>ER Acumulados</t>
  </si>
  <si>
    <t>HOJA</t>
  </si>
  <si>
    <t>DESCRIPCION</t>
  </si>
  <si>
    <t>FUNCION</t>
  </si>
  <si>
    <t>Inicio</t>
  </si>
  <si>
    <t>BDER</t>
  </si>
  <si>
    <t>BDFE</t>
  </si>
  <si>
    <t>BDLT</t>
  </si>
  <si>
    <t>BDPP</t>
  </si>
  <si>
    <t>BDBG</t>
  </si>
  <si>
    <t>CBG</t>
  </si>
  <si>
    <t>Fed (2)</t>
  </si>
  <si>
    <t>Cost</t>
  </si>
  <si>
    <t>ER Act</t>
  </si>
  <si>
    <t>ER Ppto</t>
  </si>
  <si>
    <t>ER AA</t>
  </si>
  <si>
    <t>Ventas</t>
  </si>
  <si>
    <t>ANÁLISIS DE ESTADO DE RESULTADOS PARA PRESENTACIÓN</t>
  </si>
  <si>
    <t>HOJA DE CONTROL</t>
  </si>
  <si>
    <t>600 ESTADO DE RESULTADO IMPORTADO</t>
  </si>
  <si>
    <t>650 FLUJO IMPORTADO</t>
  </si>
  <si>
    <t>601 PRESUPUESTO IMPORTADO</t>
  </si>
  <si>
    <t>610 BALANCE IMPORTADO</t>
  </si>
  <si>
    <t>599 AMORTIZACION PASIVOS</t>
  </si>
  <si>
    <t>ANÁLISIS DE BALANCE GENERAL PARA PRESENTACIÓN</t>
  </si>
  <si>
    <t>ANÁLISIS DE FLUJO DE EFECTIVO PARA PRESENTACIÓN</t>
  </si>
  <si>
    <t>ANALISIS GRAFICO DE COSTOS Y GASTOS</t>
  </si>
  <si>
    <t>GRAFICAS PARA PRESENTACIÓN</t>
  </si>
  <si>
    <t>ESTADO DE RESULTADOS POR MES AÑO ACTUAL</t>
  </si>
  <si>
    <t>ESTADO DE RESULTADOS POR MES PRESUPUESTO</t>
  </si>
  <si>
    <t>ESTADO DE RESULTADOS POR MES AÑO ANTERIOR</t>
  </si>
  <si>
    <t>ANÁLISIS TRIMESTRE PARA PRESENTACIÓN</t>
  </si>
  <si>
    <t>REPORTE DE VENTAS POR EMPRESA Y CENTRO DE COSTOS</t>
  </si>
  <si>
    <t>CONTROL</t>
  </si>
  <si>
    <t>DESCARGA MANUAL DE REPORTES</t>
  </si>
  <si>
    <t>AUTOMÁTICA</t>
  </si>
  <si>
    <t>CAPTURAR AMORTIZACIONES</t>
  </si>
  <si>
    <t>CONSIDERACION</t>
  </si>
  <si>
    <t>Church's</t>
  </si>
  <si>
    <t>Papa Johns</t>
  </si>
  <si>
    <t>Acumulado 2019</t>
  </si>
  <si>
    <t>Acumulado ppto 2019</t>
  </si>
  <si>
    <t>2nd Qrt</t>
  </si>
  <si>
    <t>will get new rent structure for income purposes</t>
  </si>
  <si>
    <t>1st Qrt</t>
  </si>
  <si>
    <t>909*.25%</t>
  </si>
  <si>
    <t>Proy</t>
  </si>
  <si>
    <t>Num</t>
  </si>
  <si>
    <t>EMPRESAS</t>
  </si>
  <si>
    <t>SOUTH WEN</t>
  </si>
  <si>
    <t>Compañía</t>
  </si>
  <si>
    <t>Reporte</t>
  </si>
  <si>
    <t>RENGLON</t>
  </si>
  <si>
    <t>CONCEPTO</t>
  </si>
  <si>
    <t>SI_ANO</t>
  </si>
  <si>
    <t>CAENERO</t>
  </si>
  <si>
    <t>CRENERO</t>
  </si>
  <si>
    <t>CAFEBRERO</t>
  </si>
  <si>
    <t>CRFEBRERO</t>
  </si>
  <si>
    <t>CAMARZO</t>
  </si>
  <si>
    <t>CRMARZO</t>
  </si>
  <si>
    <t>SALMARZO</t>
  </si>
  <si>
    <t>CAABRIL</t>
  </si>
  <si>
    <t>CRABRIL</t>
  </si>
  <si>
    <t>CAMAYO</t>
  </si>
  <si>
    <t>CRMAYO</t>
  </si>
  <si>
    <t>CAJUNIO</t>
  </si>
  <si>
    <t>CRJUNIO</t>
  </si>
  <si>
    <t>SALJUNIO</t>
  </si>
  <si>
    <t>CAJULIO</t>
  </si>
  <si>
    <t>CRJULIO</t>
  </si>
  <si>
    <t>CAAGOSTO</t>
  </si>
  <si>
    <t>CRAGOSTO</t>
  </si>
  <si>
    <t>CASEPTIEBRE</t>
  </si>
  <si>
    <t>CRSEPTIEMBRE</t>
  </si>
  <si>
    <t>SALSEPTIEMBRE</t>
  </si>
  <si>
    <t>CAOCTUBRE</t>
  </si>
  <si>
    <t>CROCTUBRE</t>
  </si>
  <si>
    <t>CANOVIEMBRE</t>
  </si>
  <si>
    <t>CRNOVIEMBRE</t>
  </si>
  <si>
    <t>CADICIEMBRE</t>
  </si>
  <si>
    <t>CRDICIEMBRE</t>
  </si>
  <si>
    <t>SALDICIEMBRE</t>
  </si>
  <si>
    <t>FECHA</t>
  </si>
  <si>
    <t xml:space="preserve">Intercompa?ia                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</si>
  <si>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</si>
  <si>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</si>
  <si>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</si>
  <si>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</si>
  <si>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</si>
  <si>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</si>
  <si>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>12-2019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</si>
</sst>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_(* #,##0.00_);_(* \(#,##0.00\);_(* &quot;-&quot;??_);_(@_)"/>
    <numFmt numFmtId="165" formatCode="_-* #,##0_-;\-* #,##0_-;_-* &quot;-&quot;??_-;_-@_-"/>
    <numFmt numFmtId="166" formatCode="#,##0_ ;[Red]\-#,##0\ "/>
    <numFmt numFmtId="167" formatCode="_(* #,##0_);_(* \(#,##0\);_(* &quot;-&quot;??_);_(@_)"/>
    <numFmt numFmtId="168" formatCode="0.0%;[Red]\-\%"/>
    <numFmt numFmtId="169" formatCode="#.0%;[Red]\-#.0%"/>
    <numFmt numFmtId="170" formatCode="_-* #,##0.000_-;\-* #,##0.000_-;_-* &quot;-&quot;??_-;_-@_-"/>
    <numFmt numFmtId="171" formatCode="0.0000000000000000000000E+00"/>
    <numFmt numFmtId="172" formatCode="0.0%;[Red]\-0.0%"/>
    <numFmt numFmtId="173" formatCode="#,##0.0000_ ;[Red]\-#,##0.0000\ "/>
    <numFmt numFmtId="174" formatCode="#,##0_ ;\-#,##0\ "/>
    <numFmt numFmtId="175" formatCode="#,##0.00_ ;[Red]\-#,##0.00\ "/>
    <numFmt numFmtId="176" formatCode="_-[$€-2]* #,##0.00_-;\-[$€-2]* #,##0.00_-;_-[$€-2]* &quot;-&quot;??_-"/>
    <numFmt numFmtId="177" formatCode="0.0000"/>
    <numFmt numFmtId="178" formatCode="#,##0.0_ ;[Red]\-#,##0.0\ "/>
    <numFmt numFmtId="179" formatCode="#,##0.00000_ ;[Red]\-#,##0.00000\ "/>
    <numFmt numFmtId="180" formatCode="_(* #,##0.000_);_(* \(#,##0.000\);_(* &quot;-&quot;??_);_(@_)"/>
    <numFmt numFmtId="181" formatCode="0.0%"/>
    <numFmt numFmtId="182" formatCode="mmm\ yyyy"/>
    <numFmt numFmtId="183" formatCode="#.00%;[Red]\-#.00%"/>
    <numFmt numFmtId="184" formatCode="[$-2540A]mmmm\ dd\,\ yyyy;@"/>
    <numFmt numFmtId="185" formatCode="mmmm\ yyyy"/>
    <numFmt numFmtId="186" formatCode="0%;[Red]\-#%"/>
    <numFmt numFmtId="187" formatCode="0.0%;[Red]\-#.0%"/>
    <numFmt numFmtId="188" formatCode="mmmm"/>
  </numFmts>
  <fonts count="2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u/>
      <sz val="7.5"/>
      <color indexed="12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2"/>
      <color indexed="52"/>
      <name val="Arial Black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Times New Roman"/>
      <family val="1"/>
    </font>
    <font>
      <sz val="10"/>
      <color theme="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9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0" fontId="1" fillId="0" borderId="0"/>
    <xf numFmtId="9" fontId="1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52">
    <xf numFmtId="0" fontId="0" fillId="0" borderId="0" xfId="0"/>
    <xf numFmtId="0" fontId="0" fillId="2" borderId="0" xfId="0" applyFill="1"/>
    <xf numFmtId="165" fontId="0" fillId="2" borderId="0" xfId="1" applyNumberFormat="1" applyFont="1" applyFill="1"/>
    <xf numFmtId="166" fontId="0" fillId="2" borderId="1" xfId="0" applyNumberFormat="1" applyFill="1" applyBorder="1"/>
    <xf numFmtId="166" fontId="0" fillId="2" borderId="2" xfId="0" applyNumberFormat="1" applyFill="1" applyBorder="1"/>
    <xf numFmtId="166" fontId="2" fillId="2" borderId="3" xfId="0" applyNumberFormat="1" applyFont="1" applyFill="1" applyBorder="1"/>
    <xf numFmtId="166" fontId="0" fillId="2" borderId="0" xfId="0" applyNumberFormat="1" applyFill="1"/>
    <xf numFmtId="0" fontId="2" fillId="2" borderId="0" xfId="0" applyFont="1" applyFill="1"/>
    <xf numFmtId="165" fontId="2" fillId="2" borderId="0" xfId="1" applyNumberFormat="1" applyFont="1" applyFill="1" applyAlignment="1">
      <alignment horizontal="center"/>
    </xf>
    <xf numFmtId="37" fontId="0" fillId="2" borderId="0" xfId="0" applyNumberFormat="1" applyFill="1"/>
    <xf numFmtId="37" fontId="0" fillId="2" borderId="2" xfId="0" applyNumberFormat="1" applyFill="1" applyBorder="1"/>
    <xf numFmtId="167" fontId="1" fillId="2" borderId="0" xfId="2" applyNumberFormat="1" applyFill="1"/>
    <xf numFmtId="167" fontId="2" fillId="2" borderId="0" xfId="2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67" fontId="1" fillId="2" borderId="1" xfId="2" applyNumberFormat="1" applyFill="1" applyBorder="1"/>
    <xf numFmtId="167" fontId="1" fillId="2" borderId="2" xfId="2" applyNumberFormat="1" applyFill="1" applyBorder="1"/>
    <xf numFmtId="167" fontId="2" fillId="2" borderId="1" xfId="2" applyNumberFormat="1" applyFont="1" applyFill="1" applyBorder="1"/>
    <xf numFmtId="167" fontId="2" fillId="2" borderId="2" xfId="2" applyNumberFormat="1" applyFont="1" applyFill="1" applyBorder="1"/>
    <xf numFmtId="167" fontId="1" fillId="2" borderId="4" xfId="2" applyNumberFormat="1" applyFill="1" applyBorder="1"/>
    <xf numFmtId="167" fontId="2" fillId="2" borderId="3" xfId="2" applyNumberFormat="1" applyFont="1" applyFill="1" applyBorder="1"/>
    <xf numFmtId="167" fontId="2" fillId="2" borderId="4" xfId="2" applyNumberFormat="1" applyFont="1" applyFill="1" applyBorder="1"/>
    <xf numFmtId="168" fontId="0" fillId="2" borderId="0" xfId="1" applyNumberFormat="1" applyFont="1" applyFill="1"/>
    <xf numFmtId="168" fontId="0" fillId="2" borderId="0" xfId="0" applyNumberFormat="1" applyFill="1"/>
    <xf numFmtId="168" fontId="2" fillId="2" borderId="0" xfId="1" applyNumberFormat="1" applyFont="1" applyFill="1" applyAlignment="1">
      <alignment horizontal="center"/>
    </xf>
    <xf numFmtId="168" fontId="0" fillId="2" borderId="1" xfId="6" applyNumberFormat="1" applyFont="1" applyFill="1" applyBorder="1" applyAlignment="1">
      <alignment horizontal="center"/>
    </xf>
    <xf numFmtId="168" fontId="0" fillId="2" borderId="2" xfId="6" applyNumberFormat="1" applyFont="1" applyFill="1" applyBorder="1" applyAlignment="1">
      <alignment horizontal="center"/>
    </xf>
    <xf numFmtId="168" fontId="2" fillId="2" borderId="3" xfId="6" applyNumberFormat="1" applyFont="1" applyFill="1" applyBorder="1" applyAlignment="1">
      <alignment horizontal="center"/>
    </xf>
    <xf numFmtId="168" fontId="0" fillId="2" borderId="0" xfId="6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169" fontId="0" fillId="2" borderId="2" xfId="6" applyNumberFormat="1" applyFont="1" applyFill="1" applyBorder="1" applyAlignment="1">
      <alignment horizontal="center"/>
    </xf>
    <xf numFmtId="169" fontId="2" fillId="2" borderId="3" xfId="6" applyNumberFormat="1" applyFont="1" applyFill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169" fontId="0" fillId="2" borderId="0" xfId="6" applyNumberFormat="1" applyFont="1" applyFill="1" applyAlignment="1">
      <alignment horizontal="center"/>
    </xf>
    <xf numFmtId="168" fontId="2" fillId="2" borderId="0" xfId="6" applyNumberFormat="1" applyFont="1" applyFill="1" applyAlignment="1">
      <alignment horizontal="center"/>
    </xf>
    <xf numFmtId="169" fontId="2" fillId="2" borderId="0" xfId="6" applyNumberFormat="1" applyFont="1" applyFill="1" applyAlignment="1">
      <alignment horizontal="center"/>
    </xf>
    <xf numFmtId="168" fontId="2" fillId="2" borderId="0" xfId="0" applyNumberFormat="1" applyFont="1" applyFill="1"/>
    <xf numFmtId="172" fontId="2" fillId="2" borderId="3" xfId="6" applyNumberFormat="1" applyFont="1" applyFill="1" applyBorder="1" applyAlignment="1">
      <alignment horizontal="center"/>
    </xf>
    <xf numFmtId="165" fontId="4" fillId="2" borderId="0" xfId="1" applyNumberFormat="1" applyFont="1" applyFill="1"/>
    <xf numFmtId="168" fontId="4" fillId="2" borderId="0" xfId="1" applyNumberFormat="1" applyFont="1" applyFill="1"/>
    <xf numFmtId="166" fontId="2" fillId="2" borderId="0" xfId="0" applyNumberFormat="1" applyFont="1" applyFill="1"/>
    <xf numFmtId="0" fontId="2" fillId="0" borderId="0" xfId="0" applyFont="1" applyAlignment="1">
      <alignment horizontal="center"/>
    </xf>
    <xf numFmtId="167" fontId="2" fillId="2" borderId="0" xfId="2" applyNumberFormat="1" applyFont="1" applyFill="1"/>
    <xf numFmtId="166" fontId="4" fillId="2" borderId="0" xfId="0" applyNumberFormat="1" applyFont="1" applyFill="1"/>
    <xf numFmtId="0" fontId="2" fillId="2" borderId="1" xfId="0" applyFont="1" applyFill="1" applyBorder="1"/>
    <xf numFmtId="0" fontId="0" fillId="2" borderId="2" xfId="0" applyFill="1" applyBorder="1"/>
    <xf numFmtId="0" fontId="2" fillId="2" borderId="2" xfId="0" applyFont="1" applyFill="1" applyBorder="1"/>
    <xf numFmtId="0" fontId="5" fillId="2" borderId="0" xfId="0" applyFont="1" applyFill="1"/>
    <xf numFmtId="0" fontId="6" fillId="2" borderId="0" xfId="0" applyFont="1" applyFill="1"/>
    <xf numFmtId="0" fontId="6" fillId="2" borderId="0" xfId="0" applyFont="1" applyFill="1" applyAlignment="1">
      <alignment horizontal="center"/>
    </xf>
    <xf numFmtId="166" fontId="5" fillId="2" borderId="2" xfId="0" applyNumberFormat="1" applyFont="1" applyFill="1" applyBorder="1"/>
    <xf numFmtId="166" fontId="6" fillId="2" borderId="3" xfId="0" applyNumberFormat="1" applyFont="1" applyFill="1" applyBorder="1"/>
    <xf numFmtId="166" fontId="5" fillId="2" borderId="0" xfId="0" applyNumberFormat="1" applyFont="1" applyFill="1"/>
    <xf numFmtId="166" fontId="5" fillId="2" borderId="1" xfId="0" applyNumberFormat="1" applyFont="1" applyFill="1" applyBorder="1"/>
    <xf numFmtId="166" fontId="6" fillId="2" borderId="0" xfId="0" applyNumberFormat="1" applyFont="1" applyFill="1"/>
    <xf numFmtId="166" fontId="5" fillId="2" borderId="4" xfId="0" applyNumberFormat="1" applyFont="1" applyFill="1" applyBorder="1"/>
    <xf numFmtId="166" fontId="6" fillId="2" borderId="7" xfId="0" applyNumberFormat="1" applyFont="1" applyFill="1" applyBorder="1"/>
    <xf numFmtId="166" fontId="5" fillId="2" borderId="6" xfId="0" applyNumberFormat="1" applyFont="1" applyFill="1" applyBorder="1"/>
    <xf numFmtId="166" fontId="5" fillId="2" borderId="5" xfId="0" applyNumberFormat="1" applyFont="1" applyFill="1" applyBorder="1"/>
    <xf numFmtId="166" fontId="5" fillId="2" borderId="7" xfId="0" applyNumberFormat="1" applyFont="1" applyFill="1" applyBorder="1"/>
    <xf numFmtId="166" fontId="6" fillId="2" borderId="4" xfId="0" applyNumberFormat="1" applyFont="1" applyFill="1" applyBorder="1"/>
    <xf numFmtId="170" fontId="0" fillId="2" borderId="0" xfId="1" applyNumberFormat="1" applyFont="1" applyFill="1"/>
    <xf numFmtId="174" fontId="0" fillId="2" borderId="0" xfId="0" applyNumberFormat="1" applyFill="1"/>
    <xf numFmtId="0" fontId="0" fillId="2" borderId="9" xfId="0" applyFill="1" applyBorder="1"/>
    <xf numFmtId="174" fontId="0" fillId="2" borderId="1" xfId="0" applyNumberFormat="1" applyFill="1" applyBorder="1"/>
    <xf numFmtId="174" fontId="0" fillId="2" borderId="2" xfId="0" applyNumberFormat="1" applyFill="1" applyBorder="1"/>
    <xf numFmtId="174" fontId="0" fillId="2" borderId="4" xfId="0" applyNumberFormat="1" applyFill="1" applyBorder="1"/>
    <xf numFmtId="174" fontId="2" fillId="2" borderId="0" xfId="0" applyNumberFormat="1" applyFont="1" applyFill="1"/>
    <xf numFmtId="174" fontId="2" fillId="2" borderId="7" xfId="0" applyNumberFormat="1" applyFont="1" applyFill="1" applyBorder="1"/>
    <xf numFmtId="174" fontId="0" fillId="2" borderId="6" xfId="0" applyNumberFormat="1" applyFill="1" applyBorder="1"/>
    <xf numFmtId="174" fontId="0" fillId="2" borderId="3" xfId="0" applyNumberFormat="1" applyFill="1" applyBorder="1"/>
    <xf numFmtId="0" fontId="0" fillId="2" borderId="4" xfId="0" applyFill="1" applyBorder="1"/>
    <xf numFmtId="0" fontId="7" fillId="2" borderId="0" xfId="0" applyFont="1" applyFill="1"/>
    <xf numFmtId="0" fontId="3" fillId="2" borderId="0" xfId="4" applyFill="1" applyAlignment="1" applyProtection="1"/>
    <xf numFmtId="175" fontId="2" fillId="2" borderId="0" xfId="0" applyNumberFormat="1" applyFont="1" applyFill="1"/>
    <xf numFmtId="166" fontId="1" fillId="2" borderId="0" xfId="0" applyNumberFormat="1" applyFont="1" applyFill="1"/>
    <xf numFmtId="4" fontId="0" fillId="2" borderId="0" xfId="0" applyNumberFormat="1" applyFill="1"/>
    <xf numFmtId="167" fontId="1" fillId="2" borderId="9" xfId="2" applyNumberFormat="1" applyFill="1" applyBorder="1"/>
    <xf numFmtId="0" fontId="4" fillId="2" borderId="0" xfId="0" applyFont="1" applyFill="1" applyAlignment="1">
      <alignment vertical="top" wrapText="1"/>
    </xf>
    <xf numFmtId="166" fontId="0" fillId="2" borderId="1" xfId="0" applyNumberFormat="1" applyFill="1" applyBorder="1" applyAlignment="1">
      <alignment horizontal="center"/>
    </xf>
    <xf numFmtId="166" fontId="0" fillId="2" borderId="2" xfId="0" applyNumberFormat="1" applyFill="1" applyBorder="1" applyAlignment="1">
      <alignment horizontal="center"/>
    </xf>
    <xf numFmtId="37" fontId="8" fillId="3" borderId="0" xfId="0" applyNumberFormat="1" applyFont="1" applyFill="1"/>
    <xf numFmtId="167" fontId="4" fillId="2" borderId="2" xfId="2" applyNumberFormat="1" applyFont="1" applyFill="1" applyBorder="1"/>
    <xf numFmtId="167" fontId="4" fillId="2" borderId="4" xfId="2" applyNumberFormat="1" applyFont="1" applyFill="1" applyBorder="1"/>
    <xf numFmtId="37" fontId="2" fillId="2" borderId="3" xfId="0" applyNumberFormat="1" applyFont="1" applyFill="1" applyBorder="1"/>
    <xf numFmtId="37" fontId="4" fillId="3" borderId="2" xfId="0" applyNumberFormat="1" applyFont="1" applyFill="1" applyBorder="1"/>
    <xf numFmtId="37" fontId="2" fillId="2" borderId="2" xfId="0" applyNumberFormat="1" applyFont="1" applyFill="1" applyBorder="1"/>
    <xf numFmtId="174" fontId="2" fillId="2" borderId="3" xfId="0" applyNumberFormat="1" applyFont="1" applyFill="1" applyBorder="1"/>
    <xf numFmtId="37" fontId="2" fillId="3" borderId="0" xfId="0" applyNumberFormat="1" applyFont="1" applyFill="1"/>
    <xf numFmtId="168" fontId="2" fillId="2" borderId="0" xfId="0" applyNumberFormat="1" applyFont="1" applyFill="1" applyAlignment="1">
      <alignment horizontal="center"/>
    </xf>
    <xf numFmtId="166" fontId="5" fillId="2" borderId="9" xfId="0" applyNumberFormat="1" applyFont="1" applyFill="1" applyBorder="1"/>
    <xf numFmtId="166" fontId="6" fillId="2" borderId="9" xfId="0" applyNumberFormat="1" applyFont="1" applyFill="1" applyBorder="1"/>
    <xf numFmtId="0" fontId="2" fillId="2" borderId="1" xfId="0" applyFont="1" applyFill="1" applyBorder="1" applyAlignment="1">
      <alignment horizontal="right"/>
    </xf>
    <xf numFmtId="37" fontId="0" fillId="2" borderId="2" xfId="0" applyNumberForma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37" fontId="2" fillId="2" borderId="2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0" fontId="2" fillId="2" borderId="4" xfId="0" applyFont="1" applyFill="1" applyBorder="1" applyAlignment="1">
      <alignment horizontal="right"/>
    </xf>
    <xf numFmtId="37" fontId="4" fillId="3" borderId="2" xfId="0" applyNumberFormat="1" applyFont="1" applyFill="1" applyBorder="1" applyAlignment="1">
      <alignment horizontal="right"/>
    </xf>
    <xf numFmtId="37" fontId="2" fillId="2" borderId="3" xfId="0" applyNumberFormat="1" applyFont="1" applyFill="1" applyBorder="1" applyAlignment="1">
      <alignment horizontal="right"/>
    </xf>
    <xf numFmtId="0" fontId="0" fillId="2" borderId="0" xfId="0" applyFill="1" applyAlignment="1">
      <alignment horizontal="right"/>
    </xf>
    <xf numFmtId="37" fontId="0" fillId="0" borderId="0" xfId="0" applyNumberFormat="1"/>
    <xf numFmtId="0" fontId="6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166" fontId="2" fillId="2" borderId="3" xfId="0" applyNumberFormat="1" applyFont="1" applyFill="1" applyBorder="1" applyAlignment="1">
      <alignment horizontal="center"/>
    </xf>
    <xf numFmtId="166" fontId="2" fillId="5" borderId="3" xfId="0" applyNumberFormat="1" applyFont="1" applyFill="1" applyBorder="1"/>
    <xf numFmtId="178" fontId="4" fillId="2" borderId="3" xfId="0" applyNumberFormat="1" applyFont="1" applyFill="1" applyBorder="1" applyAlignment="1">
      <alignment horizontal="center"/>
    </xf>
    <xf numFmtId="178" fontId="0" fillId="2" borderId="0" xfId="0" applyNumberFormat="1" applyFill="1"/>
    <xf numFmtId="166" fontId="0" fillId="2" borderId="5" xfId="0" applyNumberFormat="1" applyFill="1" applyBorder="1"/>
    <xf numFmtId="168" fontId="0" fillId="2" borderId="5" xfId="6" applyNumberFormat="1" applyFont="1" applyFill="1" applyBorder="1" applyAlignment="1">
      <alignment horizontal="center"/>
    </xf>
    <xf numFmtId="0" fontId="2" fillId="0" borderId="0" xfId="0" applyFont="1"/>
    <xf numFmtId="165" fontId="2" fillId="2" borderId="6" xfId="1" applyNumberFormat="1" applyFont="1" applyFill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168" fontId="1" fillId="2" borderId="6" xfId="1" applyNumberFormat="1" applyFill="1" applyBorder="1" applyAlignment="1">
      <alignment horizontal="center"/>
    </xf>
    <xf numFmtId="174" fontId="2" fillId="2" borderId="5" xfId="0" applyNumberFormat="1" applyFont="1" applyFill="1" applyBorder="1"/>
    <xf numFmtId="3" fontId="0" fillId="2" borderId="0" xfId="0" applyNumberFormat="1" applyFill="1"/>
    <xf numFmtId="0" fontId="0" fillId="4" borderId="0" xfId="0" applyFill="1"/>
    <xf numFmtId="17" fontId="1" fillId="2" borderId="0" xfId="0" quotePrefix="1" applyNumberFormat="1" applyFont="1" applyFill="1"/>
    <xf numFmtId="0" fontId="13" fillId="0" borderId="0" xfId="0" applyFont="1"/>
    <xf numFmtId="167" fontId="14" fillId="0" borderId="0" xfId="2" applyNumberFormat="1" applyFont="1"/>
    <xf numFmtId="165" fontId="13" fillId="0" borderId="0" xfId="1" applyNumberFormat="1" applyFont="1"/>
    <xf numFmtId="171" fontId="13" fillId="0" borderId="0" xfId="0" applyNumberFormat="1" applyFont="1"/>
    <xf numFmtId="0" fontId="15" fillId="0" borderId="0" xfId="0" applyFont="1"/>
    <xf numFmtId="17" fontId="15" fillId="0" borderId="0" xfId="0" applyNumberFormat="1" applyFont="1"/>
    <xf numFmtId="165" fontId="13" fillId="5" borderId="0" xfId="1" applyNumberFormat="1" applyFont="1" applyFill="1"/>
    <xf numFmtId="0" fontId="13" fillId="5" borderId="0" xfId="0" applyFont="1" applyFill="1"/>
    <xf numFmtId="0" fontId="13" fillId="2" borderId="0" xfId="0" applyFont="1" applyFill="1"/>
    <xf numFmtId="167" fontId="14" fillId="2" borderId="0" xfId="2" applyNumberFormat="1" applyFont="1" applyFill="1"/>
    <xf numFmtId="0" fontId="16" fillId="0" borderId="0" xfId="0" applyFont="1"/>
    <xf numFmtId="0" fontId="16" fillId="2" borderId="0" xfId="0" applyFont="1" applyFill="1"/>
    <xf numFmtId="168" fontId="16" fillId="2" borderId="0" xfId="1" applyNumberFormat="1" applyFont="1" applyFill="1"/>
    <xf numFmtId="168" fontId="16" fillId="2" borderId="0" xfId="0" applyNumberFormat="1" applyFont="1" applyFill="1"/>
    <xf numFmtId="0" fontId="17" fillId="0" borderId="0" xfId="0" applyFont="1"/>
    <xf numFmtId="168" fontId="17" fillId="2" borderId="0" xfId="1" applyNumberFormat="1" applyFont="1" applyFill="1" applyAlignment="1">
      <alignment horizontal="center"/>
    </xf>
    <xf numFmtId="168" fontId="18" fillId="2" borderId="6" xfId="1" applyNumberFormat="1" applyFont="1" applyFill="1" applyBorder="1" applyAlignment="1">
      <alignment horizontal="center"/>
    </xf>
    <xf numFmtId="37" fontId="16" fillId="2" borderId="0" xfId="0" applyNumberFormat="1" applyFont="1" applyFill="1"/>
    <xf numFmtId="168" fontId="16" fillId="2" borderId="2" xfId="6" applyNumberFormat="1" applyFont="1" applyFill="1" applyBorder="1" applyAlignment="1">
      <alignment horizontal="center"/>
    </xf>
    <xf numFmtId="168" fontId="17" fillId="2" borderId="3" xfId="6" applyNumberFormat="1" applyFont="1" applyFill="1" applyBorder="1" applyAlignment="1">
      <alignment horizontal="center"/>
    </xf>
    <xf numFmtId="166" fontId="16" fillId="2" borderId="0" xfId="0" applyNumberFormat="1" applyFont="1" applyFill="1"/>
    <xf numFmtId="168" fontId="16" fillId="2" borderId="0" xfId="6" applyNumberFormat="1" applyFont="1" applyFill="1" applyAlignment="1">
      <alignment horizontal="center"/>
    </xf>
    <xf numFmtId="168" fontId="16" fillId="2" borderId="1" xfId="6" applyNumberFormat="1" applyFont="1" applyFill="1" applyBorder="1" applyAlignment="1">
      <alignment horizontal="center"/>
    </xf>
    <xf numFmtId="0" fontId="17" fillId="2" borderId="0" xfId="0" applyFont="1" applyFill="1" applyAlignment="1">
      <alignment horizontal="center"/>
    </xf>
    <xf numFmtId="168" fontId="16" fillId="2" borderId="12" xfId="6" applyNumberFormat="1" applyFont="1" applyFill="1" applyBorder="1" applyAlignment="1">
      <alignment horizontal="center"/>
    </xf>
    <xf numFmtId="168" fontId="16" fillId="2" borderId="9" xfId="6" applyNumberFormat="1" applyFont="1" applyFill="1" applyBorder="1" applyAlignment="1">
      <alignment horizontal="center"/>
    </xf>
    <xf numFmtId="37" fontId="16" fillId="0" borderId="0" xfId="0" applyNumberFormat="1" applyFont="1"/>
    <xf numFmtId="168" fontId="16" fillId="2" borderId="4" xfId="6" applyNumberFormat="1" applyFont="1" applyFill="1" applyBorder="1" applyAlignment="1">
      <alignment horizontal="center"/>
    </xf>
    <xf numFmtId="169" fontId="17" fillId="2" borderId="0" xfId="6" applyNumberFormat="1" applyFont="1" applyFill="1" applyAlignment="1">
      <alignment horizontal="center"/>
    </xf>
    <xf numFmtId="169" fontId="16" fillId="2" borderId="1" xfId="6" applyNumberFormat="1" applyFont="1" applyFill="1" applyBorder="1" applyAlignment="1">
      <alignment horizontal="center"/>
    </xf>
    <xf numFmtId="169" fontId="16" fillId="2" borderId="2" xfId="6" applyNumberFormat="1" applyFont="1" applyFill="1" applyBorder="1" applyAlignment="1">
      <alignment horizontal="center"/>
    </xf>
    <xf numFmtId="169" fontId="17" fillId="2" borderId="3" xfId="6" applyNumberFormat="1" applyFont="1" applyFill="1" applyBorder="1" applyAlignment="1">
      <alignment horizontal="center"/>
    </xf>
    <xf numFmtId="169" fontId="16" fillId="2" borderId="0" xfId="6" applyNumberFormat="1" applyFont="1" applyFill="1" applyAlignment="1">
      <alignment horizontal="center"/>
    </xf>
    <xf numFmtId="169" fontId="16" fillId="2" borderId="5" xfId="6" applyNumberFormat="1" applyFont="1" applyFill="1" applyBorder="1" applyAlignment="1">
      <alignment horizontal="center"/>
    </xf>
    <xf numFmtId="166" fontId="1" fillId="2" borderId="2" xfId="0" applyNumberFormat="1" applyFont="1" applyFill="1" applyBorder="1"/>
    <xf numFmtId="168" fontId="1" fillId="2" borderId="2" xfId="6" applyNumberFormat="1" applyFill="1" applyBorder="1" applyAlignment="1">
      <alignment horizontal="center"/>
    </xf>
    <xf numFmtId="168" fontId="1" fillId="2" borderId="1" xfId="6" applyNumberFormat="1" applyFill="1" applyBorder="1" applyAlignment="1">
      <alignment horizontal="center"/>
    </xf>
    <xf numFmtId="168" fontId="1" fillId="2" borderId="0" xfId="6" applyNumberFormat="1" applyFill="1" applyAlignment="1">
      <alignment horizontal="center"/>
    </xf>
    <xf numFmtId="166" fontId="1" fillId="2" borderId="1" xfId="0" applyNumberFormat="1" applyFont="1" applyFill="1" applyBorder="1"/>
    <xf numFmtId="0" fontId="1" fillId="2" borderId="0" xfId="0" applyFont="1" applyFill="1"/>
    <xf numFmtId="168" fontId="1" fillId="2" borderId="0" xfId="0" applyNumberFormat="1" applyFont="1" applyFill="1"/>
    <xf numFmtId="0" fontId="1" fillId="0" borderId="0" xfId="0" applyFont="1"/>
    <xf numFmtId="168" fontId="1" fillId="2" borderId="12" xfId="6" applyNumberFormat="1" applyFill="1" applyBorder="1" applyAlignment="1">
      <alignment horizontal="center"/>
    </xf>
    <xf numFmtId="168" fontId="1" fillId="2" borderId="9" xfId="6" applyNumberFormat="1" applyFill="1" applyBorder="1" applyAlignment="1">
      <alignment horizontal="center"/>
    </xf>
    <xf numFmtId="168" fontId="1" fillId="2" borderId="4" xfId="6" applyNumberFormat="1" applyFill="1" applyBorder="1" applyAlignment="1">
      <alignment horizontal="center"/>
    </xf>
    <xf numFmtId="169" fontId="1" fillId="2" borderId="1" xfId="6" applyNumberFormat="1" applyFill="1" applyBorder="1" applyAlignment="1">
      <alignment horizontal="center"/>
    </xf>
    <xf numFmtId="169" fontId="1" fillId="2" borderId="2" xfId="6" applyNumberFormat="1" applyFill="1" applyBorder="1" applyAlignment="1">
      <alignment horizontal="center"/>
    </xf>
    <xf numFmtId="169" fontId="1" fillId="2" borderId="0" xfId="6" applyNumberFormat="1" applyFill="1" applyAlignment="1">
      <alignment horizontal="center"/>
    </xf>
    <xf numFmtId="169" fontId="1" fillId="2" borderId="5" xfId="6" applyNumberFormat="1" applyFill="1" applyBorder="1" applyAlignment="1">
      <alignment horizontal="center"/>
    </xf>
    <xf numFmtId="166" fontId="1" fillId="2" borderId="5" xfId="0" applyNumberFormat="1" applyFont="1" applyFill="1" applyBorder="1"/>
    <xf numFmtId="0" fontId="2" fillId="2" borderId="0" xfId="6" applyNumberFormat="1" applyFont="1" applyFill="1" applyAlignment="1">
      <alignment horizontal="center"/>
    </xf>
    <xf numFmtId="166" fontId="1" fillId="2" borderId="2" xfId="6" applyNumberFormat="1" applyFill="1" applyBorder="1" applyAlignment="1">
      <alignment horizontal="center"/>
    </xf>
    <xf numFmtId="0" fontId="2" fillId="5" borderId="0" xfId="0" applyFont="1" applyFill="1"/>
    <xf numFmtId="167" fontId="1" fillId="2" borderId="0" xfId="1" applyNumberFormat="1" applyFill="1"/>
    <xf numFmtId="0" fontId="0" fillId="5" borderId="0" xfId="0" applyFill="1" applyAlignment="1">
      <alignment horizontal="center"/>
    </xf>
    <xf numFmtId="0" fontId="0" fillId="5" borderId="0" xfId="0" applyFill="1"/>
    <xf numFmtId="168" fontId="0" fillId="5" borderId="2" xfId="6" applyNumberFormat="1" applyFont="1" applyFill="1" applyBorder="1" applyAlignment="1">
      <alignment horizontal="center"/>
    </xf>
    <xf numFmtId="169" fontId="0" fillId="5" borderId="2" xfId="6" applyNumberFormat="1" applyFont="1" applyFill="1" applyBorder="1" applyAlignment="1">
      <alignment horizontal="center"/>
    </xf>
    <xf numFmtId="168" fontId="2" fillId="5" borderId="3" xfId="6" applyNumberFormat="1" applyFont="1" applyFill="1" applyBorder="1" applyAlignment="1">
      <alignment horizontal="center"/>
    </xf>
    <xf numFmtId="169" fontId="2" fillId="5" borderId="3" xfId="6" applyNumberFormat="1" applyFont="1" applyFill="1" applyBorder="1" applyAlignment="1">
      <alignment horizontal="center"/>
    </xf>
    <xf numFmtId="168" fontId="0" fillId="5" borderId="0" xfId="6" applyNumberFormat="1" applyFont="1" applyFill="1" applyAlignment="1">
      <alignment horizontal="center"/>
    </xf>
    <xf numFmtId="169" fontId="0" fillId="5" borderId="0" xfId="6" applyNumberFormat="1" applyFont="1" applyFill="1" applyAlignment="1">
      <alignment horizontal="center"/>
    </xf>
    <xf numFmtId="168" fontId="0" fillId="5" borderId="1" xfId="6" applyNumberFormat="1" applyFont="1" applyFill="1" applyBorder="1" applyAlignment="1">
      <alignment horizontal="center"/>
    </xf>
    <xf numFmtId="169" fontId="0" fillId="5" borderId="1" xfId="6" applyNumberFormat="1" applyFont="1" applyFill="1" applyBorder="1" applyAlignment="1">
      <alignment horizontal="center"/>
    </xf>
    <xf numFmtId="169" fontId="0" fillId="5" borderId="4" xfId="6" applyNumberFormat="1" applyFont="1" applyFill="1" applyBorder="1" applyAlignment="1">
      <alignment horizontal="center"/>
    </xf>
    <xf numFmtId="169" fontId="0" fillId="5" borderId="5" xfId="6" applyNumberFormat="1" applyFont="1" applyFill="1" applyBorder="1" applyAlignment="1">
      <alignment horizontal="center"/>
    </xf>
    <xf numFmtId="167" fontId="2" fillId="0" borderId="0" xfId="2" applyNumberFormat="1" applyFont="1" applyAlignment="1">
      <alignment horizontal="center"/>
    </xf>
    <xf numFmtId="9" fontId="1" fillId="0" borderId="0" xfId="6" applyAlignment="1">
      <alignment horizontal="center"/>
    </xf>
    <xf numFmtId="9" fontId="1" fillId="0" borderId="4" xfId="6" applyBorder="1" applyAlignment="1">
      <alignment horizontal="center"/>
    </xf>
    <xf numFmtId="177" fontId="2" fillId="0" borderId="0" xfId="12" applyNumberFormat="1" applyFont="1"/>
    <xf numFmtId="0" fontId="6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166" fontId="5" fillId="0" borderId="3" xfId="0" applyNumberFormat="1" applyFont="1" applyBorder="1"/>
    <xf numFmtId="166" fontId="5" fillId="0" borderId="2" xfId="0" applyNumberFormat="1" applyFont="1" applyBorder="1"/>
    <xf numFmtId="166" fontId="5" fillId="0" borderId="14" xfId="0" applyNumberFormat="1" applyFont="1" applyBorder="1"/>
    <xf numFmtId="166" fontId="6" fillId="0" borderId="3" xfId="0" applyNumberFormat="1" applyFont="1" applyBorder="1"/>
    <xf numFmtId="166" fontId="6" fillId="0" borderId="2" xfId="0" applyNumberFormat="1" applyFont="1" applyBorder="1"/>
    <xf numFmtId="166" fontId="5" fillId="0" borderId="0" xfId="0" applyNumberFormat="1" applyFont="1"/>
    <xf numFmtId="166" fontId="5" fillId="0" borderId="1" xfId="0" applyNumberFormat="1" applyFont="1" applyBorder="1"/>
    <xf numFmtId="166" fontId="5" fillId="0" borderId="8" xfId="0" applyNumberFormat="1" applyFont="1" applyBorder="1"/>
    <xf numFmtId="166" fontId="6" fillId="0" borderId="8" xfId="0" applyNumberFormat="1" applyFont="1" applyBorder="1"/>
    <xf numFmtId="166" fontId="6" fillId="0" borderId="0" xfId="0" applyNumberFormat="1" applyFont="1"/>
    <xf numFmtId="166" fontId="6" fillId="0" borderId="7" xfId="0" applyNumberFormat="1" applyFont="1" applyBorder="1"/>
    <xf numFmtId="166" fontId="5" fillId="0" borderId="6" xfId="0" applyNumberFormat="1" applyFont="1" applyBorder="1"/>
    <xf numFmtId="166" fontId="5" fillId="0" borderId="5" xfId="0" applyNumberFormat="1" applyFont="1" applyBorder="1"/>
    <xf numFmtId="166" fontId="5" fillId="0" borderId="7" xfId="0" applyNumberFormat="1" applyFont="1" applyBorder="1"/>
    <xf numFmtId="166" fontId="6" fillId="0" borderId="4" xfId="0" applyNumberFormat="1" applyFont="1" applyBorder="1"/>
    <xf numFmtId="166" fontId="0" fillId="0" borderId="0" xfId="0" applyNumberFormat="1"/>
    <xf numFmtId="170" fontId="1" fillId="0" borderId="0" xfId="1" applyNumberFormat="1"/>
    <xf numFmtId="173" fontId="0" fillId="0" borderId="0" xfId="0" applyNumberFormat="1"/>
    <xf numFmtId="165" fontId="1" fillId="0" borderId="0" xfId="1" applyNumberFormat="1"/>
    <xf numFmtId="167" fontId="0" fillId="0" borderId="0" xfId="1" applyNumberFormat="1" applyFont="1"/>
    <xf numFmtId="166" fontId="1" fillId="0" borderId="0" xfId="0" applyNumberFormat="1" applyFont="1"/>
    <xf numFmtId="165" fontId="0" fillId="0" borderId="0" xfId="0" applyNumberFormat="1"/>
    <xf numFmtId="179" fontId="0" fillId="0" borderId="0" xfId="0" applyNumberFormat="1"/>
    <xf numFmtId="180" fontId="0" fillId="0" borderId="0" xfId="1" applyNumberFormat="1" applyFont="1"/>
    <xf numFmtId="165" fontId="1" fillId="0" borderId="2" xfId="19" applyNumberFormat="1" applyBorder="1"/>
    <xf numFmtId="165" fontId="1" fillId="0" borderId="4" xfId="19" applyNumberFormat="1" applyBorder="1"/>
    <xf numFmtId="0" fontId="1" fillId="0" borderId="0" xfId="12"/>
    <xf numFmtId="165" fontId="1" fillId="0" borderId="0" xfId="19" applyNumberFormat="1"/>
    <xf numFmtId="0" fontId="2" fillId="0" borderId="0" xfId="12" applyFont="1"/>
    <xf numFmtId="180" fontId="21" fillId="0" borderId="0" xfId="12" applyNumberFormat="1" applyFont="1"/>
    <xf numFmtId="180" fontId="21" fillId="0" borderId="0" xfId="19" applyNumberFormat="1" applyFont="1"/>
    <xf numFmtId="0" fontId="2" fillId="0" borderId="0" xfId="12" applyFont="1" applyAlignment="1">
      <alignment horizontal="center"/>
    </xf>
    <xf numFmtId="165" fontId="1" fillId="0" borderId="1" xfId="19" applyNumberFormat="1" applyBorder="1"/>
    <xf numFmtId="9" fontId="1" fillId="0" borderId="1" xfId="6" applyBorder="1" applyAlignment="1">
      <alignment horizontal="center"/>
    </xf>
    <xf numFmtId="164" fontId="1" fillId="0" borderId="0" xfId="12" applyNumberFormat="1"/>
    <xf numFmtId="165" fontId="2" fillId="0" borderId="0" xfId="19" applyNumberFormat="1" applyFont="1"/>
    <xf numFmtId="0" fontId="1" fillId="0" borderId="0" xfId="12" applyAlignment="1">
      <alignment horizontal="center"/>
    </xf>
    <xf numFmtId="9" fontId="1" fillId="0" borderId="0" xfId="6"/>
    <xf numFmtId="0" fontId="12" fillId="0" borderId="0" xfId="12" applyFont="1"/>
    <xf numFmtId="0" fontId="8" fillId="0" borderId="0" xfId="12" applyFont="1"/>
    <xf numFmtId="181" fontId="1" fillId="0" borderId="1" xfId="6" applyNumberFormat="1" applyBorder="1"/>
    <xf numFmtId="165" fontId="1" fillId="0" borderId="0" xfId="18" applyNumberFormat="1"/>
    <xf numFmtId="181" fontId="1" fillId="0" borderId="3" xfId="6" applyNumberFormat="1" applyBorder="1"/>
    <xf numFmtId="165" fontId="2" fillId="0" borderId="0" xfId="18" applyNumberFormat="1" applyFont="1"/>
    <xf numFmtId="0" fontId="0" fillId="7" borderId="0" xfId="0" applyFill="1"/>
    <xf numFmtId="0" fontId="22" fillId="7" borderId="0" xfId="0" applyFont="1" applyFill="1" applyAlignment="1">
      <alignment horizontal="center"/>
    </xf>
    <xf numFmtId="164" fontId="0" fillId="0" borderId="0" xfId="0" applyNumberFormat="1"/>
    <xf numFmtId="18" fontId="0" fillId="0" borderId="0" xfId="0" applyNumberFormat="1"/>
    <xf numFmtId="22" fontId="0" fillId="0" borderId="0" xfId="0" applyNumberFormat="1"/>
    <xf numFmtId="0" fontId="0" fillId="0" borderId="6" xfId="0" applyBorder="1"/>
    <xf numFmtId="0" fontId="0" fillId="0" borderId="9" xfId="0" applyBorder="1"/>
    <xf numFmtId="0" fontId="0" fillId="0" borderId="13" xfId="0" applyBorder="1"/>
    <xf numFmtId="0" fontId="2" fillId="0" borderId="9" xfId="0" applyFont="1" applyBorder="1"/>
    <xf numFmtId="0" fontId="23" fillId="0" borderId="9" xfId="0" applyFont="1" applyBorder="1"/>
    <xf numFmtId="14" fontId="0" fillId="6" borderId="3" xfId="0" applyNumberFormat="1" applyFill="1" applyBorder="1"/>
    <xf numFmtId="0" fontId="0" fillId="0" borderId="0" xfId="0" applyAlignment="1">
      <alignment vertical="center"/>
    </xf>
    <xf numFmtId="0" fontId="17" fillId="6" borderId="0" xfId="0" applyFont="1" applyFill="1" applyAlignment="1">
      <alignment horizontal="center"/>
    </xf>
    <xf numFmtId="0" fontId="17" fillId="6" borderId="0" xfId="0" applyFont="1" applyFill="1"/>
    <xf numFmtId="0" fontId="2" fillId="6" borderId="0" xfId="0" applyFont="1" applyFill="1" applyAlignment="1">
      <alignment horizontal="center"/>
    </xf>
    <xf numFmtId="167" fontId="2" fillId="0" borderId="0" xfId="2" applyNumberFormat="1" applyFont="1"/>
    <xf numFmtId="0" fontId="1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167" fontId="14" fillId="0" borderId="0" xfId="2" applyNumberFormat="1" applyFont="1" applyAlignment="1">
      <alignment horizontal="left"/>
    </xf>
    <xf numFmtId="165" fontId="13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/>
    </xf>
    <xf numFmtId="166" fontId="0" fillId="2" borderId="0" xfId="0" applyNumberFormat="1" applyFill="1" applyAlignment="1">
      <alignment horizontal="left"/>
    </xf>
    <xf numFmtId="0" fontId="23" fillId="0" borderId="0" xfId="12" applyFont="1"/>
    <xf numFmtId="0" fontId="24" fillId="0" borderId="0" xfId="12" applyFont="1"/>
    <xf numFmtId="0" fontId="22" fillId="0" borderId="0" xfId="0" applyFont="1"/>
    <xf numFmtId="167" fontId="2" fillId="0" borderId="0" xfId="1" applyNumberFormat="1" applyFont="1"/>
    <xf numFmtId="0" fontId="2" fillId="0" borderId="3" xfId="0" applyFont="1" applyBorder="1" applyAlignment="1">
      <alignment horizontal="center"/>
    </xf>
    <xf numFmtId="0" fontId="25" fillId="7" borderId="3" xfId="0" applyFont="1" applyFill="1" applyBorder="1" applyAlignment="1">
      <alignment horizontal="center"/>
    </xf>
    <xf numFmtId="0" fontId="26" fillId="0" borderId="0" xfId="0" applyFont="1" applyAlignment="1">
      <alignment horizontal="center"/>
    </xf>
    <xf numFmtId="182" fontId="25" fillId="7" borderId="3" xfId="0" applyNumberFormat="1" applyFont="1" applyFill="1" applyBorder="1" applyAlignment="1">
      <alignment horizontal="center"/>
    </xf>
    <xf numFmtId="0" fontId="2" fillId="8" borderId="0" xfId="0" applyFont="1" applyFill="1"/>
    <xf numFmtId="167" fontId="0" fillId="0" borderId="3" xfId="1" applyNumberFormat="1" applyFont="1" applyBorder="1"/>
    <xf numFmtId="167" fontId="2" fillId="0" borderId="3" xfId="1" applyNumberFormat="1" applyFont="1" applyBorder="1"/>
    <xf numFmtId="167" fontId="2" fillId="0" borderId="3" xfId="1" applyNumberFormat="1" applyFont="1" applyBorder="1" applyAlignment="1">
      <alignment horizontal="center"/>
    </xf>
    <xf numFmtId="0" fontId="1" fillId="2" borderId="0" xfId="12" applyFill="1"/>
    <xf numFmtId="168" fontId="1" fillId="2" borderId="0" xfId="1" applyNumberFormat="1" applyFill="1"/>
    <xf numFmtId="168" fontId="1" fillId="2" borderId="0" xfId="12" applyNumberFormat="1" applyFill="1"/>
    <xf numFmtId="0" fontId="2" fillId="6" borderId="0" xfId="12" applyFont="1" applyFill="1" applyAlignment="1">
      <alignment horizontal="center"/>
    </xf>
    <xf numFmtId="37" fontId="1" fillId="2" borderId="0" xfId="12" applyNumberFormat="1" applyFill="1"/>
    <xf numFmtId="37" fontId="1" fillId="0" borderId="0" xfId="12" applyNumberFormat="1"/>
    <xf numFmtId="166" fontId="1" fillId="2" borderId="0" xfId="12" applyNumberFormat="1" applyFill="1"/>
    <xf numFmtId="0" fontId="2" fillId="6" borderId="0" xfId="12" applyFont="1" applyFill="1"/>
    <xf numFmtId="37" fontId="8" fillId="3" borderId="0" xfId="12" applyNumberFormat="1" applyFont="1" applyFill="1"/>
    <xf numFmtId="0" fontId="2" fillId="2" borderId="0" xfId="12" applyFont="1" applyFill="1" applyAlignment="1">
      <alignment horizontal="center"/>
    </xf>
    <xf numFmtId="0" fontId="13" fillId="5" borderId="13" xfId="0" applyFont="1" applyFill="1" applyBorder="1"/>
    <xf numFmtId="0" fontId="13" fillId="5" borderId="6" xfId="0" applyFont="1" applyFill="1" applyBorder="1"/>
    <xf numFmtId="167" fontId="14" fillId="5" borderId="6" xfId="2" applyNumberFormat="1" applyFont="1" applyFill="1" applyBorder="1"/>
    <xf numFmtId="167" fontId="14" fillId="5" borderId="11" xfId="2" applyNumberFormat="1" applyFont="1" applyFill="1" applyBorder="1"/>
    <xf numFmtId="183" fontId="2" fillId="0" borderId="0" xfId="6" applyNumberFormat="1" applyFont="1"/>
    <xf numFmtId="14" fontId="22" fillId="9" borderId="3" xfId="0" applyNumberFormat="1" applyFont="1" applyFill="1" applyBorder="1"/>
    <xf numFmtId="0" fontId="0" fillId="0" borderId="0" xfId="0"/>
    <xf numFmtId="0" fontId="0" fillId="5" borderId="0" xfId="0" applyFill="1" applyAlignment="1">
      <alignment horizontal="center"/>
    </xf>
    <xf numFmtId="0" fontId="0" fillId="0" borderId="0" xfId="0"/>
    <xf numFmtId="0" fontId="0" fillId="10" borderId="9" xfId="0" applyFill="1" applyBorder="1"/>
    <xf numFmtId="0" fontId="0" fillId="10" borderId="0" xfId="0" applyFill="1" applyBorder="1"/>
    <xf numFmtId="3" fontId="0" fillId="10" borderId="0" xfId="0" applyNumberFormat="1" applyFill="1" applyBorder="1"/>
    <xf numFmtId="3" fontId="0" fillId="10" borderId="8" xfId="0" applyNumberFormat="1" applyFill="1" applyBorder="1"/>
    <xf numFmtId="0" fontId="0" fillId="10" borderId="13" xfId="0" applyFill="1" applyBorder="1"/>
    <xf numFmtId="0" fontId="0" fillId="10" borderId="6" xfId="0" applyFill="1" applyBorder="1"/>
    <xf numFmtId="3" fontId="0" fillId="10" borderId="6" xfId="0" applyNumberFormat="1" applyFill="1" applyBorder="1"/>
    <xf numFmtId="3" fontId="0" fillId="10" borderId="11" xfId="0" applyNumberFormat="1" applyFill="1" applyBorder="1"/>
    <xf numFmtId="0" fontId="2" fillId="11" borderId="12" xfId="0" applyFont="1" applyFill="1" applyBorder="1"/>
    <xf numFmtId="0" fontId="2" fillId="11" borderId="7" xfId="0" applyFont="1" applyFill="1" applyBorder="1"/>
    <xf numFmtId="0" fontId="2" fillId="11" borderId="10" xfId="0" applyFont="1" applyFill="1" applyBorder="1"/>
    <xf numFmtId="0" fontId="2" fillId="11" borderId="9" xfId="0" applyFont="1" applyFill="1" applyBorder="1"/>
    <xf numFmtId="0" fontId="2" fillId="11" borderId="0" xfId="0" applyFont="1" applyFill="1" applyBorder="1"/>
    <xf numFmtId="0" fontId="2" fillId="11" borderId="8" xfId="0" applyFont="1" applyFill="1" applyBorder="1"/>
    <xf numFmtId="0" fontId="2" fillId="11" borderId="13" xfId="0" applyFont="1" applyFill="1" applyBorder="1"/>
    <xf numFmtId="0" fontId="2" fillId="11" borderId="6" xfId="0" applyFont="1" applyFill="1" applyBorder="1"/>
    <xf numFmtId="0" fontId="2" fillId="11" borderId="11" xfId="0" applyFont="1" applyFill="1" applyBorder="1"/>
    <xf numFmtId="0" fontId="0" fillId="0" borderId="0" xfId="0"/>
    <xf numFmtId="0" fontId="2" fillId="6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166" fontId="0" fillId="0" borderId="2" xfId="0" applyNumberFormat="1" applyFill="1" applyBorder="1"/>
    <xf numFmtId="0" fontId="1" fillId="0" borderId="0" xfId="12" applyFill="1"/>
    <xf numFmtId="174" fontId="1" fillId="0" borderId="0" xfId="12" applyNumberFormat="1" applyFill="1"/>
    <xf numFmtId="185" fontId="1" fillId="0" borderId="0" xfId="12" applyNumberFormat="1" applyFill="1"/>
    <xf numFmtId="0" fontId="2" fillId="0" borderId="0" xfId="12" applyFont="1" applyFill="1"/>
    <xf numFmtId="0" fontId="1" fillId="0" borderId="0" xfId="12" applyFont="1" applyFill="1"/>
    <xf numFmtId="186" fontId="1" fillId="0" borderId="0" xfId="12" applyNumberFormat="1" applyFont="1" applyFill="1"/>
    <xf numFmtId="186" fontId="1" fillId="0" borderId="0" xfId="12" applyNumberFormat="1" applyFont="1" applyFill="1" applyAlignment="1">
      <alignment horizontal="center"/>
    </xf>
    <xf numFmtId="0" fontId="1" fillId="0" borderId="0" xfId="12" applyFont="1" applyFill="1" applyAlignment="1">
      <alignment horizontal="left"/>
    </xf>
    <xf numFmtId="174" fontId="1" fillId="0" borderId="12" xfId="12" applyNumberFormat="1" applyFont="1" applyFill="1" applyBorder="1"/>
    <xf numFmtId="186" fontId="1" fillId="0" borderId="1" xfId="12" applyNumberFormat="1" applyFont="1" applyFill="1" applyBorder="1" applyAlignment="1">
      <alignment horizontal="right"/>
    </xf>
    <xf numFmtId="166" fontId="1" fillId="0" borderId="1" xfId="12" applyNumberFormat="1" applyFont="1" applyFill="1" applyBorder="1"/>
    <xf numFmtId="187" fontId="1" fillId="0" borderId="1" xfId="6" applyNumberFormat="1" applyFont="1" applyFill="1" applyBorder="1" applyAlignment="1">
      <alignment horizontal="center"/>
    </xf>
    <xf numFmtId="166" fontId="1" fillId="0" borderId="12" xfId="12" applyNumberFormat="1" applyFont="1" applyFill="1" applyBorder="1"/>
    <xf numFmtId="166" fontId="1" fillId="0" borderId="9" xfId="12" applyNumberFormat="1" applyFont="1" applyFill="1" applyBorder="1"/>
    <xf numFmtId="186" fontId="1" fillId="0" borderId="4" xfId="12" applyNumberFormat="1" applyFont="1" applyFill="1" applyBorder="1" applyAlignment="1">
      <alignment horizontal="right"/>
    </xf>
    <xf numFmtId="166" fontId="1" fillId="0" borderId="2" xfId="12" applyNumberFormat="1" applyFont="1" applyFill="1" applyBorder="1"/>
    <xf numFmtId="187" fontId="1" fillId="0" borderId="2" xfId="6" applyNumberFormat="1" applyFont="1" applyFill="1" applyBorder="1" applyAlignment="1">
      <alignment horizontal="center"/>
    </xf>
    <xf numFmtId="0" fontId="2" fillId="0" borderId="0" xfId="12" applyFont="1" applyFill="1" applyAlignment="1">
      <alignment horizontal="left"/>
    </xf>
    <xf numFmtId="174" fontId="2" fillId="0" borderId="14" xfId="12" applyNumberFormat="1" applyFont="1" applyFill="1" applyBorder="1"/>
    <xf numFmtId="186" fontId="2" fillId="0" borderId="3" xfId="12" applyNumberFormat="1" applyFont="1" applyFill="1" applyBorder="1" applyAlignment="1">
      <alignment horizontal="right"/>
    </xf>
    <xf numFmtId="166" fontId="2" fillId="0" borderId="3" xfId="12" applyNumberFormat="1" applyFont="1" applyFill="1" applyBorder="1"/>
    <xf numFmtId="187" fontId="2" fillId="0" borderId="3" xfId="6" applyNumberFormat="1" applyFont="1" applyFill="1" applyBorder="1" applyAlignment="1">
      <alignment horizontal="center"/>
    </xf>
    <xf numFmtId="166" fontId="2" fillId="0" borderId="14" xfId="12" applyNumberFormat="1" applyFont="1" applyFill="1" applyBorder="1"/>
    <xf numFmtId="166" fontId="1" fillId="0" borderId="0" xfId="12" applyNumberFormat="1" applyFont="1" applyFill="1"/>
    <xf numFmtId="186" fontId="1" fillId="0" borderId="0" xfId="12" applyNumberFormat="1" applyFont="1" applyFill="1" applyBorder="1" applyAlignment="1">
      <alignment horizontal="right"/>
    </xf>
    <xf numFmtId="187" fontId="1" fillId="0" borderId="0" xfId="6" applyNumberFormat="1" applyFont="1" applyFill="1" applyAlignment="1">
      <alignment horizontal="center"/>
    </xf>
    <xf numFmtId="186" fontId="1" fillId="0" borderId="2" xfId="12" applyNumberFormat="1" applyFont="1" applyFill="1" applyBorder="1" applyAlignment="1">
      <alignment horizontal="right"/>
    </xf>
    <xf numFmtId="166" fontId="1" fillId="0" borderId="13" xfId="12" applyNumberFormat="1" applyFont="1" applyFill="1" applyBorder="1"/>
    <xf numFmtId="186" fontId="1" fillId="0" borderId="12" xfId="12" applyNumberFormat="1" applyFont="1" applyFill="1" applyBorder="1" applyAlignment="1">
      <alignment horizontal="right"/>
    </xf>
    <xf numFmtId="186" fontId="1" fillId="0" borderId="9" xfId="12" applyNumberFormat="1" applyFont="1" applyFill="1" applyBorder="1" applyAlignment="1">
      <alignment horizontal="right"/>
    </xf>
    <xf numFmtId="186" fontId="1" fillId="0" borderId="13" xfId="12" applyNumberFormat="1" applyFont="1" applyFill="1" applyBorder="1" applyAlignment="1">
      <alignment horizontal="right"/>
    </xf>
    <xf numFmtId="169" fontId="0" fillId="0" borderId="0" xfId="1" applyNumberFormat="1" applyFont="1" applyFill="1"/>
    <xf numFmtId="0" fontId="0" fillId="0" borderId="0" xfId="0" applyFill="1"/>
    <xf numFmtId="169" fontId="0" fillId="0" borderId="0" xfId="0" applyNumberFormat="1" applyFill="1"/>
    <xf numFmtId="0" fontId="2" fillId="0" borderId="0" xfId="0" applyFont="1" applyFill="1" applyAlignment="1">
      <alignment horizontal="center"/>
    </xf>
    <xf numFmtId="17" fontId="2" fillId="0" borderId="0" xfId="0" quotePrefix="1" applyNumberFormat="1" applyFont="1" applyFill="1" applyAlignment="1">
      <alignment horizontal="center"/>
    </xf>
    <xf numFmtId="169" fontId="0" fillId="0" borderId="0" xfId="0" applyNumberFormat="1" applyFill="1" applyAlignment="1">
      <alignment horizontal="center"/>
    </xf>
    <xf numFmtId="169" fontId="0" fillId="0" borderId="0" xfId="6" applyNumberFormat="1" applyFont="1" applyFill="1" applyAlignment="1">
      <alignment horizontal="center"/>
    </xf>
    <xf numFmtId="169" fontId="0" fillId="0" borderId="0" xfId="6" applyNumberFormat="1" applyFont="1" applyFill="1" applyBorder="1" applyAlignment="1">
      <alignment horizontal="center"/>
    </xf>
    <xf numFmtId="169" fontId="2" fillId="0" borderId="0" xfId="6" applyNumberFormat="1" applyFont="1" applyFill="1" applyBorder="1" applyAlignment="1">
      <alignment horizontal="center"/>
    </xf>
    <xf numFmtId="169" fontId="2" fillId="0" borderId="0" xfId="6" applyNumberFormat="1" applyFont="1" applyFill="1" applyBorder="1" applyAlignment="1">
      <alignment horizontal="center" vertical="center"/>
    </xf>
    <xf numFmtId="169" fontId="2" fillId="0" borderId="0" xfId="6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/>
    <xf numFmtId="169" fontId="17" fillId="2" borderId="1" xfId="6" applyNumberFormat="1" applyFont="1" applyFill="1" applyBorder="1" applyAlignment="1">
      <alignment horizontal="center"/>
    </xf>
    <xf numFmtId="169" fontId="17" fillId="2" borderId="4" xfId="6" applyNumberFormat="1" applyFont="1" applyFill="1" applyBorder="1" applyAlignment="1">
      <alignment horizontal="center"/>
    </xf>
    <xf numFmtId="186" fontId="2" fillId="0" borderId="1" xfId="12" applyNumberFormat="1" applyFont="1" applyFill="1" applyBorder="1" applyAlignment="1">
      <alignment horizontal="right"/>
    </xf>
    <xf numFmtId="166" fontId="2" fillId="0" borderId="1" xfId="12" applyNumberFormat="1" applyFont="1" applyFill="1" applyBorder="1"/>
    <xf numFmtId="187" fontId="2" fillId="0" borderId="1" xfId="6" applyNumberFormat="1" applyFont="1" applyFill="1" applyBorder="1" applyAlignment="1">
      <alignment horizontal="center"/>
    </xf>
    <xf numFmtId="166" fontId="2" fillId="0" borderId="12" xfId="12" applyNumberFormat="1" applyFont="1" applyFill="1" applyBorder="1"/>
    <xf numFmtId="186" fontId="2" fillId="0" borderId="4" xfId="12" applyNumberFormat="1" applyFont="1" applyFill="1" applyBorder="1" applyAlignment="1">
      <alignment horizontal="right"/>
    </xf>
    <xf numFmtId="166" fontId="2" fillId="0" borderId="4" xfId="12" applyNumberFormat="1" applyFont="1" applyFill="1" applyBorder="1"/>
    <xf numFmtId="187" fontId="2" fillId="0" borderId="4" xfId="6" applyNumberFormat="1" applyFont="1" applyFill="1" applyBorder="1" applyAlignment="1">
      <alignment horizontal="center"/>
    </xf>
    <xf numFmtId="166" fontId="2" fillId="0" borderId="13" xfId="12" applyNumberFormat="1" applyFont="1" applyFill="1" applyBorder="1"/>
    <xf numFmtId="166" fontId="1" fillId="0" borderId="7" xfId="12" applyNumberFormat="1" applyFont="1" applyFill="1" applyBorder="1"/>
    <xf numFmtId="166" fontId="1" fillId="0" borderId="6" xfId="12" applyNumberFormat="1" applyFont="1" applyFill="1" applyBorder="1"/>
    <xf numFmtId="187" fontId="1" fillId="0" borderId="4" xfId="6" applyNumberFormat="1" applyFont="1" applyFill="1" applyBorder="1" applyAlignment="1">
      <alignment horizontal="center"/>
    </xf>
    <xf numFmtId="166" fontId="0" fillId="0" borderId="12" xfId="0" applyNumberFormat="1" applyFill="1" applyBorder="1"/>
    <xf numFmtId="0" fontId="0" fillId="10" borderId="12" xfId="0" applyFill="1" applyBorder="1"/>
    <xf numFmtId="0" fontId="0" fillId="10" borderId="7" xfId="0" applyFill="1" applyBorder="1"/>
    <xf numFmtId="3" fontId="0" fillId="10" borderId="7" xfId="0" applyNumberFormat="1" applyFill="1" applyBorder="1"/>
    <xf numFmtId="3" fontId="0" fillId="10" borderId="10" xfId="0" applyNumberFormat="1" applyFill="1" applyBorder="1"/>
    <xf numFmtId="0" fontId="0" fillId="0" borderId="0" xfId="0"/>
    <xf numFmtId="0" fontId="0" fillId="0" borderId="0" xfId="0"/>
    <xf numFmtId="3" fontId="0" fillId="0" borderId="0" xfId="0" applyNumberFormat="1"/>
    <xf numFmtId="166" fontId="2" fillId="0" borderId="3" xfId="0" applyNumberFormat="1" applyFont="1" applyFill="1" applyBorder="1"/>
    <xf numFmtId="0" fontId="2" fillId="2" borderId="0" xfId="0" applyFont="1" applyFill="1" applyAlignment="1">
      <alignment horizontal="center"/>
    </xf>
    <xf numFmtId="164" fontId="1" fillId="0" borderId="2" xfId="1" applyBorder="1"/>
    <xf numFmtId="9" fontId="1" fillId="0" borderId="0" xfId="6" applyBorder="1" applyAlignment="1">
      <alignment horizontal="center"/>
    </xf>
    <xf numFmtId="164" fontId="1" fillId="0" borderId="4" xfId="1" applyBorder="1"/>
    <xf numFmtId="0" fontId="2" fillId="4" borderId="0" xfId="12" applyFont="1" applyFill="1"/>
    <xf numFmtId="166" fontId="1" fillId="0" borderId="5" xfId="12" applyNumberFormat="1" applyFont="1" applyFill="1" applyBorder="1"/>
    <xf numFmtId="186" fontId="1" fillId="0" borderId="5" xfId="12" applyNumberFormat="1" applyFont="1" applyFill="1" applyBorder="1" applyAlignment="1">
      <alignment horizontal="right"/>
    </xf>
    <xf numFmtId="187" fontId="1" fillId="0" borderId="5" xfId="6" applyNumberFormat="1" applyFont="1" applyFill="1" applyBorder="1" applyAlignment="1">
      <alignment horizontal="center"/>
    </xf>
    <xf numFmtId="0" fontId="2" fillId="0" borderId="0" xfId="12" applyFont="1" applyFill="1" applyAlignment="1">
      <alignment horizontal="center"/>
    </xf>
    <xf numFmtId="165" fontId="1" fillId="0" borderId="0" xfId="1" applyNumberFormat="1" applyFill="1"/>
    <xf numFmtId="168" fontId="1" fillId="0" borderId="0" xfId="1" applyNumberFormat="1" applyFill="1"/>
    <xf numFmtId="168" fontId="1" fillId="0" borderId="0" xfId="12" applyNumberFormat="1" applyFill="1"/>
    <xf numFmtId="165" fontId="2" fillId="0" borderId="0" xfId="1" applyNumberFormat="1" applyFont="1" applyFill="1" applyAlignment="1">
      <alignment horizontal="center"/>
    </xf>
    <xf numFmtId="168" fontId="2" fillId="0" borderId="0" xfId="1" applyNumberFormat="1" applyFont="1" applyFill="1" applyAlignment="1">
      <alignment horizontal="center"/>
    </xf>
    <xf numFmtId="165" fontId="2" fillId="0" borderId="6" xfId="1" applyNumberFormat="1" applyFont="1" applyFill="1" applyBorder="1" applyAlignment="1">
      <alignment horizontal="center"/>
    </xf>
    <xf numFmtId="168" fontId="1" fillId="0" borderId="6" xfId="1" applyNumberFormat="1" applyFill="1" applyBorder="1" applyAlignment="1">
      <alignment horizontal="center"/>
    </xf>
    <xf numFmtId="166" fontId="1" fillId="0" borderId="2" xfId="12" applyNumberFormat="1" applyFill="1" applyBorder="1"/>
    <xf numFmtId="169" fontId="1" fillId="0" borderId="1" xfId="6" applyNumberFormat="1" applyFill="1" applyBorder="1" applyAlignment="1">
      <alignment horizontal="center"/>
    </xf>
    <xf numFmtId="166" fontId="1" fillId="0" borderId="1" xfId="12" applyNumberFormat="1" applyFill="1" applyBorder="1"/>
    <xf numFmtId="169" fontId="1" fillId="0" borderId="2" xfId="6" applyNumberFormat="1" applyFill="1" applyBorder="1" applyAlignment="1">
      <alignment horizontal="center"/>
    </xf>
    <xf numFmtId="169" fontId="2" fillId="0" borderId="3" xfId="6" applyNumberFormat="1" applyFont="1" applyFill="1" applyBorder="1" applyAlignment="1">
      <alignment horizontal="center"/>
    </xf>
    <xf numFmtId="166" fontId="1" fillId="0" borderId="0" xfId="12" applyNumberFormat="1" applyFill="1"/>
    <xf numFmtId="169" fontId="1" fillId="0" borderId="0" xfId="6" applyNumberFormat="1" applyFill="1" applyAlignment="1">
      <alignment horizontal="center"/>
    </xf>
    <xf numFmtId="169" fontId="1" fillId="0" borderId="5" xfId="6" applyNumberFormat="1" applyFill="1" applyBorder="1" applyAlignment="1">
      <alignment horizontal="center"/>
    </xf>
    <xf numFmtId="166" fontId="1" fillId="0" borderId="5" xfId="12" applyNumberFormat="1" applyFill="1" applyBorder="1"/>
    <xf numFmtId="169" fontId="17" fillId="0" borderId="1" xfId="6" applyNumberFormat="1" applyFont="1" applyFill="1" applyBorder="1" applyAlignment="1">
      <alignment horizontal="center"/>
    </xf>
    <xf numFmtId="166" fontId="0" fillId="0" borderId="13" xfId="0" applyNumberFormat="1" applyFill="1" applyBorder="1"/>
    <xf numFmtId="169" fontId="17" fillId="0" borderId="4" xfId="6" applyNumberFormat="1" applyFont="1" applyFill="1" applyBorder="1" applyAlignment="1">
      <alignment horizontal="center"/>
    </xf>
    <xf numFmtId="166" fontId="2" fillId="0" borderId="4" xfId="0" applyNumberFormat="1" applyFont="1" applyFill="1" applyBorder="1"/>
    <xf numFmtId="169" fontId="17" fillId="0" borderId="3" xfId="6" applyNumberFormat="1" applyFont="1" applyFill="1" applyBorder="1" applyAlignment="1">
      <alignment horizontal="center"/>
    </xf>
    <xf numFmtId="178" fontId="4" fillId="0" borderId="3" xfId="0" applyNumberFormat="1" applyFont="1" applyFill="1" applyBorder="1" applyAlignment="1">
      <alignment horizontal="center"/>
    </xf>
    <xf numFmtId="166" fontId="2" fillId="0" borderId="0" xfId="12" applyNumberFormat="1" applyFont="1" applyFill="1"/>
    <xf numFmtId="168" fontId="0" fillId="0" borderId="2" xfId="6" applyNumberFormat="1" applyFont="1" applyFill="1" applyBorder="1" applyAlignment="1">
      <alignment horizontal="center"/>
    </xf>
    <xf numFmtId="168" fontId="2" fillId="0" borderId="3" xfId="6" applyNumberFormat="1" applyFont="1" applyFill="1" applyBorder="1" applyAlignment="1">
      <alignment horizontal="center"/>
    </xf>
    <xf numFmtId="168" fontId="0" fillId="0" borderId="0" xfId="6" applyNumberFormat="1" applyFont="1" applyFill="1" applyAlignment="1">
      <alignment horizontal="center"/>
    </xf>
    <xf numFmtId="168" fontId="0" fillId="0" borderId="1" xfId="6" applyNumberFormat="1" applyFont="1" applyFill="1" applyBorder="1" applyAlignment="1">
      <alignment horizontal="center"/>
    </xf>
    <xf numFmtId="166" fontId="0" fillId="0" borderId="1" xfId="0" applyNumberFormat="1" applyFill="1" applyBorder="1"/>
    <xf numFmtId="166" fontId="0" fillId="0" borderId="0" xfId="0" applyNumberFormat="1" applyFill="1"/>
    <xf numFmtId="168" fontId="1" fillId="0" borderId="2" xfId="6" applyNumberFormat="1" applyFill="1" applyBorder="1" applyAlignment="1">
      <alignment horizontal="center"/>
    </xf>
    <xf numFmtId="168" fontId="1" fillId="0" borderId="0" xfId="6" applyNumberFormat="1" applyFill="1" applyAlignment="1">
      <alignment horizontal="center"/>
    </xf>
    <xf numFmtId="168" fontId="1" fillId="0" borderId="1" xfId="6" applyNumberFormat="1" applyFill="1" applyBorder="1" applyAlignment="1">
      <alignment horizontal="center"/>
    </xf>
    <xf numFmtId="168" fontId="1" fillId="0" borderId="12" xfId="6" applyNumberFormat="1" applyFill="1" applyBorder="1" applyAlignment="1">
      <alignment horizontal="center"/>
    </xf>
    <xf numFmtId="168" fontId="1" fillId="0" borderId="9" xfId="6" applyNumberFormat="1" applyFill="1" applyBorder="1" applyAlignment="1">
      <alignment horizontal="center"/>
    </xf>
    <xf numFmtId="168" fontId="1" fillId="0" borderId="4" xfId="6" applyNumberFormat="1" applyFill="1" applyBorder="1" applyAlignment="1">
      <alignment horizontal="center"/>
    </xf>
    <xf numFmtId="165" fontId="0" fillId="0" borderId="0" xfId="1" applyNumberFormat="1" applyFont="1" applyFill="1"/>
    <xf numFmtId="168" fontId="16" fillId="0" borderId="0" xfId="1" applyNumberFormat="1" applyFont="1" applyFill="1"/>
    <xf numFmtId="168" fontId="16" fillId="0" borderId="0" xfId="0" applyNumberFormat="1" applyFont="1" applyFill="1"/>
    <xf numFmtId="0" fontId="16" fillId="0" borderId="0" xfId="0" applyFont="1" applyFill="1"/>
    <xf numFmtId="168" fontId="17" fillId="0" borderId="0" xfId="1" applyNumberFormat="1" applyFont="1" applyFill="1" applyAlignment="1">
      <alignment horizontal="center"/>
    </xf>
    <xf numFmtId="168" fontId="18" fillId="0" borderId="6" xfId="1" applyNumberFormat="1" applyFont="1" applyFill="1" applyBorder="1" applyAlignment="1">
      <alignment horizontal="center"/>
    </xf>
    <xf numFmtId="167" fontId="0" fillId="0" borderId="2" xfId="1" applyNumberFormat="1" applyFont="1" applyFill="1" applyBorder="1"/>
    <xf numFmtId="169" fontId="16" fillId="0" borderId="1" xfId="6" applyNumberFormat="1" applyFont="1" applyFill="1" applyBorder="1" applyAlignment="1">
      <alignment horizontal="center"/>
    </xf>
    <xf numFmtId="169" fontId="16" fillId="0" borderId="2" xfId="6" applyNumberFormat="1" applyFont="1" applyFill="1" applyBorder="1" applyAlignment="1">
      <alignment horizontal="center"/>
    </xf>
    <xf numFmtId="169" fontId="16" fillId="0" borderId="0" xfId="6" applyNumberFormat="1" applyFont="1" applyFill="1" applyAlignment="1">
      <alignment horizontal="center"/>
    </xf>
    <xf numFmtId="169" fontId="16" fillId="0" borderId="5" xfId="6" applyNumberFormat="1" applyFont="1" applyFill="1" applyBorder="1" applyAlignment="1">
      <alignment horizontal="center"/>
    </xf>
    <xf numFmtId="166" fontId="0" fillId="0" borderId="5" xfId="0" applyNumberFormat="1" applyFill="1" applyBorder="1"/>
    <xf numFmtId="169" fontId="17" fillId="0" borderId="0" xfId="6" applyNumberFormat="1" applyFont="1" applyFill="1" applyAlignment="1">
      <alignment horizontal="center"/>
    </xf>
    <xf numFmtId="168" fontId="16" fillId="0" borderId="2" xfId="6" applyNumberFormat="1" applyFont="1" applyFill="1" applyBorder="1" applyAlignment="1">
      <alignment horizontal="center"/>
    </xf>
    <xf numFmtId="168" fontId="17" fillId="0" borderId="3" xfId="6" applyNumberFormat="1" applyFont="1" applyFill="1" applyBorder="1" applyAlignment="1">
      <alignment horizontal="center"/>
    </xf>
    <xf numFmtId="168" fontId="16" fillId="0" borderId="0" xfId="6" applyNumberFormat="1" applyFont="1" applyFill="1" applyAlignment="1">
      <alignment horizontal="center"/>
    </xf>
    <xf numFmtId="168" fontId="16" fillId="0" borderId="1" xfId="6" applyNumberFormat="1" applyFont="1" applyFill="1" applyBorder="1" applyAlignment="1">
      <alignment horizontal="center"/>
    </xf>
    <xf numFmtId="168" fontId="16" fillId="0" borderId="12" xfId="6" applyNumberFormat="1" applyFont="1" applyFill="1" applyBorder="1" applyAlignment="1">
      <alignment horizontal="center"/>
    </xf>
    <xf numFmtId="168" fontId="16" fillId="0" borderId="9" xfId="6" applyNumberFormat="1" applyFont="1" applyFill="1" applyBorder="1" applyAlignment="1">
      <alignment horizontal="center"/>
    </xf>
    <xf numFmtId="168" fontId="16" fillId="0" borderId="4" xfId="6" applyNumberFormat="1" applyFont="1" applyFill="1" applyBorder="1" applyAlignment="1">
      <alignment horizontal="center"/>
    </xf>
    <xf numFmtId="166" fontId="2" fillId="0" borderId="0" xfId="0" applyNumberFormat="1" applyFont="1" applyFill="1"/>
    <xf numFmtId="166" fontId="0" fillId="0" borderId="7" xfId="0" applyNumberFormat="1" applyFill="1" applyBorder="1"/>
    <xf numFmtId="166" fontId="0" fillId="0" borderId="6" xfId="0" applyNumberFormat="1" applyFill="1" applyBorder="1"/>
    <xf numFmtId="165" fontId="16" fillId="0" borderId="0" xfId="1" applyNumberFormat="1" applyFont="1" applyFill="1"/>
    <xf numFmtId="165" fontId="17" fillId="0" borderId="0" xfId="1" applyNumberFormat="1" applyFont="1" applyFill="1" applyAlignment="1">
      <alignment horizontal="center"/>
    </xf>
    <xf numFmtId="0" fontId="2" fillId="0" borderId="0" xfId="0" applyFont="1" applyFill="1"/>
    <xf numFmtId="165" fontId="17" fillId="0" borderId="6" xfId="1" applyNumberFormat="1" applyFont="1" applyFill="1" applyBorder="1" applyAlignment="1">
      <alignment horizontal="center"/>
    </xf>
    <xf numFmtId="166" fontId="0" fillId="0" borderId="3" xfId="0" applyNumberFormat="1" applyFill="1" applyBorder="1" applyAlignment="1">
      <alignment horizontal="center"/>
    </xf>
    <xf numFmtId="166" fontId="16" fillId="0" borderId="2" xfId="0" applyNumberFormat="1" applyFont="1" applyFill="1" applyBorder="1"/>
    <xf numFmtId="166" fontId="16" fillId="0" borderId="1" xfId="0" applyNumberFormat="1" applyFont="1" applyFill="1" applyBorder="1"/>
    <xf numFmtId="166" fontId="17" fillId="0" borderId="3" xfId="0" applyNumberFormat="1" applyFont="1" applyFill="1" applyBorder="1"/>
    <xf numFmtId="166" fontId="16" fillId="0" borderId="0" xfId="0" applyNumberFormat="1" applyFont="1" applyFill="1"/>
    <xf numFmtId="166" fontId="16" fillId="0" borderId="5" xfId="0" applyNumberFormat="1" applyFont="1" applyFill="1" applyBorder="1"/>
    <xf numFmtId="166" fontId="17" fillId="0" borderId="1" xfId="0" applyNumberFormat="1" applyFont="1" applyFill="1" applyBorder="1"/>
    <xf numFmtId="166" fontId="0" fillId="0" borderId="4" xfId="0" applyNumberFormat="1" applyFill="1" applyBorder="1"/>
    <xf numFmtId="166" fontId="17" fillId="0" borderId="0" xfId="0" applyNumberFormat="1" applyFont="1" applyFill="1"/>
    <xf numFmtId="168" fontId="0" fillId="0" borderId="0" xfId="1" applyNumberFormat="1" applyFont="1" applyFill="1"/>
    <xf numFmtId="168" fontId="0" fillId="0" borderId="0" xfId="0" applyNumberFormat="1" applyFill="1"/>
    <xf numFmtId="168" fontId="0" fillId="0" borderId="0" xfId="1" applyNumberFormat="1" applyFont="1" applyFill="1" applyAlignment="1">
      <alignment horizontal="center"/>
    </xf>
    <xf numFmtId="168" fontId="0" fillId="0" borderId="0" xfId="0" applyNumberFormat="1" applyFill="1" applyAlignment="1">
      <alignment horizontal="center"/>
    </xf>
    <xf numFmtId="165" fontId="4" fillId="0" borderId="0" xfId="1" applyNumberFormat="1" applyFont="1" applyFill="1"/>
    <xf numFmtId="168" fontId="4" fillId="0" borderId="0" xfId="1" applyNumberFormat="1" applyFont="1" applyFill="1"/>
    <xf numFmtId="166" fontId="4" fillId="0" borderId="0" xfId="0" applyNumberFormat="1" applyFont="1" applyFill="1"/>
    <xf numFmtId="165" fontId="4" fillId="0" borderId="0" xfId="1" applyNumberFormat="1" applyFont="1" applyFill="1" applyAlignment="1">
      <alignment horizontal="center"/>
    </xf>
    <xf numFmtId="168" fontId="4" fillId="0" borderId="0" xfId="0" applyNumberFormat="1" applyFont="1" applyFill="1"/>
    <xf numFmtId="169" fontId="0" fillId="0" borderId="1" xfId="6" applyNumberFormat="1" applyFont="1" applyFill="1" applyBorder="1" applyAlignment="1">
      <alignment horizontal="center"/>
    </xf>
    <xf numFmtId="169" fontId="0" fillId="0" borderId="2" xfId="6" applyNumberFormat="1" applyFont="1" applyFill="1" applyBorder="1" applyAlignment="1">
      <alignment horizontal="center"/>
    </xf>
    <xf numFmtId="169" fontId="0" fillId="0" borderId="5" xfId="6" applyNumberFormat="1" applyFont="1" applyFill="1" applyBorder="1" applyAlignment="1">
      <alignment horizontal="center"/>
    </xf>
    <xf numFmtId="169" fontId="0" fillId="0" borderId="4" xfId="6" applyNumberFormat="1" applyFont="1" applyFill="1" applyBorder="1" applyAlignment="1">
      <alignment horizontal="center"/>
    </xf>
    <xf numFmtId="9" fontId="0" fillId="0" borderId="1" xfId="6" applyFont="1" applyFill="1" applyBorder="1" applyAlignment="1">
      <alignment horizontal="center"/>
    </xf>
    <xf numFmtId="9" fontId="0" fillId="0" borderId="2" xfId="6" applyFont="1" applyFill="1" applyBorder="1" applyAlignment="1">
      <alignment horizontal="center"/>
    </xf>
    <xf numFmtId="9" fontId="2" fillId="0" borderId="3" xfId="6" applyFont="1" applyFill="1" applyBorder="1" applyAlignment="1">
      <alignment horizontal="center"/>
    </xf>
    <xf numFmtId="178" fontId="0" fillId="0" borderId="0" xfId="0" applyNumberFormat="1" applyFill="1"/>
    <xf numFmtId="166" fontId="2" fillId="0" borderId="0" xfId="0" applyNumberFormat="1" applyFont="1" applyFill="1" applyBorder="1"/>
    <xf numFmtId="165" fontId="4" fillId="0" borderId="6" xfId="1" applyNumberFormat="1" applyFont="1" applyFill="1" applyBorder="1"/>
    <xf numFmtId="168" fontId="4" fillId="0" borderId="6" xfId="1" applyNumberFormat="1" applyFont="1" applyFill="1" applyBorder="1"/>
    <xf numFmtId="166" fontId="4" fillId="0" borderId="6" xfId="0" applyNumberFormat="1" applyFont="1" applyFill="1" applyBorder="1"/>
    <xf numFmtId="165" fontId="4" fillId="0" borderId="6" xfId="1" applyNumberFormat="1" applyFont="1" applyFill="1" applyBorder="1" applyAlignment="1">
      <alignment horizontal="center"/>
    </xf>
    <xf numFmtId="168" fontId="4" fillId="0" borderId="6" xfId="0" applyNumberFormat="1" applyFont="1" applyFill="1" applyBorder="1"/>
    <xf numFmtId="169" fontId="0" fillId="0" borderId="6" xfId="6" applyNumberFormat="1" applyFont="1" applyFill="1" applyBorder="1" applyAlignment="1">
      <alignment horizontal="center"/>
    </xf>
    <xf numFmtId="172" fontId="2" fillId="0" borderId="3" xfId="6" applyNumberFormat="1" applyFont="1" applyFill="1" applyBorder="1" applyAlignment="1">
      <alignment horizontal="center"/>
    </xf>
    <xf numFmtId="168" fontId="0" fillId="0" borderId="5" xfId="6" applyNumberFormat="1" applyFont="1" applyFill="1" applyBorder="1" applyAlignment="1">
      <alignment horizontal="center"/>
    </xf>
    <xf numFmtId="172" fontId="2" fillId="0" borderId="5" xfId="6" applyNumberFormat="1" applyFont="1" applyFill="1" applyBorder="1" applyAlignment="1">
      <alignment horizontal="center"/>
    </xf>
    <xf numFmtId="166" fontId="2" fillId="0" borderId="3" xfId="0" applyNumberFormat="1" applyFont="1" applyFill="1" applyBorder="1" applyAlignment="1">
      <alignment vertical="center"/>
    </xf>
    <xf numFmtId="169" fontId="2" fillId="0" borderId="3" xfId="6" applyNumberFormat="1" applyFont="1" applyFill="1" applyBorder="1" applyAlignment="1">
      <alignment horizontal="center" vertical="center"/>
    </xf>
    <xf numFmtId="168" fontId="0" fillId="0" borderId="4" xfId="6" applyNumberFormat="1" applyFont="1" applyFill="1" applyBorder="1" applyAlignment="1">
      <alignment horizontal="center"/>
    </xf>
    <xf numFmtId="165" fontId="2" fillId="0" borderId="0" xfId="1" applyNumberFormat="1" applyFont="1" applyFill="1"/>
    <xf numFmtId="168" fontId="2" fillId="0" borderId="0" xfId="6" applyNumberFormat="1" applyFont="1" applyFill="1" applyBorder="1" applyAlignment="1">
      <alignment horizontal="center"/>
    </xf>
    <xf numFmtId="168" fontId="2" fillId="0" borderId="0" xfId="0" applyNumberFormat="1" applyFont="1" applyFill="1" applyAlignment="1">
      <alignment horizontal="center"/>
    </xf>
    <xf numFmtId="166" fontId="0" fillId="0" borderId="1" xfId="0" applyNumberFormat="1" applyFill="1" applyBorder="1" applyAlignment="1">
      <alignment horizontal="center"/>
    </xf>
    <xf numFmtId="166" fontId="0" fillId="0" borderId="2" xfId="0" applyNumberFormat="1" applyFill="1" applyBorder="1" applyAlignment="1">
      <alignment horizontal="center"/>
    </xf>
    <xf numFmtId="166" fontId="2" fillId="0" borderId="3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68" fontId="2" fillId="0" borderId="0" xfId="6" applyNumberFormat="1" applyFont="1" applyFill="1" applyAlignment="1">
      <alignment horizontal="center"/>
    </xf>
    <xf numFmtId="168" fontId="4" fillId="0" borderId="0" xfId="1" applyNumberFormat="1" applyFont="1" applyFill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168" fontId="0" fillId="0" borderId="5" xfId="0" applyNumberFormat="1" applyFill="1" applyBorder="1"/>
    <xf numFmtId="168" fontId="0" fillId="0" borderId="12" xfId="6" applyNumberFormat="1" applyFont="1" applyFill="1" applyBorder="1" applyAlignment="1">
      <alignment horizontal="center"/>
    </xf>
    <xf numFmtId="169" fontId="0" fillId="0" borderId="10" xfId="6" applyNumberFormat="1" applyFont="1" applyFill="1" applyBorder="1" applyAlignment="1">
      <alignment horizontal="center"/>
    </xf>
    <xf numFmtId="168" fontId="0" fillId="0" borderId="9" xfId="6" applyNumberFormat="1" applyFont="1" applyFill="1" applyBorder="1" applyAlignment="1">
      <alignment horizontal="center"/>
    </xf>
    <xf numFmtId="169" fontId="0" fillId="0" borderId="8" xfId="6" applyNumberFormat="1" applyFont="1" applyFill="1" applyBorder="1" applyAlignment="1">
      <alignment horizontal="center"/>
    </xf>
    <xf numFmtId="168" fontId="2" fillId="0" borderId="3" xfId="6" applyNumberFormat="1" applyFont="1" applyFill="1" applyBorder="1" applyAlignment="1">
      <alignment horizontal="center" vertical="center"/>
    </xf>
    <xf numFmtId="168" fontId="0" fillId="0" borderId="3" xfId="6" applyNumberFormat="1" applyFont="1" applyFill="1" applyBorder="1" applyAlignment="1">
      <alignment horizontal="center"/>
    </xf>
    <xf numFmtId="0" fontId="27" fillId="7" borderId="3" xfId="5" applyFont="1" applyFill="1" applyBorder="1"/>
    <xf numFmtId="0" fontId="4" fillId="0" borderId="0" xfId="5"/>
    <xf numFmtId="0" fontId="4" fillId="0" borderId="0" xfId="5" applyFill="1"/>
    <xf numFmtId="0" fontId="4" fillId="8" borderId="0" xfId="5" applyFill="1"/>
    <xf numFmtId="0" fontId="0" fillId="8" borderId="0" xfId="0" applyFill="1"/>
    <xf numFmtId="174" fontId="1" fillId="0" borderId="0" xfId="12" applyNumberFormat="1" applyFont="1" applyFill="1"/>
    <xf numFmtId="14" fontId="1" fillId="0" borderId="0" xfId="12" applyNumberFormat="1" applyFont="1" applyFill="1"/>
    <xf numFmtId="166" fontId="2" fillId="4" borderId="3" xfId="0" applyNumberFormat="1" applyFont="1" applyFill="1" applyBorder="1"/>
    <xf numFmtId="166" fontId="0" fillId="2" borderId="7" xfId="0" applyNumberFormat="1" applyFill="1" applyBorder="1"/>
    <xf numFmtId="166" fontId="2" fillId="2" borderId="4" xfId="0" applyNumberFormat="1" applyFont="1" applyFill="1" applyBorder="1"/>
    <xf numFmtId="0" fontId="0" fillId="2" borderId="1" xfId="0" applyFill="1" applyBorder="1"/>
    <xf numFmtId="166" fontId="0" fillId="2" borderId="4" xfId="0" applyNumberFormat="1" applyFill="1" applyBorder="1"/>
    <xf numFmtId="0" fontId="0" fillId="0" borderId="0" xfId="0"/>
    <xf numFmtId="0" fontId="0" fillId="0" borderId="0" xfId="0"/>
    <xf numFmtId="188" fontId="2" fillId="6" borderId="7" xfId="0" applyNumberFormat="1" applyFont="1" applyFill="1" applyBorder="1"/>
    <xf numFmtId="0" fontId="2" fillId="0" borderId="0" xfId="12" applyFont="1" applyFill="1" applyAlignment="1">
      <alignment horizontal="center"/>
    </xf>
    <xf numFmtId="166" fontId="0" fillId="4" borderId="1" xfId="0" applyNumberFormat="1" applyFill="1" applyBorder="1"/>
    <xf numFmtId="174" fontId="1" fillId="4" borderId="12" xfId="12" applyNumberFormat="1" applyFont="1" applyFill="1" applyBorder="1"/>
    <xf numFmtId="168" fontId="0" fillId="4" borderId="0" xfId="0" applyNumberFormat="1" applyFill="1"/>
    <xf numFmtId="0" fontId="1" fillId="4" borderId="0" xfId="12" applyFill="1"/>
    <xf numFmtId="167" fontId="1" fillId="0" borderId="0" xfId="1" applyNumberFormat="1" applyFill="1"/>
    <xf numFmtId="174" fontId="1" fillId="5" borderId="12" xfId="12" applyNumberFormat="1" applyFont="1" applyFill="1" applyBorder="1"/>
    <xf numFmtId="175" fontId="1" fillId="0" borderId="12" xfId="12" applyNumberFormat="1" applyFont="1" applyFill="1" applyBorder="1"/>
    <xf numFmtId="187" fontId="1" fillId="0" borderId="1" xfId="12" applyNumberFormat="1" applyFont="1" applyFill="1" applyBorder="1" applyAlignment="1">
      <alignment horizontal="right"/>
    </xf>
    <xf numFmtId="166" fontId="1" fillId="4" borderId="9" xfId="12" applyNumberFormat="1" applyFont="1" applyFill="1" applyBorder="1"/>
    <xf numFmtId="174" fontId="2" fillId="4" borderId="14" xfId="12" applyNumberFormat="1" applyFont="1" applyFill="1" applyBorder="1"/>
    <xf numFmtId="0" fontId="1" fillId="12" borderId="0" xfId="12" applyFill="1"/>
    <xf numFmtId="166" fontId="0" fillId="4" borderId="2" xfId="0" applyNumberFormat="1" applyFill="1" applyBorder="1"/>
    <xf numFmtId="166" fontId="0" fillId="4" borderId="0" xfId="0" applyNumberFormat="1" applyFill="1"/>
    <xf numFmtId="166" fontId="0" fillId="4" borderId="5" xfId="0" applyNumberFormat="1" applyFill="1" applyBorder="1"/>
    <xf numFmtId="166" fontId="0" fillId="13" borderId="1" xfId="0" applyNumberFormat="1" applyFill="1" applyBorder="1"/>
    <xf numFmtId="166" fontId="0" fillId="13" borderId="2" xfId="0" applyNumberFormat="1" applyFill="1" applyBorder="1"/>
    <xf numFmtId="166" fontId="2" fillId="13" borderId="3" xfId="0" applyNumberFormat="1" applyFont="1" applyFill="1" applyBorder="1"/>
    <xf numFmtId="166" fontId="0" fillId="13" borderId="0" xfId="0" applyNumberFormat="1" applyFill="1"/>
    <xf numFmtId="166" fontId="0" fillId="13" borderId="5" xfId="0" applyNumberFormat="1" applyFill="1" applyBorder="1"/>
    <xf numFmtId="166" fontId="1" fillId="14" borderId="2" xfId="12" applyNumberFormat="1" applyFill="1" applyBorder="1"/>
    <xf numFmtId="168" fontId="0" fillId="14" borderId="2" xfId="6" applyNumberFormat="1" applyFont="1" applyFill="1" applyBorder="1" applyAlignment="1">
      <alignment horizontal="center"/>
    </xf>
    <xf numFmtId="166" fontId="1" fillId="5" borderId="2" xfId="12" applyNumberFormat="1" applyFill="1" applyBorder="1"/>
    <xf numFmtId="0" fontId="2" fillId="15" borderId="12" xfId="0" applyFont="1" applyFill="1" applyBorder="1"/>
    <xf numFmtId="0" fontId="2" fillId="15" borderId="7" xfId="0" applyFont="1" applyFill="1" applyBorder="1"/>
    <xf numFmtId="0" fontId="2" fillId="15" borderId="10" xfId="0" applyFont="1" applyFill="1" applyBorder="1"/>
    <xf numFmtId="0" fontId="2" fillId="15" borderId="9" xfId="0" applyFont="1" applyFill="1" applyBorder="1"/>
    <xf numFmtId="0" fontId="2" fillId="15" borderId="0" xfId="0" applyFont="1" applyFill="1" applyBorder="1"/>
    <xf numFmtId="0" fontId="2" fillId="15" borderId="8" xfId="0" applyFont="1" applyFill="1" applyBorder="1"/>
    <xf numFmtId="0" fontId="2" fillId="15" borderId="13" xfId="0" applyFont="1" applyFill="1" applyBorder="1"/>
    <xf numFmtId="0" fontId="2" fillId="15" borderId="6" xfId="0" applyFont="1" applyFill="1" applyBorder="1"/>
    <xf numFmtId="0" fontId="2" fillId="15" borderId="11" xfId="0" applyFont="1" applyFill="1" applyBorder="1"/>
    <xf numFmtId="0" fontId="0" fillId="0" borderId="0" xfId="0"/>
    <xf numFmtId="0" fontId="2" fillId="5" borderId="0" xfId="12" applyFont="1" applyFill="1"/>
    <xf numFmtId="165" fontId="2" fillId="5" borderId="0" xfId="1" applyNumberFormat="1" applyFont="1" applyFill="1" applyAlignment="1">
      <alignment horizontal="center"/>
    </xf>
    <xf numFmtId="168" fontId="0" fillId="5" borderId="0" xfId="1" applyNumberFormat="1" applyFont="1" applyFill="1" applyAlignment="1">
      <alignment horizontal="center"/>
    </xf>
    <xf numFmtId="168" fontId="0" fillId="5" borderId="0" xfId="0" applyNumberFormat="1" applyFill="1" applyAlignment="1">
      <alignment horizontal="center"/>
    </xf>
    <xf numFmtId="0" fontId="2" fillId="5" borderId="0" xfId="0" applyFont="1" applyFill="1" applyAlignment="1">
      <alignment horizontal="center"/>
    </xf>
    <xf numFmtId="169" fontId="0" fillId="5" borderId="0" xfId="0" applyNumberFormat="1" applyFill="1" applyAlignment="1">
      <alignment horizontal="center"/>
    </xf>
    <xf numFmtId="165" fontId="4" fillId="5" borderId="0" xfId="1" applyNumberFormat="1" applyFont="1" applyFill="1"/>
    <xf numFmtId="168" fontId="4" fillId="5" borderId="0" xfId="1" applyNumberFormat="1" applyFont="1" applyFill="1"/>
    <xf numFmtId="166" fontId="4" fillId="5" borderId="0" xfId="0" applyNumberFormat="1" applyFont="1" applyFill="1"/>
    <xf numFmtId="165" fontId="4" fillId="5" borderId="0" xfId="1" applyNumberFormat="1" applyFont="1" applyFill="1" applyAlignment="1">
      <alignment horizontal="center"/>
    </xf>
    <xf numFmtId="168" fontId="4" fillId="5" borderId="0" xfId="0" applyNumberFormat="1" applyFont="1" applyFill="1"/>
    <xf numFmtId="166" fontId="0" fillId="5" borderId="0" xfId="0" applyNumberFormat="1" applyFill="1"/>
    <xf numFmtId="166" fontId="0" fillId="5" borderId="1" xfId="0" applyNumberFormat="1" applyFill="1" applyBorder="1"/>
    <xf numFmtId="166" fontId="0" fillId="5" borderId="2" xfId="0" applyNumberFormat="1" applyFill="1" applyBorder="1"/>
    <xf numFmtId="166" fontId="0" fillId="5" borderId="5" xfId="0" applyNumberFormat="1" applyFill="1" applyBorder="1"/>
    <xf numFmtId="166" fontId="0" fillId="5" borderId="4" xfId="0" applyNumberFormat="1" applyFill="1" applyBorder="1"/>
    <xf numFmtId="9" fontId="0" fillId="5" borderId="1" xfId="6" applyFont="1" applyFill="1" applyBorder="1" applyAlignment="1">
      <alignment horizontal="center"/>
    </xf>
    <xf numFmtId="9" fontId="0" fillId="5" borderId="2" xfId="6" applyFont="1" applyFill="1" applyBorder="1" applyAlignment="1">
      <alignment horizontal="center"/>
    </xf>
    <xf numFmtId="9" fontId="2" fillId="5" borderId="3" xfId="6" applyFont="1" applyFill="1" applyBorder="1" applyAlignment="1">
      <alignment horizontal="center"/>
    </xf>
    <xf numFmtId="178" fontId="4" fillId="5" borderId="3" xfId="0" applyNumberFormat="1" applyFont="1" applyFill="1" applyBorder="1" applyAlignment="1">
      <alignment horizontal="center"/>
    </xf>
    <xf numFmtId="178" fontId="0" fillId="5" borderId="0" xfId="0" applyNumberFormat="1" applyFill="1"/>
    <xf numFmtId="166" fontId="2" fillId="5" borderId="0" xfId="0" applyNumberFormat="1" applyFont="1" applyFill="1" applyBorder="1"/>
    <xf numFmtId="169" fontId="2" fillId="5" borderId="0" xfId="6" applyNumberFormat="1" applyFont="1" applyFill="1" applyBorder="1" applyAlignment="1">
      <alignment horizontal="center"/>
    </xf>
    <xf numFmtId="165" fontId="4" fillId="5" borderId="6" xfId="1" applyNumberFormat="1" applyFont="1" applyFill="1" applyBorder="1"/>
    <xf numFmtId="168" fontId="4" fillId="5" borderId="6" xfId="1" applyNumberFormat="1" applyFont="1" applyFill="1" applyBorder="1"/>
    <xf numFmtId="166" fontId="4" fillId="5" borderId="6" xfId="0" applyNumberFormat="1" applyFont="1" applyFill="1" applyBorder="1"/>
    <xf numFmtId="165" fontId="4" fillId="5" borderId="6" xfId="1" applyNumberFormat="1" applyFont="1" applyFill="1" applyBorder="1" applyAlignment="1">
      <alignment horizontal="center"/>
    </xf>
    <xf numFmtId="168" fontId="4" fillId="5" borderId="6" xfId="0" applyNumberFormat="1" applyFont="1" applyFill="1" applyBorder="1"/>
    <xf numFmtId="166" fontId="0" fillId="5" borderId="6" xfId="0" applyNumberFormat="1" applyFill="1" applyBorder="1"/>
    <xf numFmtId="169" fontId="0" fillId="5" borderId="6" xfId="6" applyNumberFormat="1" applyFont="1" applyFill="1" applyBorder="1" applyAlignment="1">
      <alignment horizontal="center"/>
    </xf>
    <xf numFmtId="172" fontId="2" fillId="5" borderId="3" xfId="6" applyNumberFormat="1" applyFont="1" applyFill="1" applyBorder="1" applyAlignment="1">
      <alignment horizontal="center"/>
    </xf>
    <xf numFmtId="168" fontId="0" fillId="5" borderId="5" xfId="6" applyNumberFormat="1" applyFont="1" applyFill="1" applyBorder="1" applyAlignment="1">
      <alignment horizontal="center"/>
    </xf>
    <xf numFmtId="172" fontId="2" fillId="5" borderId="5" xfId="6" applyNumberFormat="1" applyFont="1" applyFill="1" applyBorder="1" applyAlignment="1">
      <alignment horizontal="center"/>
    </xf>
    <xf numFmtId="165" fontId="0" fillId="5" borderId="0" xfId="1" applyNumberFormat="1" applyFont="1" applyFill="1"/>
    <xf numFmtId="168" fontId="0" fillId="5" borderId="0" xfId="1" applyNumberFormat="1" applyFont="1" applyFill="1"/>
    <xf numFmtId="169" fontId="0" fillId="5" borderId="0" xfId="0" applyNumberFormat="1" applyFill="1"/>
    <xf numFmtId="183" fontId="0" fillId="5" borderId="1" xfId="6" applyNumberFormat="1" applyFont="1" applyFill="1" applyBorder="1" applyAlignment="1">
      <alignment horizontal="center"/>
    </xf>
    <xf numFmtId="166" fontId="2" fillId="5" borderId="3" xfId="0" applyNumberFormat="1" applyFont="1" applyFill="1" applyBorder="1" applyAlignment="1">
      <alignment horizontal="center"/>
    </xf>
    <xf numFmtId="0" fontId="2" fillId="12" borderId="12" xfId="0" applyFont="1" applyFill="1" applyBorder="1"/>
    <xf numFmtId="0" fontId="2" fillId="12" borderId="7" xfId="0" applyFont="1" applyFill="1" applyBorder="1"/>
    <xf numFmtId="0" fontId="2" fillId="12" borderId="10" xfId="0" applyFont="1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8" xfId="0" applyFill="1" applyBorder="1"/>
    <xf numFmtId="0" fontId="2" fillId="12" borderId="9" xfId="0" applyFont="1" applyFill="1" applyBorder="1"/>
    <xf numFmtId="0" fontId="2" fillId="12" borderId="0" xfId="0" applyFont="1" applyFill="1" applyBorder="1"/>
    <xf numFmtId="166" fontId="2" fillId="12" borderId="12" xfId="0" applyNumberFormat="1" applyFont="1" applyFill="1" applyBorder="1"/>
    <xf numFmtId="166" fontId="2" fillId="12" borderId="7" xfId="0" applyNumberFormat="1" applyFont="1" applyFill="1" applyBorder="1"/>
    <xf numFmtId="166" fontId="2" fillId="12" borderId="10" xfId="0" applyNumberFormat="1" applyFont="1" applyFill="1" applyBorder="1"/>
    <xf numFmtId="0" fontId="0" fillId="12" borderId="0" xfId="0" applyFill="1"/>
    <xf numFmtId="166" fontId="2" fillId="12" borderId="9" xfId="0" applyNumberFormat="1" applyFont="1" applyFill="1" applyBorder="1"/>
    <xf numFmtId="166" fontId="2" fillId="12" borderId="0" xfId="0" applyNumberFormat="1" applyFont="1" applyFill="1"/>
    <xf numFmtId="166" fontId="2" fillId="12" borderId="8" xfId="0" applyNumberFormat="1" applyFont="1" applyFill="1" applyBorder="1"/>
    <xf numFmtId="166" fontId="0" fillId="12" borderId="9" xfId="0" applyNumberFormat="1" applyFill="1" applyBorder="1"/>
    <xf numFmtId="166" fontId="0" fillId="12" borderId="0" xfId="0" applyNumberFormat="1" applyFill="1"/>
    <xf numFmtId="166" fontId="0" fillId="12" borderId="8" xfId="0" applyNumberFormat="1" applyFill="1" applyBorder="1"/>
    <xf numFmtId="0" fontId="2" fillId="12" borderId="0" xfId="0" applyFont="1" applyFill="1"/>
    <xf numFmtId="0" fontId="2" fillId="12" borderId="7" xfId="0" applyFont="1" applyFill="1" applyBorder="1" applyAlignment="1">
      <alignment horizontal="center"/>
    </xf>
    <xf numFmtId="167" fontId="2" fillId="12" borderId="7" xfId="2" applyNumberFormat="1" applyFont="1" applyFill="1" applyBorder="1" applyAlignment="1">
      <alignment horizontal="center"/>
    </xf>
    <xf numFmtId="167" fontId="2" fillId="12" borderId="10" xfId="2" applyNumberFormat="1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167" fontId="2" fillId="12" borderId="0" xfId="2" applyNumberFormat="1" applyFont="1" applyFill="1" applyBorder="1" applyAlignment="1">
      <alignment horizontal="center"/>
    </xf>
    <xf numFmtId="167" fontId="2" fillId="12" borderId="8" xfId="2" applyNumberFormat="1" applyFont="1" applyFill="1" applyBorder="1" applyAlignment="1">
      <alignment horizontal="center"/>
    </xf>
    <xf numFmtId="0" fontId="13" fillId="12" borderId="9" xfId="0" applyFont="1" applyFill="1" applyBorder="1"/>
    <xf numFmtId="0" fontId="13" fillId="12" borderId="0" xfId="0" applyFont="1" applyFill="1" applyBorder="1"/>
    <xf numFmtId="167" fontId="14" fillId="12" borderId="0" xfId="2" applyNumberFormat="1" applyFont="1" applyFill="1" applyBorder="1"/>
    <xf numFmtId="167" fontId="14" fillId="12" borderId="8" xfId="2" applyNumberFormat="1" applyFont="1" applyFill="1" applyBorder="1"/>
    <xf numFmtId="167" fontId="2" fillId="12" borderId="0" xfId="2" applyNumberFormat="1" applyFont="1" applyFill="1" applyBorder="1"/>
    <xf numFmtId="167" fontId="2" fillId="12" borderId="8" xfId="2" applyNumberFormat="1" applyFont="1" applyFill="1" applyBorder="1"/>
    <xf numFmtId="0" fontId="2" fillId="12" borderId="0" xfId="0" applyFont="1" applyFill="1" applyAlignment="1">
      <alignment horizontal="center"/>
    </xf>
    <xf numFmtId="167" fontId="2" fillId="12" borderId="0" xfId="2" applyNumberFormat="1" applyFont="1" applyFill="1" applyAlignment="1">
      <alignment horizontal="center"/>
    </xf>
    <xf numFmtId="0" fontId="13" fillId="12" borderId="0" xfId="0" applyFont="1" applyFill="1"/>
    <xf numFmtId="167" fontId="14" fillId="12" borderId="0" xfId="2" applyNumberFormat="1" applyFont="1" applyFill="1"/>
    <xf numFmtId="0" fontId="2" fillId="12" borderId="10" xfId="0" applyFont="1" applyFill="1" applyBorder="1" applyAlignment="1">
      <alignment horizontal="center"/>
    </xf>
    <xf numFmtId="0" fontId="2" fillId="12" borderId="8" xfId="0" applyFont="1" applyFill="1" applyBorder="1"/>
    <xf numFmtId="167" fontId="0" fillId="12" borderId="8" xfId="1" applyNumberFormat="1" applyFont="1" applyFill="1" applyBorder="1"/>
    <xf numFmtId="167" fontId="2" fillId="12" borderId="7" xfId="1" applyNumberFormat="1" applyFont="1" applyFill="1" applyBorder="1"/>
    <xf numFmtId="167" fontId="2" fillId="12" borderId="10" xfId="1" applyNumberFormat="1" applyFont="1" applyFill="1" applyBorder="1"/>
    <xf numFmtId="167" fontId="2" fillId="12" borderId="0" xfId="1" applyNumberFormat="1" applyFont="1" applyFill="1"/>
    <xf numFmtId="167" fontId="2" fillId="12" borderId="8" xfId="1" applyNumberFormat="1" applyFont="1" applyFill="1" applyBorder="1"/>
    <xf numFmtId="167" fontId="0" fillId="12" borderId="0" xfId="1" applyNumberFormat="1" applyFont="1" applyFill="1"/>
    <xf numFmtId="167" fontId="2" fillId="12" borderId="7" xfId="2" applyNumberFormat="1" applyFont="1" applyFill="1" applyBorder="1"/>
    <xf numFmtId="167" fontId="2" fillId="12" borderId="10" xfId="2" applyNumberFormat="1" applyFont="1" applyFill="1" applyBorder="1"/>
    <xf numFmtId="166" fontId="0" fillId="12" borderId="12" xfId="0" applyNumberFormat="1" applyFill="1" applyBorder="1"/>
    <xf numFmtId="166" fontId="0" fillId="12" borderId="7" xfId="0" applyNumberFormat="1" applyFill="1" applyBorder="1"/>
    <xf numFmtId="166" fontId="0" fillId="12" borderId="10" xfId="0" applyNumberFormat="1" applyFill="1" applyBorder="1"/>
    <xf numFmtId="0" fontId="13" fillId="12" borderId="12" xfId="0" applyFont="1" applyFill="1" applyBorder="1"/>
    <xf numFmtId="0" fontId="13" fillId="12" borderId="7" xfId="0" applyFont="1" applyFill="1" applyBorder="1" applyAlignment="1">
      <alignment horizontal="center"/>
    </xf>
    <xf numFmtId="167" fontId="14" fillId="12" borderId="7" xfId="2" applyNumberFormat="1" applyFont="1" applyFill="1" applyBorder="1" applyAlignment="1">
      <alignment horizontal="center"/>
    </xf>
    <xf numFmtId="167" fontId="14" fillId="12" borderId="10" xfId="2" applyNumberFormat="1" applyFont="1" applyFill="1" applyBorder="1" applyAlignment="1">
      <alignment horizontal="center"/>
    </xf>
    <xf numFmtId="0" fontId="13" fillId="12" borderId="0" xfId="0" applyFont="1" applyFill="1" applyAlignment="1">
      <alignment horizontal="center"/>
    </xf>
    <xf numFmtId="167" fontId="14" fillId="12" borderId="0" xfId="2" applyNumberFormat="1" applyFont="1" applyFill="1" applyAlignment="1">
      <alignment horizontal="center"/>
    </xf>
    <xf numFmtId="167" fontId="14" fillId="12" borderId="8" xfId="2" applyNumberFormat="1" applyFont="1" applyFill="1" applyBorder="1" applyAlignment="1">
      <alignment horizontal="center"/>
    </xf>
    <xf numFmtId="0" fontId="0" fillId="0" borderId="0" xfId="0"/>
    <xf numFmtId="0" fontId="0" fillId="0" borderId="0" xfId="0"/>
    <xf numFmtId="17" fontId="0" fillId="0" borderId="0" xfId="0" applyNumberFormat="1"/>
    <xf numFmtId="0" fontId="4" fillId="0" borderId="3" xfId="5" applyBorder="1" applyAlignment="1">
      <alignment horizontal="center"/>
    </xf>
    <xf numFmtId="0" fontId="1" fillId="0" borderId="3" xfId="5" applyFont="1" applyBorder="1"/>
    <xf numFmtId="0" fontId="4" fillId="16" borderId="3" xfId="5" applyFill="1" applyBorder="1"/>
    <xf numFmtId="0" fontId="27" fillId="17" borderId="3" xfId="5" applyFont="1" applyFill="1" applyBorder="1"/>
    <xf numFmtId="0" fontId="0" fillId="0" borderId="0" xfId="0"/>
    <xf numFmtId="0" fontId="0" fillId="16" borderId="9" xfId="0" applyFill="1" applyBorder="1"/>
    <xf numFmtId="0" fontId="0" fillId="16" borderId="0" xfId="0" applyFill="1" applyBorder="1"/>
    <xf numFmtId="3" fontId="0" fillId="16" borderId="0" xfId="0" applyNumberFormat="1" applyFill="1" applyBorder="1"/>
    <xf numFmtId="3" fontId="0" fillId="16" borderId="8" xfId="0" applyNumberFormat="1" applyFill="1" applyBorder="1"/>
    <xf numFmtId="0" fontId="2" fillId="16" borderId="9" xfId="0" applyFont="1" applyFill="1" applyBorder="1"/>
    <xf numFmtId="0" fontId="2" fillId="16" borderId="0" xfId="0" applyFont="1" applyFill="1" applyBorder="1"/>
    <xf numFmtId="3" fontId="2" fillId="16" borderId="0" xfId="0" applyNumberFormat="1" applyFont="1" applyFill="1" applyBorder="1"/>
    <xf numFmtId="3" fontId="2" fillId="16" borderId="8" xfId="0" applyNumberFormat="1" applyFont="1" applyFill="1" applyBorder="1"/>
    <xf numFmtId="0" fontId="0" fillId="16" borderId="8" xfId="0" applyFill="1" applyBorder="1"/>
    <xf numFmtId="0" fontId="2" fillId="16" borderId="13" xfId="0" applyFont="1" applyFill="1" applyBorder="1"/>
    <xf numFmtId="0" fontId="2" fillId="16" borderId="6" xfId="0" applyFont="1" applyFill="1" applyBorder="1"/>
    <xf numFmtId="3" fontId="2" fillId="16" borderId="6" xfId="0" applyNumberFormat="1" applyFont="1" applyFill="1" applyBorder="1"/>
    <xf numFmtId="3" fontId="2" fillId="16" borderId="11" xfId="0" applyNumberFormat="1" applyFont="1" applyFill="1" applyBorder="1"/>
    <xf numFmtId="0" fontId="2" fillId="16" borderId="0" xfId="0" applyFont="1" applyFill="1"/>
    <xf numFmtId="167" fontId="0" fillId="16" borderId="0" xfId="1" applyNumberFormat="1" applyFont="1" applyFill="1"/>
    <xf numFmtId="167" fontId="0" fillId="16" borderId="8" xfId="1" applyNumberFormat="1" applyFont="1" applyFill="1" applyBorder="1"/>
    <xf numFmtId="0" fontId="0" fillId="16" borderId="0" xfId="0" applyFill="1"/>
    <xf numFmtId="167" fontId="2" fillId="16" borderId="0" xfId="1" applyNumberFormat="1" applyFont="1" applyFill="1"/>
    <xf numFmtId="167" fontId="2" fillId="16" borderId="8" xfId="1" applyNumberFormat="1" applyFont="1" applyFill="1" applyBorder="1"/>
    <xf numFmtId="167" fontId="2" fillId="16" borderId="6" xfId="1" applyNumberFormat="1" applyFont="1" applyFill="1" applyBorder="1"/>
    <xf numFmtId="167" fontId="2" fillId="16" borderId="11" xfId="1" applyNumberFormat="1" applyFont="1" applyFill="1" applyBorder="1"/>
    <xf numFmtId="0" fontId="13" fillId="16" borderId="9" xfId="0" applyFont="1" applyFill="1" applyBorder="1"/>
    <xf numFmtId="0" fontId="13" fillId="16" borderId="0" xfId="0" applyFont="1" applyFill="1" applyBorder="1"/>
    <xf numFmtId="167" fontId="14" fillId="16" borderId="0" xfId="2" applyNumberFormat="1" applyFont="1" applyFill="1" applyBorder="1"/>
    <xf numFmtId="167" fontId="14" fillId="16" borderId="8" xfId="2" applyNumberFormat="1" applyFont="1" applyFill="1" applyBorder="1"/>
    <xf numFmtId="0" fontId="13" fillId="16" borderId="13" xfId="0" applyFont="1" applyFill="1" applyBorder="1"/>
    <xf numFmtId="0" fontId="13" fillId="16" borderId="6" xfId="0" applyFont="1" applyFill="1" applyBorder="1"/>
    <xf numFmtId="167" fontId="14" fillId="16" borderId="6" xfId="2" applyNumberFormat="1" applyFont="1" applyFill="1" applyBorder="1"/>
    <xf numFmtId="167" fontId="14" fillId="16" borderId="11" xfId="2" applyNumberFormat="1" applyFont="1" applyFill="1" applyBorder="1"/>
    <xf numFmtId="0" fontId="0" fillId="16" borderId="13" xfId="0" applyFill="1" applyBorder="1"/>
    <xf numFmtId="0" fontId="0" fillId="16" borderId="6" xfId="0" applyFill="1" applyBorder="1"/>
    <xf numFmtId="3" fontId="0" fillId="16" borderId="6" xfId="0" applyNumberFormat="1" applyFill="1" applyBorder="1"/>
    <xf numFmtId="3" fontId="0" fillId="16" borderId="11" xfId="0" applyNumberFormat="1" applyFill="1" applyBorder="1"/>
    <xf numFmtId="0" fontId="2" fillId="16" borderId="12" xfId="0" applyFont="1" applyFill="1" applyBorder="1"/>
    <xf numFmtId="166" fontId="2" fillId="16" borderId="9" xfId="0" applyNumberFormat="1" applyFont="1" applyFill="1" applyBorder="1"/>
    <xf numFmtId="166" fontId="2" fillId="16" borderId="0" xfId="0" applyNumberFormat="1" applyFont="1" applyFill="1"/>
    <xf numFmtId="166" fontId="0" fillId="16" borderId="0" xfId="0" applyNumberFormat="1" applyFill="1"/>
    <xf numFmtId="166" fontId="0" fillId="16" borderId="8" xfId="0" applyNumberFormat="1" applyFill="1" applyBorder="1"/>
    <xf numFmtId="166" fontId="0" fillId="16" borderId="9" xfId="0" applyNumberFormat="1" applyFill="1" applyBorder="1"/>
    <xf numFmtId="166" fontId="2" fillId="16" borderId="8" xfId="0" applyNumberFormat="1" applyFont="1" applyFill="1" applyBorder="1"/>
    <xf numFmtId="4" fontId="2" fillId="16" borderId="0" xfId="0" applyNumberFormat="1" applyFont="1" applyFill="1"/>
    <xf numFmtId="4" fontId="2" fillId="16" borderId="6" xfId="0" applyNumberFormat="1" applyFont="1" applyFill="1" applyBorder="1"/>
    <xf numFmtId="4" fontId="2" fillId="16" borderId="11" xfId="0" applyNumberFormat="1" applyFont="1" applyFill="1" applyBorder="1"/>
    <xf numFmtId="167" fontId="2" fillId="16" borderId="0" xfId="2" applyNumberFormat="1" applyFont="1" applyFill="1"/>
    <xf numFmtId="37" fontId="13" fillId="16" borderId="0" xfId="0" applyNumberFormat="1" applyFont="1" applyFill="1"/>
    <xf numFmtId="167" fontId="14" fillId="16" borderId="0" xfId="2" applyNumberFormat="1" applyFont="1" applyFill="1"/>
    <xf numFmtId="0" fontId="13" fillId="16" borderId="0" xfId="0" applyFont="1" applyFill="1"/>
    <xf numFmtId="37" fontId="2" fillId="16" borderId="0" xfId="0" applyNumberFormat="1" applyFont="1" applyFill="1"/>
    <xf numFmtId="37" fontId="14" fillId="18" borderId="0" xfId="0" applyNumberFormat="1" applyFont="1" applyFill="1"/>
    <xf numFmtId="167" fontId="2" fillId="16" borderId="0" xfId="2" applyNumberFormat="1" applyFont="1" applyFill="1" applyBorder="1"/>
    <xf numFmtId="167" fontId="2" fillId="16" borderId="8" xfId="2" applyNumberFormat="1" applyFont="1" applyFill="1" applyBorder="1"/>
    <xf numFmtId="37" fontId="13" fillId="16" borderId="0" xfId="0" applyNumberFormat="1" applyFont="1" applyFill="1" applyBorder="1"/>
    <xf numFmtId="37" fontId="2" fillId="16" borderId="0" xfId="0" applyNumberFormat="1" applyFont="1" applyFill="1" applyBorder="1"/>
    <xf numFmtId="37" fontId="14" fillId="18" borderId="0" xfId="0" applyNumberFormat="1" applyFont="1" applyFill="1" applyBorder="1"/>
    <xf numFmtId="4" fontId="0" fillId="16" borderId="0" xfId="0" applyNumberFormat="1" applyFill="1"/>
    <xf numFmtId="0" fontId="1" fillId="16" borderId="9" xfId="0" applyFont="1" applyFill="1" applyBorder="1"/>
    <xf numFmtId="0" fontId="1" fillId="16" borderId="0" xfId="0" applyFont="1" applyFill="1" applyBorder="1"/>
    <xf numFmtId="0" fontId="1" fillId="16" borderId="8" xfId="0" applyFont="1" applyFill="1" applyBorder="1"/>
    <xf numFmtId="165" fontId="9" fillId="16" borderId="0" xfId="1" applyNumberFormat="1" applyFont="1" applyFill="1"/>
    <xf numFmtId="4" fontId="0" fillId="16" borderId="6" xfId="0" applyNumberFormat="1" applyFill="1" applyBorder="1"/>
    <xf numFmtId="4" fontId="0" fillId="16" borderId="11" xfId="0" applyNumberFormat="1" applyFill="1" applyBorder="1"/>
    <xf numFmtId="3" fontId="13" fillId="16" borderId="0" xfId="0" applyNumberFormat="1" applyFont="1" applyFill="1"/>
    <xf numFmtId="3" fontId="13" fillId="16" borderId="8" xfId="0" applyNumberFormat="1" applyFont="1" applyFill="1" applyBorder="1"/>
    <xf numFmtId="165" fontId="14" fillId="16" borderId="0" xfId="1" applyNumberFormat="1" applyFont="1" applyFill="1"/>
    <xf numFmtId="165" fontId="14" fillId="16" borderId="8" xfId="1" applyNumberFormat="1" applyFont="1" applyFill="1" applyBorder="1"/>
    <xf numFmtId="0" fontId="2" fillId="16" borderId="7" xfId="0" applyFont="1" applyFill="1" applyBorder="1"/>
    <xf numFmtId="167" fontId="0" fillId="16" borderId="7" xfId="1" applyNumberFormat="1" applyFont="1" applyFill="1" applyBorder="1"/>
    <xf numFmtId="3" fontId="0" fillId="16" borderId="7" xfId="0" applyNumberFormat="1" applyFill="1" applyBorder="1"/>
    <xf numFmtId="0" fontId="0" fillId="16" borderId="7" xfId="0" applyFill="1" applyBorder="1"/>
    <xf numFmtId="3" fontId="0" fillId="16" borderId="10" xfId="0" applyNumberFormat="1" applyFill="1" applyBorder="1"/>
    <xf numFmtId="167" fontId="0" fillId="16" borderId="0" xfId="1" applyNumberFormat="1" applyFont="1" applyFill="1" applyBorder="1"/>
    <xf numFmtId="167" fontId="0" fillId="16" borderId="6" xfId="1" applyNumberFormat="1" applyFont="1" applyFill="1" applyBorder="1"/>
    <xf numFmtId="167" fontId="0" fillId="16" borderId="11" xfId="1" applyNumberFormat="1" applyFont="1" applyFill="1" applyBorder="1"/>
    <xf numFmtId="167" fontId="2" fillId="2" borderId="0" xfId="2" quotePrefix="1" applyNumberFormat="1" applyFont="1" applyFill="1" applyAlignment="1">
      <alignment horizontal="center"/>
    </xf>
    <xf numFmtId="167" fontId="2" fillId="2" borderId="0" xfId="2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7" fontId="2" fillId="2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7" fontId="2" fillId="0" borderId="0" xfId="0" quotePrefix="1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68" fontId="4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0" applyNumberFormat="1" applyFill="1" applyAlignment="1">
      <alignment horizontal="center"/>
    </xf>
    <xf numFmtId="17" fontId="2" fillId="0" borderId="0" xfId="0" applyNumberFormat="1" applyFont="1" applyFill="1" applyAlignment="1">
      <alignment horizontal="center"/>
    </xf>
    <xf numFmtId="49" fontId="2" fillId="0" borderId="0" xfId="0" applyNumberFormat="1" applyFont="1" applyFill="1" applyAlignment="1">
      <alignment horizontal="center"/>
    </xf>
    <xf numFmtId="184" fontId="2" fillId="0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7" fontId="2" fillId="5" borderId="0" xfId="0" quotePrefix="1" applyNumberFormat="1" applyFont="1" applyFill="1" applyAlignment="1">
      <alignment horizontal="center"/>
    </xf>
    <xf numFmtId="184" fontId="2" fillId="5" borderId="0" xfId="0" quotePrefix="1" applyNumberFormat="1" applyFont="1" applyFill="1" applyAlignment="1">
      <alignment horizontal="center"/>
    </xf>
    <xf numFmtId="0" fontId="2" fillId="0" borderId="0" xfId="12" applyFont="1" applyFill="1" applyAlignment="1">
      <alignment horizontal="center"/>
    </xf>
  </cellXfs>
  <cellStyles count="20">
    <cellStyle name="Comma 2" xfId="7"/>
    <cellStyle name="Comma 3" xfId="8"/>
    <cellStyle name="Comma 3 2" xfId="14"/>
    <cellStyle name="Comma 4" xfId="9"/>
    <cellStyle name="Comma 5" xfId="10"/>
    <cellStyle name="Comma 5 2" xfId="15"/>
    <cellStyle name="Comma 6" xfId="18"/>
    <cellStyle name="Comma_BGGas" xfId="2"/>
    <cellStyle name="Euro" xfId="3"/>
    <cellStyle name="Euro 2" xfId="11"/>
    <cellStyle name="Euro 2 2" xfId="16"/>
    <cellStyle name="Hipervínculo" xfId="4" builtinId="8"/>
    <cellStyle name="Millares" xfId="1" builtinId="3"/>
    <cellStyle name="Millares 2" xfId="19"/>
    <cellStyle name="Normal" xfId="0" builtinId="0"/>
    <cellStyle name="Normal 3" xfId="5"/>
    <cellStyle name="Normal 3 2" xfId="12"/>
    <cellStyle name="Percent 2" xfId="13"/>
    <cellStyle name="Percent 2 2" xfId="17"/>
    <cellStyle name="Porcentaje" xfId="6" builtinId="5"/>
  </cellStyles>
  <dxfs count="0"/>
  <tableStyles count="0" defaultTableStyle="TableStyleMedium9" defaultPivotStyle="PivotStyleLight16"/>
  <colors>
    <mruColors>
      <color rgb="FF66FFFF"/>
      <color rgb="FF66FF33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Cost!$A$5</c:f>
              <c:strCache>
                <c:ptCount val="1"/>
                <c:pt idx="0">
                  <c:v>Costo 2019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74060D0-F2D1-4CDB-A2CA-842EA65B1383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0B6-4733-A146-971522D8CC3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66CC30-8786-4CEA-B552-7FC8FA7AA2C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2561AD-E6BE-4B59-AA90-996D5B21F97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F13DA7-E8DA-479D-8936-B80BDC1B76E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1B2C52-9AAF-45A9-B027-D44639C3DCA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2A2B6B-4C6E-45F3-9975-ACEA3AFB301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68D9EF-89A2-4B73-86C3-240C8939C33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Cost!$B$5:$H$5</c:f>
              <c:numCache>
                <c:formatCode>0.0%</c:formatCode>
                <c:ptCount val="7"/>
                <c:pt idx="0">
                  <c:v>0.30265800678713128</c:v>
                </c:pt>
                <c:pt idx="1">
                  <c:v>0</c:v>
                </c:pt>
                <c:pt idx="2">
                  <c:v>0.32686393299690059</c:v>
                </c:pt>
                <c:pt idx="3">
                  <c:v>0.32292637823631842</c:v>
                </c:pt>
                <c:pt idx="4">
                  <c:v>0.35273030737028666</c:v>
                </c:pt>
                <c:pt idx="5">
                  <c:v>0.33204506055828864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2E7-4427-A394-F38F5A9F5183}"/>
            </c:ext>
            <c:ext xmlns:c15="http://schemas.microsoft.com/office/drawing/2012/chart" uri="{02D57815-91ED-43cb-92C2-25804820EDAC}">
              <c15:datalabelsRange>
                <c15:f>Cost!$B$8:$H$8</c15:f>
                <c15:dlblRangeCache>
                  <c:ptCount val="7"/>
                  <c:pt idx="0">
                    <c:v> 0.47 </c:v>
                  </c:pt>
                  <c:pt idx="1">
                    <c:v> -   </c:v>
                  </c:pt>
                  <c:pt idx="2">
                    <c:v> 0.10 </c:v>
                  </c:pt>
                  <c:pt idx="3">
                    <c:v> 0.20 </c:v>
                  </c:pt>
                  <c:pt idx="4">
                    <c:v> 0.08 </c:v>
                  </c:pt>
                  <c:pt idx="5">
                    <c:v> 0.10 </c:v>
                  </c:pt>
                  <c:pt idx="6">
                    <c:v> -  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Cost!$A$6</c:f>
              <c:strCache>
                <c:ptCount val="1"/>
                <c:pt idx="0">
                  <c:v>Costo P. 2019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54529AC-3E05-42F8-8987-3F2A6A47B426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90B6-4733-A146-971522D8CC3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05AAFE-D1A7-4D76-BBF2-0B4C1A82972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88DE6A-0779-4647-A6B7-12C8F0232DD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34925F-124D-4BDD-A16B-491B9CF2720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A748A8-75C0-4C6D-8D5E-0EE082FE86C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85563E-7E96-4D6A-BE1E-3CB99D352F0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36587E-D4DE-4DF0-94ED-55C79006362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Cost!$B$6:$H$6</c:f>
              <c:numCache>
                <c:formatCode>0.0%</c:formatCode>
                <c:ptCount val="7"/>
                <c:pt idx="0">
                  <c:v>0.32751925460730003</c:v>
                </c:pt>
                <c:pt idx="1">
                  <c:v>0</c:v>
                </c:pt>
                <c:pt idx="2">
                  <c:v>0.35550160842374473</c:v>
                </c:pt>
                <c:pt idx="3">
                  <c:v>0.35399958680014276</c:v>
                </c:pt>
                <c:pt idx="4">
                  <c:v>0.35400182710620443</c:v>
                </c:pt>
                <c:pt idx="5">
                  <c:v>0.34100058190716342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2E7-4427-A394-F38F5A9F5183}"/>
            </c:ext>
            <c:ext xmlns:c15="http://schemas.microsoft.com/office/drawing/2012/chart" uri="{02D57815-91ED-43cb-92C2-25804820EDAC}">
              <c15:datalabelsRange>
                <c15:f>Cost!$B$9:$H$9</c15:f>
                <c15:dlblRangeCache>
                  <c:ptCount val="7"/>
                  <c:pt idx="0">
                    <c:v> 0.56 </c:v>
                  </c:pt>
                  <c:pt idx="1">
                    <c:v> -   </c:v>
                  </c:pt>
                  <c:pt idx="2">
                    <c:v> 0.11 </c:v>
                  </c:pt>
                  <c:pt idx="3">
                    <c:v> 0.25 </c:v>
                  </c:pt>
                  <c:pt idx="4">
                    <c:v> 0.09 </c:v>
                  </c:pt>
                  <c:pt idx="5">
                    <c:v> 0.11 </c:v>
                  </c:pt>
                  <c:pt idx="6">
                    <c:v> -  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Cost!$A$7</c:f>
              <c:strCache>
                <c:ptCount val="1"/>
                <c:pt idx="0">
                  <c:v>Costo 2018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588A68-4728-4B65-8FA3-49D9AF7F9E51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90B6-4733-A146-971522D8CC3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FD77D1-C820-464F-BF86-720918E3279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40E612-C8D6-4C93-8BB0-2E71487E596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DA87B7-C99B-4CF5-B686-0B3575C7C2B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53ED93-D407-4F0F-9E85-D2981F0B3EF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CBEE39-E17A-454D-B3CC-0332DC26ABB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DCA479-C044-49C6-AE40-9A87EE58C74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Cost!$B$7:$H$7</c:f>
              <c:numCache>
                <c:formatCode>0.0%</c:formatCode>
                <c:ptCount val="7"/>
                <c:pt idx="0">
                  <c:v>0.32568466634963267</c:v>
                </c:pt>
                <c:pt idx="1">
                  <c:v>0</c:v>
                </c:pt>
                <c:pt idx="2">
                  <c:v>0.35778934042922533</c:v>
                </c:pt>
                <c:pt idx="3">
                  <c:v>0.35255198126847348</c:v>
                </c:pt>
                <c:pt idx="4">
                  <c:v>0.35319558345205176</c:v>
                </c:pt>
                <c:pt idx="5">
                  <c:v>0.33895277481457248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2E7-4427-A394-F38F5A9F5183}"/>
            </c:ext>
            <c:ext xmlns:c15="http://schemas.microsoft.com/office/drawing/2012/chart" uri="{02D57815-91ED-43cb-92C2-25804820EDAC}">
              <c15:datalabelsRange>
                <c15:f>Cost!$B$10:$H$10</c15:f>
                <c15:dlblRangeCache>
                  <c:ptCount val="7"/>
                  <c:pt idx="0">
                    <c:v> 0.54 </c:v>
                  </c:pt>
                  <c:pt idx="1">
                    <c:v> -   </c:v>
                  </c:pt>
                  <c:pt idx="2">
                    <c:v> 0.11 </c:v>
                  </c:pt>
                  <c:pt idx="3">
                    <c:v> 0.23 </c:v>
                  </c:pt>
                  <c:pt idx="4">
                    <c:v> 0.09 </c:v>
                  </c:pt>
                  <c:pt idx="5">
                    <c:v> 0.11 </c:v>
                  </c:pt>
                  <c:pt idx="6">
                    <c:v> -  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558552"/>
        <c:axId val="264559336"/>
      </c:barChart>
      <c:catAx>
        <c:axId val="2645585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64559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559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64558552"/>
        <c:crosses val="autoZero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" r="0.750000000000004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Cost!$A$28</c:f>
              <c:strCache>
                <c:ptCount val="1"/>
                <c:pt idx="0">
                  <c:v>Gasto 2019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565EFA1-917D-42FD-B716-466DC80606B6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D66-4D3A-9139-9A70E3A733A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E71C4B-F12B-48EB-BC21-81F65A68744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20EEB3-86B8-4C05-9FB4-F8535BF838F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CA748B-3B1A-445E-A5F9-5FAC8A5A4A8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0C18E9-B4BE-47A2-B3F0-0E7F8FA4CC4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8A3B4A-8B65-48B7-B1E7-334A78B1AF8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5D163D-7B10-487F-BB20-2DB95955045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Cost!$B$28:$H$28</c:f>
              <c:numCache>
                <c:formatCode>0.0%</c:formatCode>
                <c:ptCount val="7"/>
                <c:pt idx="0">
                  <c:v>0.66299596371339187</c:v>
                </c:pt>
                <c:pt idx="1">
                  <c:v>0</c:v>
                </c:pt>
                <c:pt idx="2">
                  <c:v>0.69223618005574306</c:v>
                </c:pt>
                <c:pt idx="3">
                  <c:v>0.64116657859377146</c:v>
                </c:pt>
                <c:pt idx="4">
                  <c:v>0.79715500848851517</c:v>
                </c:pt>
                <c:pt idx="5">
                  <c:v>0.69719119654184103</c:v>
                </c:pt>
                <c:pt idx="6">
                  <c:v>0.32719970054995151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2E7-4427-A394-F38F5A9F5183}"/>
            </c:ext>
            <c:ext xmlns:c15="http://schemas.microsoft.com/office/drawing/2012/chart" uri="{02D57815-91ED-43cb-92C2-25804820EDAC}">
              <c15:datalabelsRange>
                <c15:f>Cost!$B$31:$H$31</c15:f>
                <c15:dlblRangeCache>
                  <c:ptCount val="7"/>
                  <c:pt idx="0">
                    <c:v> 1.03 </c:v>
                  </c:pt>
                  <c:pt idx="1">
                    <c:v> 0.01 </c:v>
                  </c:pt>
                  <c:pt idx="2">
                    <c:v> 0.20 </c:v>
                  </c:pt>
                  <c:pt idx="3">
                    <c:v> 0.40 </c:v>
                  </c:pt>
                  <c:pt idx="4">
                    <c:v> 0.17 </c:v>
                  </c:pt>
                  <c:pt idx="5">
                    <c:v> 0.21 </c:v>
                  </c:pt>
                  <c:pt idx="6">
                    <c:v> 0.04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Cost!$A$29</c:f>
              <c:strCache>
                <c:ptCount val="1"/>
                <c:pt idx="0">
                  <c:v>Gasto P. 2019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C606935-7D1A-4603-BD2E-0B67D20A327A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D66-4D3A-9139-9A70E3A733A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F6715D-2D77-4AAB-BB33-39992DB52AC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FAD0B3-4DD8-4CF1-B0D7-FD18A183908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2CEF61-A8F3-4593-B28C-D9CE090C602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B34DE6-4406-4F7C-AC2D-287D3BC67FE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11786F-789E-47CA-B872-19890D31F22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7C8AC3-386B-48F0-BB2F-CE2E6581C91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Cost!$B$29:$H$29</c:f>
              <c:numCache>
                <c:formatCode>0.0%</c:formatCode>
                <c:ptCount val="7"/>
                <c:pt idx="0">
                  <c:v>0.65689183346159952</c:v>
                </c:pt>
                <c:pt idx="1">
                  <c:v>0</c:v>
                </c:pt>
                <c:pt idx="2">
                  <c:v>0.71866237753668072</c:v>
                </c:pt>
                <c:pt idx="3">
                  <c:v>0.62644710247211999</c:v>
                </c:pt>
                <c:pt idx="4">
                  <c:v>0.75538067293250544</c:v>
                </c:pt>
                <c:pt idx="5">
                  <c:v>0.69561480729920466</c:v>
                </c:pt>
                <c:pt idx="6">
                  <c:v>0.27128116938950991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2E7-4427-A394-F38F5A9F5183}"/>
            </c:ext>
            <c:ext xmlns:c15="http://schemas.microsoft.com/office/drawing/2012/chart" uri="{02D57815-91ED-43cb-92C2-25804820EDAC}">
              <c15:datalabelsRange>
                <c15:f>Cost!$B$32:$H$32</c15:f>
                <c15:dlblRangeCache>
                  <c:ptCount val="7"/>
                  <c:pt idx="0">
                    <c:v> 1.12 </c:v>
                  </c:pt>
                  <c:pt idx="1">
                    <c:v> 0.01 </c:v>
                  </c:pt>
                  <c:pt idx="2">
                    <c:v> 0.22 </c:v>
                  </c:pt>
                  <c:pt idx="3">
                    <c:v> 0.43 </c:v>
                  </c:pt>
                  <c:pt idx="4">
                    <c:v> 0.20 </c:v>
                  </c:pt>
                  <c:pt idx="5">
                    <c:v> 0.23 </c:v>
                  </c:pt>
                  <c:pt idx="6">
                    <c:v> 0.03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Cost!$A$30</c:f>
              <c:strCache>
                <c:ptCount val="1"/>
                <c:pt idx="0">
                  <c:v>Gasto 2018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D741887-0914-4555-9154-04EFD34855A7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5D66-4D3A-9139-9A70E3A733A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347CB6-0520-4E57-A849-80E3F09F2E3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A05DCE-960D-4EB0-8B7A-81C3C40A6D5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0A6F0E-C9B3-4E8D-A3F5-DAA1C96A2BF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99B877-08EF-4D2C-B724-F2FEAC251B0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2EB4A0-8491-4807-BB7E-AADA7CDB16C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E799D7-21E6-4D4F-9E03-5F1B8F43B1D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Cost!$B$4:$H$4</c:f>
              <c:strCache>
                <c:ptCount val="7"/>
                <c:pt idx="0">
                  <c:v>Alimentos EU</c:v>
                </c:pt>
                <c:pt idx="1">
                  <c:v>SW</c:v>
                </c:pt>
                <c:pt idx="2">
                  <c:v>PDS</c:v>
                </c:pt>
                <c:pt idx="3">
                  <c:v>PDC</c:v>
                </c:pt>
                <c:pt idx="4">
                  <c:v>PZS</c:v>
                </c:pt>
                <c:pt idx="5">
                  <c:v>PZG</c:v>
                </c:pt>
                <c:pt idx="6">
                  <c:v>RE</c:v>
                </c:pt>
              </c:strCache>
            </c:strRef>
          </c:cat>
          <c:val>
            <c:numRef>
              <c:f>Cost!$B$30:$H$30</c:f>
              <c:numCache>
                <c:formatCode>0.0%</c:formatCode>
                <c:ptCount val="7"/>
                <c:pt idx="0">
                  <c:v>0.69190185996997244</c:v>
                </c:pt>
                <c:pt idx="1">
                  <c:v>0</c:v>
                </c:pt>
                <c:pt idx="2">
                  <c:v>0.73951675764171565</c:v>
                </c:pt>
                <c:pt idx="3">
                  <c:v>0.6485702541536652</c:v>
                </c:pt>
                <c:pt idx="4">
                  <c:v>0.78792863596564033</c:v>
                </c:pt>
                <c:pt idx="5">
                  <c:v>0.73785168188674122</c:v>
                </c:pt>
                <c:pt idx="6">
                  <c:v>0.4053194295063306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2E7-4427-A394-F38F5A9F5183}"/>
            </c:ext>
            <c:ext xmlns:c15="http://schemas.microsoft.com/office/drawing/2012/chart" uri="{02D57815-91ED-43cb-92C2-25804820EDAC}">
              <c15:datalabelsRange>
                <c15:f>Cost!$B$33:$H$33</c15:f>
                <c15:dlblRangeCache>
                  <c:ptCount val="7"/>
                  <c:pt idx="0">
                    <c:v> 1.14 </c:v>
                  </c:pt>
                  <c:pt idx="1">
                    <c:v> 0.01 </c:v>
                  </c:pt>
                  <c:pt idx="2">
                    <c:v> 0.22 </c:v>
                  </c:pt>
                  <c:pt idx="3">
                    <c:v> 0.43 </c:v>
                  </c:pt>
                  <c:pt idx="4">
                    <c:v> 0.20 </c:v>
                  </c:pt>
                  <c:pt idx="5">
                    <c:v> 0.24 </c:v>
                  </c:pt>
                  <c:pt idx="6">
                    <c:v> 0.05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556592"/>
        <c:axId val="264557376"/>
      </c:barChart>
      <c:catAx>
        <c:axId val="264556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64557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557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64556592"/>
        <c:crosses val="autoZero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" r="0.750000000000004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Tendencias!$A$7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3206.1209999999992</c:v>
                </c:pt>
                <c:pt idx="1">
                  <c:v>3211.2429999999999</c:v>
                </c:pt>
                <c:pt idx="2">
                  <c:v>3584.7779999999998</c:v>
                </c:pt>
                <c:pt idx="3">
                  <c:v>2397.9750000000004</c:v>
                </c:pt>
                <c:pt idx="4">
                  <c:v>1650.9629999999997</c:v>
                </c:pt>
                <c:pt idx="5">
                  <c:v>1560.11716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Tendencias!$A$8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3265.4009999999998</c:v>
                </c:pt>
                <c:pt idx="1">
                  <c:v>3194.8710000000001</c:v>
                </c:pt>
                <c:pt idx="2">
                  <c:v>3786.6410000000001</c:v>
                </c:pt>
                <c:pt idx="3">
                  <c:v>3456.51</c:v>
                </c:pt>
                <c:pt idx="4">
                  <c:v>1749.1970000000001</c:v>
                </c:pt>
                <c:pt idx="5">
                  <c:v>1702.1899999999998</c:v>
                </c:pt>
                <c:pt idx="6">
                  <c:v>1702.1899999999998</c:v>
                </c:pt>
                <c:pt idx="7">
                  <c:v>3640.1078793500001</c:v>
                </c:pt>
                <c:pt idx="8">
                  <c:v>3343.8643950000005</c:v>
                </c:pt>
                <c:pt idx="9">
                  <c:v>3479.5006606890001</c:v>
                </c:pt>
                <c:pt idx="10">
                  <c:v>3299.7456491498383</c:v>
                </c:pt>
                <c:pt idx="11">
                  <c:v>3479.4791457233464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Tendencias!$A$9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3178.36</c:v>
                </c:pt>
                <c:pt idx="1">
                  <c:v>3128.6740000000004</c:v>
                </c:pt>
                <c:pt idx="2">
                  <c:v>3756.1959999999999</c:v>
                </c:pt>
                <c:pt idx="3">
                  <c:v>3357.0819999999994</c:v>
                </c:pt>
                <c:pt idx="4">
                  <c:v>1676.7920000000001</c:v>
                </c:pt>
                <c:pt idx="5">
                  <c:v>1650.8427799999999</c:v>
                </c:pt>
                <c:pt idx="6">
                  <c:v>1650.8427799999999</c:v>
                </c:pt>
                <c:pt idx="7">
                  <c:v>3512.7522899999999</c:v>
                </c:pt>
                <c:pt idx="8">
                  <c:v>3240.3201499999996</c:v>
                </c:pt>
                <c:pt idx="9">
                  <c:v>3342.05</c:v>
                </c:pt>
                <c:pt idx="10">
                  <c:v>3198.1239999999998</c:v>
                </c:pt>
                <c:pt idx="11">
                  <c:v>3407.6059999999993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559728"/>
        <c:axId val="323224008"/>
      </c:barChart>
      <c:lineChart>
        <c:grouping val="standard"/>
        <c:varyColors val="0"/>
        <c:ser>
          <c:idx val="3"/>
          <c:order val="3"/>
          <c:tx>
            <c:strRef>
              <c:f>Tendencias!$A$10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21.338999999999782</c:v>
                </c:pt>
                <c:pt idx="1">
                  <c:v>191.29499999999985</c:v>
                </c:pt>
                <c:pt idx="2">
                  <c:v>267.38599999999991</c:v>
                </c:pt>
                <c:pt idx="3">
                  <c:v>87.509</c:v>
                </c:pt>
                <c:pt idx="4">
                  <c:v>95.239999999999938</c:v>
                </c:pt>
                <c:pt idx="5">
                  <c:v>93.899649999999966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Tendencias!$A$11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val>
            <c:numRef>
              <c:f>Tendencias!$B$11:$M$11</c:f>
              <c:numCache>
                <c:formatCode>_-* #,##0_-;\-* #,##0_-;_-* "-"??_-;_-@_-</c:formatCode>
                <c:ptCount val="12"/>
                <c:pt idx="0">
                  <c:v>-42.789999999999949</c:v>
                </c:pt>
                <c:pt idx="1">
                  <c:v>7.1450000000001062</c:v>
                </c:pt>
                <c:pt idx="2">
                  <c:v>211.21300000000014</c:v>
                </c:pt>
                <c:pt idx="3">
                  <c:v>101.55899999999984</c:v>
                </c:pt>
                <c:pt idx="4">
                  <c:v>63.732999999999961</c:v>
                </c:pt>
                <c:pt idx="5">
                  <c:v>74.439289999999957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Tendencias!$A$12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val>
            <c:numRef>
              <c:f>Tendencias!$B$12:$M$12</c:f>
              <c:numCache>
                <c:formatCode>_-* #,##0_-;\-* #,##0_-;_-* "-"??_-;_-@_-</c:formatCode>
                <c:ptCount val="12"/>
                <c:pt idx="0">
                  <c:v>148.12299999999999</c:v>
                </c:pt>
                <c:pt idx="1">
                  <c:v>154.67574999999999</c:v>
                </c:pt>
                <c:pt idx="2">
                  <c:v>154.99124</c:v>
                </c:pt>
                <c:pt idx="3">
                  <c:v>128.30806000000001</c:v>
                </c:pt>
                <c:pt idx="4">
                  <c:v>93.409000000000006</c:v>
                </c:pt>
                <c:pt idx="5">
                  <c:v>96.461160000000007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94-4825-BC39-03C656459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25576"/>
        <c:axId val="323224792"/>
      </c:lineChart>
      <c:catAx>
        <c:axId val="2645597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224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224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264559728"/>
        <c:crosses val="autoZero"/>
        <c:crossBetween val="between"/>
      </c:valAx>
      <c:catAx>
        <c:axId val="323225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23224792"/>
        <c:crosses val="autoZero"/>
        <c:auto val="1"/>
        <c:lblAlgn val="ctr"/>
        <c:lblOffset val="100"/>
        <c:noMultiLvlLbl val="0"/>
      </c:catAx>
      <c:valAx>
        <c:axId val="32322479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225576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Tendencias!$A$20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Tendencias!$B$20:$M$20</c:f>
              <c:numCache>
                <c:formatCode>_-* #,##0_-;\-* #,##0_-;_-* "-"??_-;_-@_-</c:formatCode>
                <c:ptCount val="12"/>
                <c:pt idx="0">
                  <c:v>1750.636</c:v>
                </c:pt>
                <c:pt idx="1">
                  <c:v>1696.8789999999999</c:v>
                </c:pt>
                <c:pt idx="2">
                  <c:v>1885.366</c:v>
                </c:pt>
                <c:pt idx="3">
                  <c:v>862.14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Tendencias!$A$21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Tendencias!$B$21:$M$21</c:f>
              <c:numCache>
                <c:formatCode>_-* #,##0_-;\-* #,##0_-;_-* "-"??_-;_-@_-</c:formatCode>
                <c:ptCount val="12"/>
                <c:pt idx="0">
                  <c:v>1685.348</c:v>
                </c:pt>
                <c:pt idx="1">
                  <c:v>1630.4770000000001</c:v>
                </c:pt>
                <c:pt idx="2">
                  <c:v>1976.4090000000001</c:v>
                </c:pt>
                <c:pt idx="3">
                  <c:v>1801.87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1940.7899893499998</c:v>
                </c:pt>
                <c:pt idx="8">
                  <c:v>1721.684205</c:v>
                </c:pt>
                <c:pt idx="9">
                  <c:v>1841.4538251200001</c:v>
                </c:pt>
                <c:pt idx="10">
                  <c:v>1716.7765254710121</c:v>
                </c:pt>
                <c:pt idx="11">
                  <c:v>1798.9841949016704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Tendencias!$A$22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Tendencias!$B$22:$M$22</c:f>
              <c:numCache>
                <c:formatCode>_-* #,##0_-;\-* #,##0_-;_-* "-"??_-;_-@_-</c:formatCode>
                <c:ptCount val="12"/>
                <c:pt idx="0">
                  <c:v>1645.085</c:v>
                </c:pt>
                <c:pt idx="1">
                  <c:v>1592.0060000000001</c:v>
                </c:pt>
                <c:pt idx="2">
                  <c:v>1974.1569999999999</c:v>
                </c:pt>
                <c:pt idx="3">
                  <c:v>1744.587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1885.1558099999997</c:v>
                </c:pt>
                <c:pt idx="8">
                  <c:v>1660.3848199999998</c:v>
                </c:pt>
                <c:pt idx="9">
                  <c:v>1768.558</c:v>
                </c:pt>
                <c:pt idx="10">
                  <c:v>1681.1880000000001</c:v>
                </c:pt>
                <c:pt idx="11">
                  <c:v>1786.28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25184"/>
        <c:axId val="323226360"/>
      </c:barChart>
      <c:lineChart>
        <c:grouping val="standard"/>
        <c:varyColors val="0"/>
        <c:ser>
          <c:idx val="3"/>
          <c:order val="3"/>
          <c:tx>
            <c:strRef>
              <c:f>Tendencias!$A$23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Tendencias!$B$23:$M$23</c:f>
              <c:numCache>
                <c:formatCode>_-* #,##0_-;\-* #,##0_-;_-* "-"??_-;_-@_-</c:formatCode>
                <c:ptCount val="12"/>
                <c:pt idx="0">
                  <c:v>44.685999999999858</c:v>
                </c:pt>
                <c:pt idx="1">
                  <c:v>77.590999999999838</c:v>
                </c:pt>
                <c:pt idx="2">
                  <c:v>107.12899999999985</c:v>
                </c:pt>
                <c:pt idx="3">
                  <c:v>-3.3320000000000558</c:v>
                </c:pt>
                <c:pt idx="4">
                  <c:v>-20.979000000000003</c:v>
                </c:pt>
                <c:pt idx="5">
                  <c:v>-8.9507099999999991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Tendencias!$A$24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Tendencias!$B$24:$M$24</c:f>
              <c:numCache>
                <c:formatCode>_-* #,##0_-;\-* #,##0_-;_-* "-"??_-;_-@_-</c:formatCode>
                <c:ptCount val="12"/>
                <c:pt idx="0">
                  <c:v>-49.666999999999931</c:v>
                </c:pt>
                <c:pt idx="1">
                  <c:v>-20.815999999999931</c:v>
                </c:pt>
                <c:pt idx="2">
                  <c:v>87.116000000000199</c:v>
                </c:pt>
                <c:pt idx="3">
                  <c:v>45.581999999999866</c:v>
                </c:pt>
                <c:pt idx="4">
                  <c:v>-20.979000000000003</c:v>
                </c:pt>
                <c:pt idx="5">
                  <c:v>-8.9507099999999991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Tendencias!$A$25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Tendencias!$B$25:$M$25</c:f>
              <c:numCache>
                <c:formatCode>_-* #,##0_-;\-* #,##0_-;_-* "-"??_-;_-@_-</c:formatCode>
                <c:ptCount val="12"/>
                <c:pt idx="0">
                  <c:v>57.123999999999995</c:v>
                </c:pt>
                <c:pt idx="1">
                  <c:v>57.779730000000001</c:v>
                </c:pt>
                <c:pt idx="2">
                  <c:v>57.253509999999999</c:v>
                </c:pt>
                <c:pt idx="3">
                  <c:v>28.731999999999999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CB-4A1C-ABC1-4110F443E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23224"/>
        <c:axId val="323226752"/>
      </c:lineChart>
      <c:catAx>
        <c:axId val="3232251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226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22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225184"/>
        <c:crosses val="autoZero"/>
        <c:crossBetween val="between"/>
      </c:valAx>
      <c:catAx>
        <c:axId val="323223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23226752"/>
        <c:crosses val="autoZero"/>
        <c:auto val="1"/>
        <c:lblAlgn val="ctr"/>
        <c:lblOffset val="100"/>
        <c:noMultiLvlLbl val="0"/>
      </c:catAx>
      <c:valAx>
        <c:axId val="32322675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223224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Tendencias!$A$33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Tendencias!$B$33:$M$33</c:f>
              <c:numCache>
                <c:formatCode>_-* #,##0_-;\-* #,##0_-;_-* "-"??_-;_-@_-</c:formatCode>
                <c:ptCount val="12"/>
                <c:pt idx="0">
                  <c:v>579.04999999999995</c:v>
                </c:pt>
                <c:pt idx="1">
                  <c:v>581.85400000000004</c:v>
                </c:pt>
                <c:pt idx="2">
                  <c:v>655.04700000000003</c:v>
                </c:pt>
                <c:pt idx="3">
                  <c:v>611.44500000000005</c:v>
                </c:pt>
                <c:pt idx="4">
                  <c:v>637.29499999999996</c:v>
                </c:pt>
                <c:pt idx="5">
                  <c:v>617.27277000000004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Tendencias!$A$34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604.61400000000003</c:v>
                </c:pt>
                <c:pt idx="1">
                  <c:v>609.41300000000001</c:v>
                </c:pt>
                <c:pt idx="2">
                  <c:v>723.60299999999995</c:v>
                </c:pt>
                <c:pt idx="3">
                  <c:v>660.66899999999998</c:v>
                </c:pt>
                <c:pt idx="4">
                  <c:v>694.25199999999995</c:v>
                </c:pt>
                <c:pt idx="5">
                  <c:v>692.15899999999999</c:v>
                </c:pt>
                <c:pt idx="6">
                  <c:v>692.15899999999999</c:v>
                </c:pt>
                <c:pt idx="7">
                  <c:v>696.92245000000003</c:v>
                </c:pt>
                <c:pt idx="8">
                  <c:v>646.8626999999999</c:v>
                </c:pt>
                <c:pt idx="9">
                  <c:v>651.31947776449988</c:v>
                </c:pt>
                <c:pt idx="10">
                  <c:v>614.8623300304746</c:v>
                </c:pt>
                <c:pt idx="11">
                  <c:v>619.55943033352776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Tendencias!$A$35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575.39300000000003</c:v>
                </c:pt>
                <c:pt idx="1">
                  <c:v>592.32500000000005</c:v>
                </c:pt>
                <c:pt idx="2">
                  <c:v>704.00900000000001</c:v>
                </c:pt>
                <c:pt idx="3">
                  <c:v>634.43899999999996</c:v>
                </c:pt>
                <c:pt idx="4">
                  <c:v>658.94100000000003</c:v>
                </c:pt>
                <c:pt idx="5">
                  <c:v>657.41998999999998</c:v>
                </c:pt>
                <c:pt idx="6">
                  <c:v>657.41998999999998</c:v>
                </c:pt>
                <c:pt idx="7">
                  <c:v>664.33663000000001</c:v>
                </c:pt>
                <c:pt idx="8">
                  <c:v>617.20121000000006</c:v>
                </c:pt>
                <c:pt idx="9">
                  <c:v>615.48400000000004</c:v>
                </c:pt>
                <c:pt idx="10">
                  <c:v>589.61800000000005</c:v>
                </c:pt>
                <c:pt idx="11">
                  <c:v>619.06700000000001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22832"/>
        <c:axId val="323222440"/>
      </c:barChart>
      <c:lineChart>
        <c:grouping val="standard"/>
        <c:varyColors val="0"/>
        <c:ser>
          <c:idx val="3"/>
          <c:order val="3"/>
          <c:tx>
            <c:strRef>
              <c:f>Tendencias!$A$36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-43.849000000000068</c:v>
                </c:pt>
                <c:pt idx="1">
                  <c:v>-3.8289999999999731</c:v>
                </c:pt>
                <c:pt idx="2">
                  <c:v>36.03900000000008</c:v>
                </c:pt>
                <c:pt idx="3">
                  <c:v>26.434000000000061</c:v>
                </c:pt>
                <c:pt idx="4">
                  <c:v>4.4179999999999273</c:v>
                </c:pt>
                <c:pt idx="5">
                  <c:v>25.253749999999958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Tendencias!$A$37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-22.359000000000002</c:v>
                </c:pt>
                <c:pt idx="1">
                  <c:v>-12.242999999999959</c:v>
                </c:pt>
                <c:pt idx="2">
                  <c:v>33.280999999999928</c:v>
                </c:pt>
                <c:pt idx="3">
                  <c:v>7.4079999999999364</c:v>
                </c:pt>
                <c:pt idx="4">
                  <c:v>17.565999999999953</c:v>
                </c:pt>
                <c:pt idx="5">
                  <c:v>16.371999999999936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Tendencias!$A$38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34.11</c:v>
                </c:pt>
                <c:pt idx="1">
                  <c:v>34.000300000000003</c:v>
                </c:pt>
                <c:pt idx="2">
                  <c:v>33.999639999999999</c:v>
                </c:pt>
                <c:pt idx="3">
                  <c:v>34.000389999999996</c:v>
                </c:pt>
                <c:pt idx="4">
                  <c:v>32.109000000000002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83-44EA-9A78-6814EF253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19696"/>
        <c:axId val="323220480"/>
      </c:lineChart>
      <c:catAx>
        <c:axId val="323222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22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222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222832"/>
        <c:crosses val="autoZero"/>
        <c:crossBetween val="between"/>
      </c:valAx>
      <c:catAx>
        <c:axId val="323219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23220480"/>
        <c:crosses val="autoZero"/>
        <c:auto val="1"/>
        <c:lblAlgn val="ctr"/>
        <c:lblOffset val="100"/>
        <c:noMultiLvlLbl val="0"/>
      </c:catAx>
      <c:valAx>
        <c:axId val="323220480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219696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Tendencias!$A$46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Tendencias!$B$46:$M$46</c:f>
              <c:numCache>
                <c:formatCode>_-* #,##0_-;\-* #,##0_-;_-* "-"??_-;_-@_-</c:formatCode>
                <c:ptCount val="12"/>
                <c:pt idx="0">
                  <c:v>272.04000000000002</c:v>
                </c:pt>
                <c:pt idx="1">
                  <c:v>289.18099999999998</c:v>
                </c:pt>
                <c:pt idx="2">
                  <c:v>323.149</c:v>
                </c:pt>
                <c:pt idx="3">
                  <c:v>298.74099999999999</c:v>
                </c:pt>
                <c:pt idx="4">
                  <c:v>306.56400000000002</c:v>
                </c:pt>
                <c:pt idx="5">
                  <c:v>290.98833000000002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Tendencias!$A$47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Tendencias!$B$47:$M$47</c:f>
              <c:numCache>
                <c:formatCode>_-* #,##0_-;\-* #,##0_-;_-* "-"??_-;_-@_-</c:formatCode>
                <c:ptCount val="12"/>
                <c:pt idx="0">
                  <c:v>285.48500000000001</c:v>
                </c:pt>
                <c:pt idx="1">
                  <c:v>288.41399999999999</c:v>
                </c:pt>
                <c:pt idx="2">
                  <c:v>334.673</c:v>
                </c:pt>
                <c:pt idx="3">
                  <c:v>305.74599999999998</c:v>
                </c:pt>
                <c:pt idx="4">
                  <c:v>321.726</c:v>
                </c:pt>
                <c:pt idx="5">
                  <c:v>300.29399999999998</c:v>
                </c:pt>
                <c:pt idx="6">
                  <c:v>300.29399999999998</c:v>
                </c:pt>
                <c:pt idx="7">
                  <c:v>315.12936000000002</c:v>
                </c:pt>
                <c:pt idx="8">
                  <c:v>292.81928000000005</c:v>
                </c:pt>
                <c:pt idx="9">
                  <c:v>302.01518948149999</c:v>
                </c:pt>
                <c:pt idx="10">
                  <c:v>288.58757056849453</c:v>
                </c:pt>
                <c:pt idx="11">
                  <c:v>302.86672025903079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Tendencias!$A$48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Tendencias!$B$48:$M$48</c:f>
              <c:numCache>
                <c:formatCode>_-* #,##0_-;\-* #,##0_-;_-* "-"??_-;_-@_-</c:formatCode>
                <c:ptCount val="12"/>
                <c:pt idx="0">
                  <c:v>274.04000000000002</c:v>
                </c:pt>
                <c:pt idx="1">
                  <c:v>280.08999999999997</c:v>
                </c:pt>
                <c:pt idx="2">
                  <c:v>328.03899999999999</c:v>
                </c:pt>
                <c:pt idx="3">
                  <c:v>294.45999999999998</c:v>
                </c:pt>
                <c:pt idx="4">
                  <c:v>308.786</c:v>
                </c:pt>
                <c:pt idx="5">
                  <c:v>294.54413</c:v>
                </c:pt>
                <c:pt idx="6">
                  <c:v>294.54413</c:v>
                </c:pt>
                <c:pt idx="7">
                  <c:v>302.59249999999997</c:v>
                </c:pt>
                <c:pt idx="8">
                  <c:v>282.31452000000002</c:v>
                </c:pt>
                <c:pt idx="9">
                  <c:v>287.55599999999998</c:v>
                </c:pt>
                <c:pt idx="10">
                  <c:v>284.49599999999998</c:v>
                </c:pt>
                <c:pt idx="11">
                  <c:v>321.27199999999999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814568"/>
        <c:axId val="323815744"/>
      </c:barChart>
      <c:lineChart>
        <c:grouping val="standard"/>
        <c:varyColors val="0"/>
        <c:ser>
          <c:idx val="3"/>
          <c:order val="3"/>
          <c:tx>
            <c:strRef>
              <c:f>Tendencias!$A$49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Tendencias!$B$49:$M$49</c:f>
              <c:numCache>
                <c:formatCode>_-* #,##0_-;\-* #,##0_-;_-* "-"??_-;_-@_-</c:formatCode>
                <c:ptCount val="12"/>
                <c:pt idx="0">
                  <c:v>-23.789999999999992</c:v>
                </c:pt>
                <c:pt idx="1">
                  <c:v>1.4149999999999641</c:v>
                </c:pt>
                <c:pt idx="2">
                  <c:v>10.959000000000003</c:v>
                </c:pt>
                <c:pt idx="3">
                  <c:v>-1.3190000000000164</c:v>
                </c:pt>
                <c:pt idx="4">
                  <c:v>4.0260000000000113</c:v>
                </c:pt>
                <c:pt idx="5">
                  <c:v>-3.6945899999999643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Tendencias!$A$50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Tendencias!$B$50:$M$50</c:f>
              <c:numCache>
                <c:formatCode>_-* #,##0_-;\-* #,##0_-;_-* "-"??_-;_-@_-</c:formatCode>
                <c:ptCount val="12"/>
                <c:pt idx="0">
                  <c:v>-30.515000000000015</c:v>
                </c:pt>
                <c:pt idx="1">
                  <c:v>-25.974000000000046</c:v>
                </c:pt>
                <c:pt idx="2">
                  <c:v>-5.7930000000000064</c:v>
                </c:pt>
                <c:pt idx="3">
                  <c:v>-24.534999999999997</c:v>
                </c:pt>
                <c:pt idx="4">
                  <c:v>-17.27600000000001</c:v>
                </c:pt>
                <c:pt idx="5">
                  <c:v>-22.271000000000015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Tendencias!$A$51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1.5</c:v>
                </c:pt>
                <c:pt idx="1">
                  <c:v>1.49973</c:v>
                </c:pt>
                <c:pt idx="2">
                  <c:v>1.5004400000000002</c:v>
                </c:pt>
                <c:pt idx="3">
                  <c:v>1.5003200000000001</c:v>
                </c:pt>
                <c:pt idx="4">
                  <c:v>1.103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21-4C48-A5ED-8F794056C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815352"/>
        <c:axId val="323819272"/>
      </c:lineChart>
      <c:catAx>
        <c:axId val="3238145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5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815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4568"/>
        <c:crosses val="autoZero"/>
        <c:crossBetween val="between"/>
      </c:valAx>
      <c:catAx>
        <c:axId val="323815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23819272"/>
        <c:crosses val="autoZero"/>
        <c:auto val="1"/>
        <c:lblAlgn val="ctr"/>
        <c:lblOffset val="100"/>
        <c:noMultiLvlLbl val="0"/>
      </c:catAx>
      <c:valAx>
        <c:axId val="32381927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5352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Tendencias!$A$59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Tendencias!$B$59:$M$59</c:f>
              <c:numCache>
                <c:formatCode>_-* #,##0_-;\-* #,##0_-;_-* "-"??_-;_-@_-</c:formatCode>
                <c:ptCount val="12"/>
                <c:pt idx="0">
                  <c:v>219.16900000000001</c:v>
                </c:pt>
                <c:pt idx="1">
                  <c:v>235.47900000000001</c:v>
                </c:pt>
                <c:pt idx="2">
                  <c:v>262.63299999999998</c:v>
                </c:pt>
                <c:pt idx="3">
                  <c:v>226.75200000000001</c:v>
                </c:pt>
                <c:pt idx="4">
                  <c:v>244.696</c:v>
                </c:pt>
                <c:pt idx="5">
                  <c:v>219.20205999999999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Tendencias!$A$60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Tendencias!$B$60:$M$60</c:f>
              <c:numCache>
                <c:formatCode>_-* #,##0_-;\-* #,##0_-;_-* "-"??_-;_-@_-</c:formatCode>
                <c:ptCount val="12"/>
                <c:pt idx="0">
                  <c:v>252.70099999999999</c:v>
                </c:pt>
                <c:pt idx="1">
                  <c:v>232.50700000000001</c:v>
                </c:pt>
                <c:pt idx="2">
                  <c:v>269.31700000000001</c:v>
                </c:pt>
                <c:pt idx="3">
                  <c:v>243.25200000000001</c:v>
                </c:pt>
                <c:pt idx="4">
                  <c:v>261.27100000000002</c:v>
                </c:pt>
                <c:pt idx="5">
                  <c:v>258.33199999999999</c:v>
                </c:pt>
                <c:pt idx="6">
                  <c:v>258.33199999999999</c:v>
                </c:pt>
                <c:pt idx="7">
                  <c:v>239.48118000000002</c:v>
                </c:pt>
                <c:pt idx="8">
                  <c:v>244.56113999999999</c:v>
                </c:pt>
                <c:pt idx="9">
                  <c:v>255.20118934999996</c:v>
                </c:pt>
                <c:pt idx="10">
                  <c:v>245.30999223243094</c:v>
                </c:pt>
                <c:pt idx="11">
                  <c:v>288.31237809831987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Tendencias!$A$61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Tendencias!$B$61:$M$61</c:f>
              <c:numCache>
                <c:formatCode>_-* #,##0_-;\-* #,##0_-;_-* "-"??_-;_-@_-</c:formatCode>
                <c:ptCount val="12"/>
                <c:pt idx="0">
                  <c:v>250.25800000000001</c:v>
                </c:pt>
                <c:pt idx="1">
                  <c:v>231.84800000000001</c:v>
                </c:pt>
                <c:pt idx="2">
                  <c:v>263.733</c:v>
                </c:pt>
                <c:pt idx="3">
                  <c:v>240.624</c:v>
                </c:pt>
                <c:pt idx="4">
                  <c:v>247.77500000000001</c:v>
                </c:pt>
                <c:pt idx="5">
                  <c:v>252.08104</c:v>
                </c:pt>
                <c:pt idx="6">
                  <c:v>252.08104</c:v>
                </c:pt>
                <c:pt idx="7">
                  <c:v>226.47732000000002</c:v>
                </c:pt>
                <c:pt idx="8">
                  <c:v>243.88057999999995</c:v>
                </c:pt>
                <c:pt idx="9">
                  <c:v>245.50700000000001</c:v>
                </c:pt>
                <c:pt idx="10">
                  <c:v>230.303</c:v>
                </c:pt>
                <c:pt idx="11">
                  <c:v>250.977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816136"/>
        <c:axId val="323814176"/>
      </c:barChart>
      <c:lineChart>
        <c:grouping val="standard"/>
        <c:varyColors val="0"/>
        <c:ser>
          <c:idx val="3"/>
          <c:order val="3"/>
          <c:tx>
            <c:strRef>
              <c:f>Tendencias!$A$62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Tendencias!$B$62:$M$62</c:f>
              <c:numCache>
                <c:formatCode>_-* #,##0_-;\-* #,##0_-;_-* "-"??_-;_-@_-</c:formatCode>
                <c:ptCount val="12"/>
                <c:pt idx="0">
                  <c:v>-26.658000000000005</c:v>
                </c:pt>
                <c:pt idx="1">
                  <c:v>-4.1419999999999568</c:v>
                </c:pt>
                <c:pt idx="2">
                  <c:v>-8.3409999999999975</c:v>
                </c:pt>
                <c:pt idx="3">
                  <c:v>-19.453999999999969</c:v>
                </c:pt>
                <c:pt idx="4">
                  <c:v>-16.554999999999996</c:v>
                </c:pt>
                <c:pt idx="5">
                  <c:v>-23.613410000000044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Tendencias!$A$63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Tendencias!$B$63:$M$63</c:f>
              <c:numCache>
                <c:formatCode>_-* #,##0_-;\-* #,##0_-;_-* "-"??_-;_-@_-</c:formatCode>
                <c:ptCount val="12"/>
                <c:pt idx="0">
                  <c:v>-30.951000000000011</c:v>
                </c:pt>
                <c:pt idx="1">
                  <c:v>-30.818999999999978</c:v>
                </c:pt>
                <c:pt idx="2">
                  <c:v>-16.432999999999982</c:v>
                </c:pt>
                <c:pt idx="3">
                  <c:v>-27.24199999999998</c:v>
                </c:pt>
                <c:pt idx="4">
                  <c:v>-20.578999999999997</c:v>
                </c:pt>
                <c:pt idx="5">
                  <c:v>-19.014999999999976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Tendencias!$A$64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Tendencias!$B$64:$M$64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94F-4B93-A971-0E352D906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818488"/>
        <c:axId val="323819664"/>
      </c:lineChart>
      <c:catAx>
        <c:axId val="3238161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4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814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6136"/>
        <c:crosses val="autoZero"/>
        <c:crossBetween val="between"/>
      </c:valAx>
      <c:catAx>
        <c:axId val="323818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23819664"/>
        <c:crosses val="autoZero"/>
        <c:auto val="1"/>
        <c:lblAlgn val="ctr"/>
        <c:lblOffset val="100"/>
        <c:noMultiLvlLbl val="0"/>
      </c:catAx>
      <c:valAx>
        <c:axId val="323819664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8488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Tendencias!$A$72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  <c:pt idx="0">
                  <c:v>117.024</c:v>
                </c:pt>
                <c:pt idx="1">
                  <c:v>117.779</c:v>
                </c:pt>
                <c:pt idx="2">
                  <c:v>120.762</c:v>
                </c:pt>
                <c:pt idx="3">
                  <c:v>106.95399999999999</c:v>
                </c:pt>
                <c:pt idx="4">
                  <c:v>130.239</c:v>
                </c:pt>
                <c:pt idx="5">
                  <c:v>130.23875000000001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Tendencias!$A$73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  <c:pt idx="0">
                  <c:v>116.2</c:v>
                </c:pt>
                <c:pt idx="1">
                  <c:v>116.2</c:v>
                </c:pt>
                <c:pt idx="2">
                  <c:v>116.2</c:v>
                </c:pt>
                <c:pt idx="3">
                  <c:v>116.3</c:v>
                </c:pt>
                <c:pt idx="4">
                  <c:v>116.3</c:v>
                </c:pt>
                <c:pt idx="5">
                  <c:v>116.3</c:v>
                </c:pt>
                <c:pt idx="6">
                  <c:v>116.3</c:v>
                </c:pt>
                <c:pt idx="7">
                  <c:v>116.3</c:v>
                </c:pt>
                <c:pt idx="8">
                  <c:v>116.3</c:v>
                </c:pt>
                <c:pt idx="9">
                  <c:v>116.3</c:v>
                </c:pt>
                <c:pt idx="10">
                  <c:v>116.4</c:v>
                </c:pt>
                <c:pt idx="11">
                  <c:v>116.5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Tendencias!$A$74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  <c:pt idx="0">
                  <c:v>118.318</c:v>
                </c:pt>
                <c:pt idx="1">
                  <c:v>117.3</c:v>
                </c:pt>
                <c:pt idx="2">
                  <c:v>125.39</c:v>
                </c:pt>
                <c:pt idx="3">
                  <c:v>120.908</c:v>
                </c:pt>
                <c:pt idx="4">
                  <c:v>122.98399999999999</c:v>
                </c:pt>
                <c:pt idx="5">
                  <c:v>117.95889</c:v>
                </c:pt>
                <c:pt idx="6">
                  <c:v>117.95889</c:v>
                </c:pt>
                <c:pt idx="7">
                  <c:v>118.9162</c:v>
                </c:pt>
                <c:pt idx="8">
                  <c:v>115.99403</c:v>
                </c:pt>
                <c:pt idx="9">
                  <c:v>117.947</c:v>
                </c:pt>
                <c:pt idx="10">
                  <c:v>116.265</c:v>
                </c:pt>
                <c:pt idx="11">
                  <c:v>116.84099999999999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816528"/>
        <c:axId val="323816920"/>
      </c:barChart>
      <c:lineChart>
        <c:grouping val="standard"/>
        <c:varyColors val="0"/>
        <c:ser>
          <c:idx val="3"/>
          <c:order val="3"/>
          <c:tx>
            <c:strRef>
              <c:f>Tendencias!$A$75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  <c:pt idx="0">
                  <c:v>102.36999999999999</c:v>
                </c:pt>
                <c:pt idx="1">
                  <c:v>111.02499999999999</c:v>
                </c:pt>
                <c:pt idx="2">
                  <c:v>113.518</c:v>
                </c:pt>
                <c:pt idx="3">
                  <c:v>96.382999999999996</c:v>
                </c:pt>
                <c:pt idx="4">
                  <c:v>123.932</c:v>
                </c:pt>
                <c:pt idx="5">
                  <c:v>108.62708000000001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Tendencias!$A$76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  <c:pt idx="0">
                  <c:v>109.64400000000001</c:v>
                </c:pt>
                <c:pt idx="1">
                  <c:v>105.75</c:v>
                </c:pt>
                <c:pt idx="2">
                  <c:v>105.75</c:v>
                </c:pt>
                <c:pt idx="3">
                  <c:v>105.85</c:v>
                </c:pt>
                <c:pt idx="4">
                  <c:v>105.85</c:v>
                </c:pt>
                <c:pt idx="5">
                  <c:v>105.85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Tendencias!$A$77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Tendencias!$B$77:$M$77</c:f>
              <c:numCache>
                <c:formatCode>_-* #,##0_-;\-* #,##0_-;_-* "-"??_-;_-@_-</c:formatCode>
                <c:ptCount val="12"/>
                <c:pt idx="0">
                  <c:v>55.388999999999996</c:v>
                </c:pt>
                <c:pt idx="1">
                  <c:v>61.395989999999998</c:v>
                </c:pt>
                <c:pt idx="2">
                  <c:v>62.237650000000002</c:v>
                </c:pt>
                <c:pt idx="3">
                  <c:v>64.07535</c:v>
                </c:pt>
                <c:pt idx="4">
                  <c:v>60.197000000000003</c:v>
                </c:pt>
                <c:pt idx="5">
                  <c:v>96.461160000000007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440-44C6-802C-E60E8A4B9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818880"/>
        <c:axId val="323817312"/>
      </c:lineChart>
      <c:catAx>
        <c:axId val="323816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6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816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6528"/>
        <c:crosses val="autoZero"/>
        <c:crossBetween val="between"/>
      </c:valAx>
      <c:catAx>
        <c:axId val="323818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23817312"/>
        <c:crosses val="autoZero"/>
        <c:auto val="1"/>
        <c:lblAlgn val="ctr"/>
        <c:lblOffset val="100"/>
        <c:noMultiLvlLbl val="0"/>
      </c:catAx>
      <c:valAx>
        <c:axId val="32381731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3818880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1423778689724"/>
          <c:y val="4.5033777544241177E-2"/>
          <c:w val="0.79848407030427804"/>
          <c:h val="0.536218319733005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Tendencias!$A$85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Tendencias!$B$85:$M$85</c:f>
              <c:numCache>
                <c:formatCode>_-* #,##0_-;\-* #,##0_-;_-* "-"??_-;_-@_-</c:formatCode>
                <c:ptCount val="12"/>
                <c:pt idx="0">
                  <c:v>268.202</c:v>
                </c:pt>
                <c:pt idx="1">
                  <c:v>290.07100000000003</c:v>
                </c:pt>
                <c:pt idx="2">
                  <c:v>337.82100000000003</c:v>
                </c:pt>
                <c:pt idx="3">
                  <c:v>291.94299999999998</c:v>
                </c:pt>
                <c:pt idx="4">
                  <c:v>332.16899999999998</c:v>
                </c:pt>
                <c:pt idx="5">
                  <c:v>302.41525000000001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5C-4E9B-B264-75096D5EA720}"/>
            </c:ext>
          </c:extLst>
        </c:ser>
        <c:ser>
          <c:idx val="1"/>
          <c:order val="1"/>
          <c:tx>
            <c:strRef>
              <c:f>Tendencias!$A$86</c:f>
              <c:strCache>
                <c:ptCount val="1"/>
                <c:pt idx="0">
                  <c:v>Vtas. P.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Tendencias!$B$86:$M$86</c:f>
              <c:numCache>
                <c:formatCode>_-* #,##0_-;\-* #,##0_-;_-* "-"??_-;_-@_-</c:formatCode>
                <c:ptCount val="12"/>
                <c:pt idx="0">
                  <c:v>321.053</c:v>
                </c:pt>
                <c:pt idx="1">
                  <c:v>317.86</c:v>
                </c:pt>
                <c:pt idx="2">
                  <c:v>366.43900000000002</c:v>
                </c:pt>
                <c:pt idx="3">
                  <c:v>328.673</c:v>
                </c:pt>
                <c:pt idx="4">
                  <c:v>355.64800000000002</c:v>
                </c:pt>
                <c:pt idx="5">
                  <c:v>335.10500000000002</c:v>
                </c:pt>
                <c:pt idx="6">
                  <c:v>335.10500000000002</c:v>
                </c:pt>
                <c:pt idx="7">
                  <c:v>331.48489999999998</c:v>
                </c:pt>
                <c:pt idx="8">
                  <c:v>321.63706999999999</c:v>
                </c:pt>
                <c:pt idx="9">
                  <c:v>313.21097897300007</c:v>
                </c:pt>
                <c:pt idx="10">
                  <c:v>317.80923084742659</c:v>
                </c:pt>
                <c:pt idx="11">
                  <c:v>353.25642213079726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45C-4E9B-B264-75096D5EA720}"/>
            </c:ext>
          </c:extLst>
        </c:ser>
        <c:ser>
          <c:idx val="2"/>
          <c:order val="2"/>
          <c:tx>
            <c:strRef>
              <c:f>Tendencias!$A$87</c:f>
              <c:strCache>
                <c:ptCount val="1"/>
                <c:pt idx="0">
                  <c:v>Vtas.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Tendencias!$B$87:$M$87</c:f>
              <c:numCache>
                <c:formatCode>_-* #,##0_-;\-* #,##0_-;_-* "-"??_-;_-@_-</c:formatCode>
                <c:ptCount val="12"/>
                <c:pt idx="0">
                  <c:v>315.26600000000002</c:v>
                </c:pt>
                <c:pt idx="1">
                  <c:v>315.10500000000002</c:v>
                </c:pt>
                <c:pt idx="2">
                  <c:v>360.86799999999999</c:v>
                </c:pt>
                <c:pt idx="3">
                  <c:v>322.06400000000002</c:v>
                </c:pt>
                <c:pt idx="4">
                  <c:v>338.30599999999998</c:v>
                </c:pt>
                <c:pt idx="5">
                  <c:v>328.83873</c:v>
                </c:pt>
                <c:pt idx="6">
                  <c:v>328.83873</c:v>
                </c:pt>
                <c:pt idx="7">
                  <c:v>315.27382999999998</c:v>
                </c:pt>
                <c:pt idx="8">
                  <c:v>320.54498999999998</c:v>
                </c:pt>
                <c:pt idx="9">
                  <c:v>306.99799999999999</c:v>
                </c:pt>
                <c:pt idx="10">
                  <c:v>296.25400000000002</c:v>
                </c:pt>
                <c:pt idx="11">
                  <c:v>313.16899999999998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45C-4E9B-B264-75096D5E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250752"/>
        <c:axId val="324244872"/>
      </c:barChart>
      <c:lineChart>
        <c:grouping val="standard"/>
        <c:varyColors val="0"/>
        <c:ser>
          <c:idx val="3"/>
          <c:order val="3"/>
          <c:tx>
            <c:strRef>
              <c:f>Tendencias!$A$88</c:f>
              <c:strCache>
                <c:ptCount val="1"/>
                <c:pt idx="0">
                  <c:v>UAFIR FL. 19</c:v>
                </c:pt>
              </c:strCache>
            </c:strRef>
          </c:tx>
          <c:spPr>
            <a:ln w="38100">
              <a:solidFill>
                <a:srgbClr val="C000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Tendencias!$B$88:$M$88</c:f>
              <c:numCache>
                <c:formatCode>_-* #,##0_-;\-* #,##0_-;_-* "-"??_-;_-@_-</c:formatCode>
                <c:ptCount val="12"/>
                <c:pt idx="0">
                  <c:v>-31.420000000000005</c:v>
                </c:pt>
                <c:pt idx="1">
                  <c:v>9.2349999999999959</c:v>
                </c:pt>
                <c:pt idx="2">
                  <c:v>8.0820000000000043</c:v>
                </c:pt>
                <c:pt idx="3">
                  <c:v>-11.203000000000021</c:v>
                </c:pt>
                <c:pt idx="4">
                  <c:v>0.39799999999999613</c:v>
                </c:pt>
                <c:pt idx="5">
                  <c:v>-3.7224699999999924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45C-4E9B-B264-75096D5EA720}"/>
            </c:ext>
          </c:extLst>
        </c:ser>
        <c:ser>
          <c:idx val="4"/>
          <c:order val="4"/>
          <c:tx>
            <c:strRef>
              <c:f>Tendencias!$A$89</c:f>
              <c:strCache>
                <c:ptCount val="1"/>
                <c:pt idx="0">
                  <c:v>UAFIR FL. P. 19</c:v>
                </c:pt>
              </c:strCache>
            </c:strRef>
          </c:tx>
          <c:spPr>
            <a:ln w="38100">
              <a:solidFill>
                <a:srgbClr val="FFFF00"/>
              </a:solidFill>
              <a:prstDash val="lgDash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Tendencias!$B$89:$M$89</c:f>
              <c:numCache>
                <c:formatCode>_-* #,##0_-;\-* #,##0_-;_-* "-"??_-;_-@_-</c:formatCode>
                <c:ptCount val="12"/>
                <c:pt idx="0">
                  <c:v>-18.941999999999997</c:v>
                </c:pt>
                <c:pt idx="1">
                  <c:v>-8.7529999999999752</c:v>
                </c:pt>
                <c:pt idx="2">
                  <c:v>7.2919999999999838</c:v>
                </c:pt>
                <c:pt idx="3">
                  <c:v>-5.50399999999998</c:v>
                </c:pt>
                <c:pt idx="4">
                  <c:v>-0.84899999999997888</c:v>
                </c:pt>
                <c:pt idx="5">
                  <c:v>2.4540000000000184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45C-4E9B-B264-75096D5EA720}"/>
            </c:ext>
          </c:extLst>
        </c:ser>
        <c:ser>
          <c:idx val="5"/>
          <c:order val="5"/>
          <c:tx>
            <c:strRef>
              <c:f>Tendencias!$A$90</c:f>
              <c:strCache>
                <c:ptCount val="1"/>
                <c:pt idx="0">
                  <c:v>S. Deuda 19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Tendencias!$B$6:$M$6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0B9-48BD-9AB8-1719ACFED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46048"/>
        <c:axId val="324246440"/>
      </c:lineChart>
      <c:catAx>
        <c:axId val="324250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424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244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4250752"/>
        <c:crosses val="autoZero"/>
        <c:crossBetween val="between"/>
      </c:valAx>
      <c:catAx>
        <c:axId val="324246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24246440"/>
        <c:crosses val="autoZero"/>
        <c:auto val="1"/>
        <c:lblAlgn val="ctr"/>
        <c:lblOffset val="100"/>
        <c:noMultiLvlLbl val="0"/>
      </c:catAx>
      <c:valAx>
        <c:axId val="324246440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24246048"/>
        <c:crosses val="max"/>
        <c:crossBetween val="between"/>
      </c:valAx>
      <c:dTable>
        <c:showHorzBorder val="1"/>
        <c:showVertBorder val="1"/>
        <c:showOutline val="1"/>
        <c:showKeys val="0"/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422" r="0.75000000000000422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0</xdr:col>
      <xdr:colOff>624433</xdr:colOff>
      <xdr:row>3</xdr:row>
      <xdr:rowOff>76200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010" t="59048" r="48388" b="21554"/>
        <a:stretch/>
      </xdr:blipFill>
      <xdr:spPr>
        <a:xfrm>
          <a:off x="152400" y="76200"/>
          <a:ext cx="472033" cy="488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914400</xdr:colOff>
          <xdr:row>1</xdr:row>
          <xdr:rowOff>0</xdr:rowOff>
        </xdr:from>
        <xdr:to>
          <xdr:col>8</xdr:col>
          <xdr:colOff>1016000</xdr:colOff>
          <xdr:row>2</xdr:row>
          <xdr:rowOff>158750</xdr:rowOff>
        </xdr:to>
        <xdr:sp macro="" textlink="">
          <xdr:nvSpPr>
            <xdr:cNvPr id="52227" name="CommandButton1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="" xmlns:a16="http://schemas.microsoft.com/office/drawing/2014/main" id="{00000000-0008-0000-00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704850</xdr:colOff>
          <xdr:row>5</xdr:row>
          <xdr:rowOff>76200</xdr:rowOff>
        </xdr:from>
        <xdr:to>
          <xdr:col>7</xdr:col>
          <xdr:colOff>1276350</xdr:colOff>
          <xdr:row>7</xdr:row>
          <xdr:rowOff>69850</xdr:rowOff>
        </xdr:to>
        <xdr:sp macro="" textlink="">
          <xdr:nvSpPr>
            <xdr:cNvPr id="52228" name="Inicio_Revisión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="" xmlns:a16="http://schemas.microsoft.com/office/drawing/2014/main" id="{00000000-0008-0000-00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711200</xdr:colOff>
          <xdr:row>8</xdr:row>
          <xdr:rowOff>57150</xdr:rowOff>
        </xdr:from>
        <xdr:to>
          <xdr:col>7</xdr:col>
          <xdr:colOff>1276350</xdr:colOff>
          <xdr:row>10</xdr:row>
          <xdr:rowOff>50800</xdr:rowOff>
        </xdr:to>
        <xdr:sp macro="" textlink="">
          <xdr:nvSpPr>
            <xdr:cNvPr id="52229" name="CommandButton2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="" xmlns:a16="http://schemas.microsoft.com/office/drawing/2014/main" id="{00000000-0008-0000-00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711200</xdr:colOff>
          <xdr:row>11</xdr:row>
          <xdr:rowOff>38100</xdr:rowOff>
        </xdr:from>
        <xdr:to>
          <xdr:col>7</xdr:col>
          <xdr:colOff>1276350</xdr:colOff>
          <xdr:row>13</xdr:row>
          <xdr:rowOff>69850</xdr:rowOff>
        </xdr:to>
        <xdr:sp macro="" textlink="">
          <xdr:nvSpPr>
            <xdr:cNvPr id="52230" name="Inicio_Exportar_a_PPTX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="" xmlns:a16="http://schemas.microsoft.com/office/drawing/2014/main" id="{00000000-0008-0000-00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5897</xdr:colOff>
      <xdr:row>1</xdr:row>
      <xdr:rowOff>29029</xdr:rowOff>
    </xdr:from>
    <xdr:to>
      <xdr:col>22</xdr:col>
      <xdr:colOff>592818</xdr:colOff>
      <xdr:row>17</xdr:row>
      <xdr:rowOff>78744</xdr:rowOff>
    </xdr:to>
    <xdr:graphicFrame macro="">
      <xdr:nvGraphicFramePr>
        <xdr:cNvPr id="2" name="Costo_Div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97245</xdr:colOff>
      <xdr:row>21</xdr:row>
      <xdr:rowOff>16028</xdr:rowOff>
    </xdr:from>
    <xdr:to>
      <xdr:col>22</xdr:col>
      <xdr:colOff>547231</xdr:colOff>
      <xdr:row>39</xdr:row>
      <xdr:rowOff>88941</xdr:rowOff>
    </xdr:to>
    <xdr:graphicFrame macro="">
      <xdr:nvGraphicFramePr>
        <xdr:cNvPr id="18" name="Gasto_Div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649109</xdr:colOff>
      <xdr:row>0</xdr:row>
      <xdr:rowOff>53421</xdr:rowOff>
    </xdr:from>
    <xdr:to>
      <xdr:col>25</xdr:col>
      <xdr:colOff>785182</xdr:colOff>
      <xdr:row>28</xdr:row>
      <xdr:rowOff>97921</xdr:rowOff>
    </xdr:to>
    <xdr:graphicFrame macro="">
      <xdr:nvGraphicFramePr>
        <xdr:cNvPr id="2" name="T_A_Div_G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26</xdr:col>
      <xdr:colOff>480785</xdr:colOff>
      <xdr:row>0</xdr:row>
      <xdr:rowOff>106588</xdr:rowOff>
    </xdr:from>
    <xdr:to>
      <xdr:col>37</xdr:col>
      <xdr:colOff>122465</xdr:colOff>
      <xdr:row>28</xdr:row>
      <xdr:rowOff>151088</xdr:rowOff>
    </xdr:to>
    <xdr:graphicFrame macro="">
      <xdr:nvGraphicFramePr>
        <xdr:cNvPr id="11" name="T_A_SW_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37</xdr:col>
      <xdr:colOff>562429</xdr:colOff>
      <xdr:row>0</xdr:row>
      <xdr:rowOff>115660</xdr:rowOff>
    </xdr:from>
    <xdr:to>
      <xdr:col>48</xdr:col>
      <xdr:colOff>215448</xdr:colOff>
      <xdr:row>28</xdr:row>
      <xdr:rowOff>160160</xdr:rowOff>
    </xdr:to>
    <xdr:graphicFrame macro="">
      <xdr:nvGraphicFramePr>
        <xdr:cNvPr id="13" name="T_A_PDC_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14</xdr:col>
      <xdr:colOff>630462</xdr:colOff>
      <xdr:row>30</xdr:row>
      <xdr:rowOff>70304</xdr:rowOff>
    </xdr:from>
    <xdr:to>
      <xdr:col>25</xdr:col>
      <xdr:colOff>766535</xdr:colOff>
      <xdr:row>59</xdr:row>
      <xdr:rowOff>15018</xdr:rowOff>
    </xdr:to>
    <xdr:graphicFrame macro="">
      <xdr:nvGraphicFramePr>
        <xdr:cNvPr id="14" name="T_A_PDS_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26</xdr:col>
      <xdr:colOff>535214</xdr:colOff>
      <xdr:row>24</xdr:row>
      <xdr:rowOff>142874</xdr:rowOff>
    </xdr:from>
    <xdr:to>
      <xdr:col>37</xdr:col>
      <xdr:colOff>176894</xdr:colOff>
      <xdr:row>53</xdr:row>
      <xdr:rowOff>87588</xdr:rowOff>
    </xdr:to>
    <xdr:graphicFrame macro="">
      <xdr:nvGraphicFramePr>
        <xdr:cNvPr id="19" name="T_A_PZS_G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37</xdr:col>
      <xdr:colOff>564697</xdr:colOff>
      <xdr:row>30</xdr:row>
      <xdr:rowOff>34018</xdr:rowOff>
    </xdr:from>
    <xdr:to>
      <xdr:col>48</xdr:col>
      <xdr:colOff>217716</xdr:colOff>
      <xdr:row>58</xdr:row>
      <xdr:rowOff>142018</xdr:rowOff>
    </xdr:to>
    <xdr:graphicFrame macro="">
      <xdr:nvGraphicFramePr>
        <xdr:cNvPr id="20" name="T_A_RE_G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15</xdr:col>
      <xdr:colOff>49893</xdr:colOff>
      <xdr:row>59</xdr:row>
      <xdr:rowOff>133803</xdr:rowOff>
    </xdr:from>
    <xdr:to>
      <xdr:col>26</xdr:col>
      <xdr:colOff>122465</xdr:colOff>
      <xdr:row>88</xdr:row>
      <xdr:rowOff>78517</xdr:rowOff>
    </xdr:to>
    <xdr:graphicFrame macro="">
      <xdr:nvGraphicFramePr>
        <xdr:cNvPr id="21" name="T_A_PZG_G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Tere%20Ramirez\Local%20Settings\Temporary%20Internet%20Files\OLK413\PresentAlim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Al\Methods&amp;Planning\M&#233;tricas\PresentAli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Div-InmobMX-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ES"/>
      <sheetName val="PRESENTA"/>
      <sheetName val="RESULTADOS"/>
      <sheetName val="GVTA"/>
      <sheetName val="UDO-CHURCHS"/>
      <sheetName val="UDO-PIZZA"/>
      <sheetName val="CONGTSADM"/>
      <sheetName val="CONGTSVTA"/>
      <sheetName val="KOMAL X CLIENTE"/>
      <sheetName val="flujos"/>
      <sheetName val="BALANCES"/>
      <sheetName val="KOMAL_X_CLIENTE"/>
    </sheetNames>
    <sheetDataSet>
      <sheetData sheetId="0" refreshError="1">
        <row r="18">
          <cell r="E18" t="str">
            <v xml:space="preserve"> DICIEMBRE  2004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ES"/>
      <sheetName val="PRESENTA"/>
      <sheetName val="RESULTADOS"/>
      <sheetName val="GVTA"/>
      <sheetName val="UDO-CHURCHS"/>
      <sheetName val="UDO-PIZZA"/>
      <sheetName val="CONGTSADM"/>
      <sheetName val="CONGTSVTA"/>
      <sheetName val="KOMAL X CLIENTE"/>
      <sheetName val="flujos"/>
      <sheetName val="BALANCES"/>
    </sheetNames>
    <sheetDataSet>
      <sheetData sheetId="0" refreshError="1">
        <row r="18">
          <cell r="E18" t="str">
            <v xml:space="preserve"> DICIEMBRE  2004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Actividades1"/>
      <sheetName val="Macro1"/>
      <sheetName val="Actividades"/>
      <sheetName val="Hoja18"/>
      <sheetName val="Hoja6"/>
      <sheetName val="Macro2"/>
      <sheetName val="Reportes"/>
      <sheetName val="DATOS"/>
      <sheetName val="Hoja9"/>
      <sheetName val="Proyectos"/>
      <sheetName val="Conexiones"/>
      <sheetName val="Hoja2"/>
      <sheetName val="Emp_Ppto"/>
      <sheetName val="Txt"/>
      <sheetName val="CC_Infofin"/>
      <sheetName val="Correos"/>
      <sheetName val="Hoja12"/>
      <sheetName val="Pre_Ind"/>
      <sheetName val="Contratos"/>
      <sheetName val="Inicio"/>
      <sheetName val="Configuraciones"/>
      <sheetName val="Name_Rep"/>
      <sheetName val="Archivo"/>
      <sheetName val="Presupuestos"/>
      <sheetName val="Hoja10"/>
      <sheetName val="Pasivos_Eu"/>
      <sheetName val="Hoja4"/>
      <sheetName val="Hoja1"/>
      <sheetName val="Hoja8"/>
      <sheetName val="Hoja5"/>
      <sheetName val="Macro3"/>
      <sheetName val="Hoja11"/>
      <sheetName val="Hoja3"/>
      <sheetName val="Hoja13"/>
      <sheetName val="Hoja14"/>
      <sheetName val="PJ_Txt"/>
      <sheetName val="Hoja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>
            <v>2018</v>
          </cell>
        </row>
        <row r="2">
          <cell r="A2" t="str">
            <v>SEPTIEMBRE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2">
          <cell r="B2" t="str">
            <v>Renombrar archivos mensuales y trimestrales de trabajo</v>
          </cell>
        </row>
        <row r="5">
          <cell r="D5" t="str">
            <v>March 2019.xls</v>
          </cell>
        </row>
        <row r="11">
          <cell r="E11" t="str">
            <v>marzo 2019</v>
          </cell>
        </row>
      </sheetData>
      <sheetData sheetId="22"/>
      <sheetData sheetId="23"/>
      <sheetData sheetId="24"/>
      <sheetData sheetId="25"/>
      <sheetData sheetId="26"/>
      <sheetData sheetId="27">
        <row r="1">
          <cell r="A1">
            <v>0.106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DATOS"/>
      <sheetName val="BDER"/>
      <sheetName val="BDBG"/>
      <sheetName val="BDPP"/>
      <sheetName val="BDFE"/>
      <sheetName val="FE"/>
      <sheetName val="Fed"/>
      <sheetName val="BG"/>
      <sheetName val="ER"/>
      <sheetName val="Tendencias"/>
      <sheetName val="ER Act"/>
      <sheetName val="ER AA"/>
      <sheetName val="ER Ppto"/>
      <sheetName val="Trimestre"/>
      <sheetName val="Hoja3"/>
      <sheetName val="cobros 2018"/>
      <sheetName val="V_Exelco"/>
      <sheetName val="V_Silnsa"/>
      <sheetName val="Hoja4"/>
      <sheetName val="Hoja5"/>
    </sheetNames>
    <sheetDataSet>
      <sheetData sheetId="0">
        <row r="12">
          <cell r="C12">
            <v>43597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icio">
    <tabColor rgb="FF00B050"/>
  </sheetPr>
  <dimension ref="A1:R64"/>
  <sheetViews>
    <sheetView showGridLines="0" zoomScale="90" workbookViewId="0">
      <pane ySplit="4" topLeftCell="A6" activePane="bottomLeft" state="frozen"/>
      <selection pane="bottomLeft" activeCell="F24" sqref="F24"/>
    </sheetView>
  </sheetViews>
  <sheetFormatPr baseColWidth="10" defaultColWidth="10.90625" defaultRowHeight="12.5" x14ac:dyDescent="0.25"/>
  <cols>
    <col min="2" max="2" width="2.90625" customWidth="1"/>
    <col min="3" max="3" width="23.81640625" customWidth="1"/>
    <col min="4" max="5" width="15.7265625" customWidth="1"/>
    <col min="8" max="8" width="21.36328125" customWidth="1"/>
    <col min="9" max="9" width="18.453125" customWidth="1"/>
    <col min="11" max="11" width="40.453125" customWidth="1"/>
    <col min="12" max="12" width="5.90625" bestFit="1" customWidth="1"/>
    <col min="13" max="13" width="5.7265625" bestFit="1" customWidth="1"/>
    <col min="14" max="14" width="6.08984375" bestFit="1" customWidth="1"/>
    <col min="15" max="15" width="5.81640625" bestFit="1" customWidth="1"/>
    <col min="16" max="16" width="5.6328125" bestFit="1" customWidth="1"/>
  </cols>
  <sheetData>
    <row r="1" spans="1:18" x14ac:dyDescent="0.25">
      <c r="B1" s="244"/>
    </row>
    <row r="2" spans="1:18" ht="13" x14ac:dyDescent="0.3">
      <c r="B2" s="246" t="s">
        <v>37</v>
      </c>
    </row>
    <row r="3" spans="1:18" ht="13" x14ac:dyDescent="0.3">
      <c r="B3" s="247" t="s">
        <v>356</v>
      </c>
    </row>
    <row r="4" spans="1:18" x14ac:dyDescent="0.25">
      <c r="A4" s="243"/>
      <c r="B4" s="245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</row>
    <row r="5" spans="1:18" x14ac:dyDescent="0.25">
      <c r="B5" s="244"/>
    </row>
    <row r="6" spans="1:18" x14ac:dyDescent="0.25">
      <c r="B6" s="244"/>
      <c r="C6" s="522"/>
      <c r="D6" s="522"/>
    </row>
    <row r="7" spans="1:18" ht="14.5" x14ac:dyDescent="0.35">
      <c r="B7" s="244"/>
      <c r="C7" s="111" t="s">
        <v>0</v>
      </c>
      <c r="D7" s="248">
        <v>43617</v>
      </c>
      <c r="J7" s="509" t="s">
        <v>506</v>
      </c>
      <c r="K7" s="656">
        <v>807</v>
      </c>
    </row>
    <row r="8" spans="1:18" ht="14.5" x14ac:dyDescent="0.35">
      <c r="B8" s="244"/>
      <c r="C8" s="111" t="s">
        <v>353</v>
      </c>
      <c r="D8" s="289"/>
      <c r="E8" t="s">
        <v>411</v>
      </c>
      <c r="J8" s="509" t="s">
        <v>507</v>
      </c>
      <c r="K8" s="656">
        <v>601</v>
      </c>
      <c r="L8" t="s">
        <v>461</v>
      </c>
      <c r="M8" t="s">
        <v>462</v>
      </c>
      <c r="N8" t="s">
        <v>465</v>
      </c>
      <c r="O8" t="s">
        <v>464</v>
      </c>
      <c r="P8" t="s">
        <v>463</v>
      </c>
    </row>
    <row r="9" spans="1:18" ht="14.5" x14ac:dyDescent="0.35">
      <c r="B9" s="244"/>
      <c r="D9" s="241"/>
      <c r="J9" s="509" t="s">
        <v>503</v>
      </c>
      <c r="K9" s="509" t="s">
        <v>504</v>
      </c>
    </row>
    <row r="10" spans="1:18" x14ac:dyDescent="0.25">
      <c r="B10" s="244"/>
      <c r="J10" s="653">
        <v>802</v>
      </c>
      <c r="K10" s="654" t="s">
        <v>505</v>
      </c>
      <c r="L10" s="655">
        <v>600</v>
      </c>
      <c r="M10" s="655">
        <v>605</v>
      </c>
      <c r="N10" s="655">
        <v>610</v>
      </c>
      <c r="O10" s="655">
        <v>601</v>
      </c>
      <c r="P10" s="655">
        <v>599</v>
      </c>
    </row>
    <row r="11" spans="1:18" x14ac:dyDescent="0.25">
      <c r="B11" s="244"/>
      <c r="C11" s="239" t="s">
        <v>350</v>
      </c>
      <c r="D11" s="239" t="s">
        <v>351</v>
      </c>
      <c r="E11" s="239" t="s">
        <v>410</v>
      </c>
      <c r="J11" s="653">
        <v>804</v>
      </c>
      <c r="K11" s="654" t="s">
        <v>341</v>
      </c>
      <c r="L11" s="655">
        <v>600</v>
      </c>
      <c r="M11" s="655">
        <v>605</v>
      </c>
      <c r="N11" s="655">
        <v>610</v>
      </c>
      <c r="O11" s="655">
        <v>601</v>
      </c>
    </row>
    <row r="12" spans="1:18" x14ac:dyDescent="0.25">
      <c r="B12" s="244"/>
      <c r="C12" t="s">
        <v>347</v>
      </c>
      <c r="D12" s="213">
        <f>+ER!C9</f>
        <v>1560.11716</v>
      </c>
      <c r="E12" s="213">
        <f>+ER!E9</f>
        <v>1702.1899999999998</v>
      </c>
      <c r="H12" s="242"/>
      <c r="J12" s="653">
        <v>805</v>
      </c>
      <c r="K12" s="654" t="s">
        <v>342</v>
      </c>
      <c r="L12" s="655">
        <v>600</v>
      </c>
      <c r="M12" s="655">
        <v>605</v>
      </c>
      <c r="N12" s="655">
        <v>610</v>
      </c>
      <c r="O12" s="655">
        <v>601</v>
      </c>
    </row>
    <row r="13" spans="1:18" x14ac:dyDescent="0.25">
      <c r="B13" s="244"/>
      <c r="C13" t="s">
        <v>348</v>
      </c>
      <c r="D13" s="213">
        <f ca="1">OFFSET(Tendencias!A7,0,MONTH(MES_CIERRE))</f>
        <v>1560.11716</v>
      </c>
      <c r="E13" s="213">
        <f ca="1">OFFSET(Tendencias!A8,0,MONTH(MES_CIERRE))</f>
        <v>1702.1899999999998</v>
      </c>
      <c r="J13" s="653">
        <v>811</v>
      </c>
      <c r="K13" s="654" t="s">
        <v>329</v>
      </c>
      <c r="L13" s="655">
        <v>600</v>
      </c>
      <c r="M13" s="655">
        <v>605</v>
      </c>
      <c r="N13" s="655">
        <v>610</v>
      </c>
      <c r="O13" s="655">
        <v>601</v>
      </c>
    </row>
    <row r="14" spans="1:18" x14ac:dyDescent="0.25">
      <c r="B14" s="244"/>
      <c r="C14" t="s">
        <v>349</v>
      </c>
      <c r="D14" s="213">
        <f ca="1">OFFSET('ER Act'!B11,0,MONTH(MES_CIERRE)*2-1)</f>
        <v>1560.117</v>
      </c>
      <c r="E14" s="213">
        <f ca="1">OFFSET('ER Ppto'!B11,0,MONTH(MES_CIERRE)*2-1)</f>
        <v>1702.1899999999998</v>
      </c>
      <c r="J14" s="653">
        <v>813</v>
      </c>
      <c r="K14" s="654" t="s">
        <v>328</v>
      </c>
      <c r="L14" s="655">
        <v>600</v>
      </c>
      <c r="M14" s="655">
        <v>605</v>
      </c>
      <c r="N14" s="655">
        <v>610</v>
      </c>
      <c r="O14" s="655">
        <v>601</v>
      </c>
    </row>
    <row r="15" spans="1:18" x14ac:dyDescent="0.25">
      <c r="B15" s="244"/>
      <c r="D15" s="240">
        <f ca="1">SUM(D12:D14)/3-D14</f>
        <v>1.066666666247329E-4</v>
      </c>
      <c r="E15" s="240">
        <f ca="1">SUM(E12:E14)/3-E14</f>
        <v>0</v>
      </c>
      <c r="J15" s="653">
        <v>807</v>
      </c>
      <c r="K15" s="654" t="s">
        <v>340</v>
      </c>
      <c r="L15" s="655">
        <v>600</v>
      </c>
      <c r="M15" s="655">
        <v>605</v>
      </c>
      <c r="N15" s="655">
        <v>610</v>
      </c>
      <c r="O15" s="655">
        <v>601</v>
      </c>
    </row>
    <row r="16" spans="1:18" x14ac:dyDescent="0.25">
      <c r="B16" s="244"/>
      <c r="C16" t="s">
        <v>352</v>
      </c>
      <c r="E16" s="240">
        <f ca="1">+D15+E15</f>
        <v>1.066666666247329E-4</v>
      </c>
    </row>
    <row r="17" spans="2:9" x14ac:dyDescent="0.25">
      <c r="B17" s="244"/>
    </row>
    <row r="18" spans="2:9" x14ac:dyDescent="0.25">
      <c r="B18" s="244"/>
    </row>
    <row r="19" spans="2:9" ht="14.5" x14ac:dyDescent="0.35">
      <c r="B19" s="244"/>
      <c r="C19" s="509" t="s">
        <v>457</v>
      </c>
      <c r="D19" s="509" t="s">
        <v>458</v>
      </c>
      <c r="E19" s="509"/>
      <c r="F19" s="509"/>
      <c r="G19" s="509"/>
      <c r="H19" s="509" t="s">
        <v>459</v>
      </c>
      <c r="I19" s="509" t="s">
        <v>493</v>
      </c>
    </row>
    <row r="20" spans="2:9" x14ac:dyDescent="0.25">
      <c r="B20" s="244"/>
      <c r="C20" s="347" t="s">
        <v>460</v>
      </c>
      <c r="D20" s="510" t="s">
        <v>474</v>
      </c>
      <c r="H20" s="347" t="s">
        <v>489</v>
      </c>
      <c r="I20" t="s">
        <v>181</v>
      </c>
    </row>
    <row r="21" spans="2:9" x14ac:dyDescent="0.25">
      <c r="B21" s="244"/>
      <c r="C21" s="347" t="s">
        <v>461</v>
      </c>
      <c r="D21" s="510" t="s">
        <v>475</v>
      </c>
      <c r="H21" s="118" t="s">
        <v>490</v>
      </c>
      <c r="I21" t="s">
        <v>181</v>
      </c>
    </row>
    <row r="22" spans="2:9" x14ac:dyDescent="0.25">
      <c r="B22" s="244"/>
      <c r="C22" s="347" t="s">
        <v>462</v>
      </c>
      <c r="D22" s="510" t="s">
        <v>476</v>
      </c>
      <c r="H22" s="118" t="s">
        <v>490</v>
      </c>
      <c r="I22" t="s">
        <v>181</v>
      </c>
    </row>
    <row r="23" spans="2:9" x14ac:dyDescent="0.25">
      <c r="B23" s="244"/>
      <c r="C23" s="347" t="s">
        <v>463</v>
      </c>
      <c r="D23" s="510" t="s">
        <v>479</v>
      </c>
      <c r="H23" s="118" t="s">
        <v>490</v>
      </c>
      <c r="I23" t="s">
        <v>181</v>
      </c>
    </row>
    <row r="24" spans="2:9" x14ac:dyDescent="0.25">
      <c r="B24" s="244"/>
      <c r="C24" s="347" t="s">
        <v>464</v>
      </c>
      <c r="D24" s="510" t="s">
        <v>477</v>
      </c>
      <c r="H24" s="118" t="s">
        <v>490</v>
      </c>
      <c r="I24" t="s">
        <v>181</v>
      </c>
    </row>
    <row r="25" spans="2:9" x14ac:dyDescent="0.25">
      <c r="B25" s="244"/>
      <c r="C25" s="347" t="s">
        <v>465</v>
      </c>
      <c r="D25" s="510" t="s">
        <v>478</v>
      </c>
      <c r="H25" s="118" t="s">
        <v>490</v>
      </c>
      <c r="I25" t="s">
        <v>181</v>
      </c>
    </row>
    <row r="26" spans="2:9" x14ac:dyDescent="0.25">
      <c r="B26" s="244"/>
      <c r="C26" s="347" t="s">
        <v>29</v>
      </c>
      <c r="D26" s="510" t="s">
        <v>480</v>
      </c>
      <c r="H26" s="512" t="s">
        <v>491</v>
      </c>
      <c r="I26" t="s">
        <v>181</v>
      </c>
    </row>
    <row r="27" spans="2:9" x14ac:dyDescent="0.25">
      <c r="B27" s="244"/>
      <c r="C27" s="347" t="s">
        <v>466</v>
      </c>
      <c r="D27" s="510" t="s">
        <v>480</v>
      </c>
      <c r="H27" s="512" t="s">
        <v>491</v>
      </c>
    </row>
    <row r="28" spans="2:9" x14ac:dyDescent="0.25">
      <c r="B28" s="244"/>
      <c r="C28" s="347" t="s">
        <v>355</v>
      </c>
      <c r="D28" s="510" t="s">
        <v>481</v>
      </c>
      <c r="H28" s="512" t="s">
        <v>491</v>
      </c>
    </row>
    <row r="29" spans="2:9" x14ac:dyDescent="0.25">
      <c r="B29" s="244"/>
      <c r="C29" s="347" t="s">
        <v>467</v>
      </c>
      <c r="D29" s="510" t="s">
        <v>481</v>
      </c>
      <c r="H29" s="512" t="s">
        <v>491</v>
      </c>
    </row>
    <row r="30" spans="2:9" x14ac:dyDescent="0.25">
      <c r="B30" s="244"/>
      <c r="C30" s="347" t="s">
        <v>468</v>
      </c>
      <c r="D30" s="511" t="s">
        <v>482</v>
      </c>
      <c r="H30" s="512" t="s">
        <v>491</v>
      </c>
    </row>
    <row r="31" spans="2:9" x14ac:dyDescent="0.25">
      <c r="B31" s="244"/>
      <c r="C31" s="347" t="s">
        <v>354</v>
      </c>
      <c r="D31" s="510" t="s">
        <v>473</v>
      </c>
      <c r="H31" s="512" t="s">
        <v>491</v>
      </c>
    </row>
    <row r="32" spans="2:9" x14ac:dyDescent="0.25">
      <c r="B32" s="244"/>
      <c r="C32" s="347" t="s">
        <v>346</v>
      </c>
      <c r="D32" s="510" t="s">
        <v>483</v>
      </c>
      <c r="H32" s="512" t="s">
        <v>491</v>
      </c>
    </row>
    <row r="33" spans="2:9" x14ac:dyDescent="0.25">
      <c r="B33" s="244"/>
      <c r="C33" s="347" t="s">
        <v>469</v>
      </c>
      <c r="D33" s="510" t="s">
        <v>484</v>
      </c>
      <c r="H33" s="512" t="s">
        <v>491</v>
      </c>
    </row>
    <row r="34" spans="2:9" x14ac:dyDescent="0.25">
      <c r="B34" s="244"/>
      <c r="C34" s="347" t="s">
        <v>470</v>
      </c>
      <c r="D34" s="510" t="s">
        <v>485</v>
      </c>
      <c r="H34" s="512" t="s">
        <v>491</v>
      </c>
    </row>
    <row r="35" spans="2:9" x14ac:dyDescent="0.25">
      <c r="B35" s="244"/>
      <c r="C35" s="347" t="s">
        <v>471</v>
      </c>
      <c r="D35" s="510" t="s">
        <v>486</v>
      </c>
      <c r="H35" s="512" t="s">
        <v>491</v>
      </c>
    </row>
    <row r="36" spans="2:9" x14ac:dyDescent="0.25">
      <c r="B36" s="244"/>
      <c r="C36" s="347" t="s">
        <v>430</v>
      </c>
      <c r="D36" s="510" t="s">
        <v>487</v>
      </c>
      <c r="H36" s="512" t="s">
        <v>491</v>
      </c>
      <c r="I36" s="513" t="s">
        <v>492</v>
      </c>
    </row>
    <row r="37" spans="2:9" x14ac:dyDescent="0.25">
      <c r="B37" s="244"/>
      <c r="C37" s="347" t="s">
        <v>472</v>
      </c>
      <c r="D37" s="511" t="s">
        <v>488</v>
      </c>
      <c r="H37" s="118" t="s">
        <v>490</v>
      </c>
      <c r="I37" t="s">
        <v>181</v>
      </c>
    </row>
    <row r="38" spans="2:9" x14ac:dyDescent="0.25">
      <c r="B38" s="244"/>
    </row>
    <row r="39" spans="2:9" x14ac:dyDescent="0.25">
      <c r="B39" s="244"/>
    </row>
    <row r="40" spans="2:9" x14ac:dyDescent="0.25">
      <c r="B40" s="244"/>
    </row>
    <row r="41" spans="2:9" x14ac:dyDescent="0.25">
      <c r="B41" s="244"/>
    </row>
    <row r="42" spans="2:9" x14ac:dyDescent="0.25">
      <c r="B42" s="244"/>
    </row>
    <row r="43" spans="2:9" x14ac:dyDescent="0.25">
      <c r="B43" s="244"/>
    </row>
    <row r="44" spans="2:9" x14ac:dyDescent="0.25">
      <c r="B44" s="244"/>
    </row>
    <row r="45" spans="2:9" x14ac:dyDescent="0.25">
      <c r="B45" s="244"/>
    </row>
    <row r="46" spans="2:9" x14ac:dyDescent="0.25">
      <c r="B46" s="244"/>
    </row>
    <row r="47" spans="2:9" x14ac:dyDescent="0.25">
      <c r="B47" s="244"/>
    </row>
    <row r="48" spans="2:9" x14ac:dyDescent="0.25">
      <c r="B48" s="244"/>
    </row>
    <row r="49" spans="2:2" x14ac:dyDescent="0.25">
      <c r="B49" s="244"/>
    </row>
    <row r="50" spans="2:2" x14ac:dyDescent="0.25">
      <c r="B50" s="244"/>
    </row>
    <row r="51" spans="2:2" x14ac:dyDescent="0.25">
      <c r="B51" s="244"/>
    </row>
    <row r="52" spans="2:2" x14ac:dyDescent="0.25">
      <c r="B52" s="244"/>
    </row>
    <row r="53" spans="2:2" x14ac:dyDescent="0.25">
      <c r="B53" s="244"/>
    </row>
    <row r="54" spans="2:2" x14ac:dyDescent="0.25">
      <c r="B54" s="244"/>
    </row>
    <row r="55" spans="2:2" x14ac:dyDescent="0.25">
      <c r="B55" s="244"/>
    </row>
    <row r="56" spans="2:2" x14ac:dyDescent="0.25">
      <c r="B56" s="244"/>
    </row>
    <row r="57" spans="2:2" x14ac:dyDescent="0.25">
      <c r="B57" s="244"/>
    </row>
    <row r="58" spans="2:2" x14ac:dyDescent="0.25">
      <c r="B58" s="244"/>
    </row>
    <row r="59" spans="2:2" x14ac:dyDescent="0.25">
      <c r="B59" s="244"/>
    </row>
    <row r="60" spans="2:2" x14ac:dyDescent="0.25">
      <c r="B60" s="244"/>
    </row>
    <row r="61" spans="2:2" x14ac:dyDescent="0.25">
      <c r="B61" s="244"/>
    </row>
    <row r="62" spans="2:2" x14ac:dyDescent="0.25">
      <c r="B62" s="244"/>
    </row>
    <row r="63" spans="2:2" x14ac:dyDescent="0.25">
      <c r="B63" s="244"/>
    </row>
    <row r="64" spans="2:2" x14ac:dyDescent="0.25">
      <c r="B64" s="24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230" r:id="rId4" name="Inicio_Exportar_a_PPTX">
          <controlPr defaultSize="0" autoLine="0" r:id="rId5">
            <anchor moveWithCells="1">
              <from>
                <xdr:col>6</xdr:col>
                <xdr:colOff>711200</xdr:colOff>
                <xdr:row>11</xdr:row>
                <xdr:rowOff>38100</xdr:rowOff>
              </from>
              <to>
                <xdr:col>7</xdr:col>
                <xdr:colOff>1276350</xdr:colOff>
                <xdr:row>13</xdr:row>
                <xdr:rowOff>69850</xdr:rowOff>
              </to>
            </anchor>
          </controlPr>
        </control>
      </mc:Choice>
      <mc:Fallback>
        <control shapeId="52230" r:id="rId4" name="Inicio_Exportar_a_PPTX"/>
      </mc:Fallback>
    </mc:AlternateContent>
    <mc:AlternateContent xmlns:mc="http://schemas.openxmlformats.org/markup-compatibility/2006">
      <mc:Choice Requires="x14">
        <control shapeId="52229" r:id="rId6" name="CommandButton2">
          <controlPr defaultSize="0" autoLine="0" r:id="rId7">
            <anchor moveWithCells="1">
              <from>
                <xdr:col>6</xdr:col>
                <xdr:colOff>711200</xdr:colOff>
                <xdr:row>8</xdr:row>
                <xdr:rowOff>57150</xdr:rowOff>
              </from>
              <to>
                <xdr:col>7</xdr:col>
                <xdr:colOff>1276350</xdr:colOff>
                <xdr:row>10</xdr:row>
                <xdr:rowOff>50800</xdr:rowOff>
              </to>
            </anchor>
          </controlPr>
        </control>
      </mc:Choice>
      <mc:Fallback>
        <control shapeId="52229" r:id="rId6" name="CommandButton2"/>
      </mc:Fallback>
    </mc:AlternateContent>
    <mc:AlternateContent xmlns:mc="http://schemas.openxmlformats.org/markup-compatibility/2006">
      <mc:Choice Requires="x14">
        <control shapeId="52228" r:id="rId8" name="Inicio_Revisión">
          <controlPr defaultSize="0" autoLine="0" r:id="rId9">
            <anchor moveWithCells="1">
              <from>
                <xdr:col>6</xdr:col>
                <xdr:colOff>704850</xdr:colOff>
                <xdr:row>5</xdr:row>
                <xdr:rowOff>76200</xdr:rowOff>
              </from>
              <to>
                <xdr:col>7</xdr:col>
                <xdr:colOff>1276350</xdr:colOff>
                <xdr:row>7</xdr:row>
                <xdr:rowOff>69850</xdr:rowOff>
              </to>
            </anchor>
          </controlPr>
        </control>
      </mc:Choice>
      <mc:Fallback>
        <control shapeId="52228" r:id="rId8" name="Inicio_Revisión"/>
      </mc:Fallback>
    </mc:AlternateContent>
    <mc:AlternateContent xmlns:mc="http://schemas.openxmlformats.org/markup-compatibility/2006">
      <mc:Choice Requires="x14">
        <control shapeId="52227" r:id="rId10" name="CommandButton1">
          <controlPr defaultSize="0" autoLine="0" r:id="rId11">
            <anchor moveWithCells="1">
              <from>
                <xdr:col>7</xdr:col>
                <xdr:colOff>914400</xdr:colOff>
                <xdr:row>1</xdr:row>
                <xdr:rowOff>0</xdr:rowOff>
              </from>
              <to>
                <xdr:col>8</xdr:col>
                <xdr:colOff>1016000</xdr:colOff>
                <xdr:row>2</xdr:row>
                <xdr:rowOff>158750</xdr:rowOff>
              </to>
            </anchor>
          </controlPr>
        </control>
      </mc:Choice>
      <mc:Fallback>
        <control shapeId="52227" r:id="rId10" name="CommandButton1"/>
      </mc:Fallback>
    </mc:AlternateContent>
  </controls>
  <webPublishItems count="1">
    <webPublishItem id="25285" divId="Div ERBG AlimEU June 2019_25285" sourceType="range" sourceRef="H20" destinationFile="C:\xampp\htdocs\webindicator\files\USA ALIMENTOS\msg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_Info"/>
  <dimension ref="A1:CPW65"/>
  <sheetViews>
    <sheetView workbookViewId="0">
      <selection activeCell="A2" sqref="A2:O23"/>
    </sheetView>
  </sheetViews>
  <sheetFormatPr baseColWidth="10" defaultRowHeight="12.5" x14ac:dyDescent="0.25"/>
  <cols>
    <col min="1" max="3" width="10.90625" style="650"/>
    <col min="4" max="18" width="10.90625" style="657"/>
    <col min="19" max="132" width="10.90625" style="651"/>
    <col min="133" max="133" width="10.90625" style="650"/>
    <col min="134" max="136" width="10.90625" style="651"/>
    <col min="137" max="137" width="10.90625" style="650"/>
    <col min="138" max="139" width="10.90625" style="651"/>
    <col min="140" max="142" width="10.90625" style="650"/>
    <col min="143" max="143" width="10.90625" style="651"/>
    <col min="144" max="144" width="10.90625" style="650"/>
    <col min="145" max="145" width="10.90625" style="651"/>
    <col min="146" max="146" width="10.90625" style="650"/>
    <col min="147" max="147" width="10.90625" style="651"/>
    <col min="148" max="16384" width="10.90625" style="650"/>
  </cols>
  <sheetData>
    <row r="1" spans="1:32 1500:2047 2055:2467" x14ac:dyDescent="0.25">
      <c r="A1" s="650" t="s">
        <v>508</v>
      </c>
      <c r="B1" s="650" t="s">
        <v>509</v>
      </c>
      <c r="C1" s="650" t="s">
        <v>510</v>
      </c>
      <c r="D1" s="657" t="s">
        <v>511</v>
      </c>
      <c r="E1" s="657" t="s">
        <v>512</v>
      </c>
      <c r="F1" s="657" t="s">
        <v>513</v>
      </c>
      <c r="G1" s="657" t="s">
        <v>514</v>
      </c>
      <c r="H1" s="657" t="s">
        <v>515</v>
      </c>
      <c r="I1" s="657" t="s">
        <v>516</v>
      </c>
      <c r="J1" s="657" t="s">
        <v>517</v>
      </c>
      <c r="K1" s="657" t="s">
        <v>518</v>
      </c>
      <c r="L1" s="657" t="s">
        <v>519</v>
      </c>
      <c r="M1" s="657" t="s">
        <v>520</v>
      </c>
      <c r="N1" s="657" t="s">
        <v>521</v>
      </c>
      <c r="O1" s="657" t="s">
        <v>522</v>
      </c>
      <c r="P1" s="657" t="s">
        <v>523</v>
      </c>
      <c r="Q1" s="657" t="s">
        <v>524</v>
      </c>
      <c r="R1" s="657" t="s">
        <v>525</v>
      </c>
      <c r="S1" s="651" t="s">
        <v>526</v>
      </c>
      <c r="T1" s="651" t="s">
        <v>527</v>
      </c>
      <c r="U1" s="651" t="s">
        <v>528</v>
      </c>
      <c r="V1" s="651" t="s">
        <v>529</v>
      </c>
      <c r="W1" s="651" t="s">
        <v>530</v>
      </c>
      <c r="X1" s="651" t="s">
        <v>531</v>
      </c>
      <c r="Y1" s="651" t="s">
        <v>532</v>
      </c>
      <c r="Z1" s="651" t="s">
        <v>533</v>
      </c>
      <c r="AA1" s="651" t="s">
        <v>534</v>
      </c>
      <c r="AB1" s="651" t="s">
        <v>535</v>
      </c>
      <c r="AC1" s="651" t="s">
        <v>536</v>
      </c>
      <c r="AD1" s="651" t="s">
        <v>537</v>
      </c>
      <c r="AE1" s="651" t="s">
        <v>538</v>
      </c>
      <c r="AF1" s="651" t="s">
        <v>539</v>
      </c>
    </row>
    <row r="2" spans="1:32 1500:2047 2055:2467" x14ac:dyDescent="0.25">
      <c r="A2" s="650">
        <v>30</v>
      </c>
      <c r="B2" s="650" t="s">
        <v>232</v>
      </c>
      <c r="C2" s="650">
        <v>116200</v>
      </c>
      <c r="D2" s="657">
        <v>116200</v>
      </c>
      <c r="E2" s="657">
        <v>116200</v>
      </c>
      <c r="F2" s="657">
        <v>116300</v>
      </c>
      <c r="G2" s="657">
        <v>116300</v>
      </c>
      <c r="H2" s="657">
        <v>116300</v>
      </c>
      <c r="I2" s="657">
        <v>116400</v>
      </c>
      <c r="J2" s="657">
        <v>116300</v>
      </c>
      <c r="K2" s="657">
        <v>116300</v>
      </c>
      <c r="L2" s="657">
        <v>116300</v>
      </c>
      <c r="M2" s="657">
        <v>116400</v>
      </c>
      <c r="N2" s="657">
        <v>116500</v>
      </c>
      <c r="O2" s="657">
        <v>1395700</v>
      </c>
      <c r="P2" s="657">
        <v>0</v>
      </c>
      <c r="Q2" s="657">
        <v>0</v>
      </c>
      <c r="R2" s="657">
        <v>0</v>
      </c>
      <c r="S2" s="651">
        <v>0</v>
      </c>
      <c r="T2" s="651">
        <v>0</v>
      </c>
      <c r="U2" s="651">
        <v>0</v>
      </c>
      <c r="V2" s="651">
        <v>0</v>
      </c>
      <c r="W2" s="651">
        <v>0</v>
      </c>
      <c r="X2" s="651">
        <v>0</v>
      </c>
      <c r="Y2" s="651">
        <v>0</v>
      </c>
      <c r="Z2" s="651">
        <v>0</v>
      </c>
      <c r="AA2" s="651">
        <v>0</v>
      </c>
      <c r="AB2" s="651">
        <v>0</v>
      </c>
      <c r="AC2" s="651">
        <v>0</v>
      </c>
      <c r="AD2" s="651">
        <v>0</v>
      </c>
      <c r="AE2" s="651">
        <v>0</v>
      </c>
      <c r="AF2" s="651" t="s">
        <v>547</v>
      </c>
      <c r="BER2" s="652"/>
      <c r="BEU2" s="652"/>
      <c r="BFC2" s="652"/>
      <c r="BFF2" s="652"/>
      <c r="BFN2" s="652"/>
      <c r="BFQ2" s="652"/>
      <c r="BFY2" s="652"/>
      <c r="BGB2" s="652"/>
      <c r="BGJ2" s="652"/>
      <c r="BGM2" s="652"/>
      <c r="BGU2" s="652"/>
      <c r="BGX2" s="652"/>
      <c r="BHF2" s="652"/>
      <c r="BHI2" s="652"/>
      <c r="BHQ2" s="652"/>
      <c r="BHT2" s="652"/>
      <c r="BIB2" s="652"/>
      <c r="BIE2" s="652"/>
      <c r="BIM2" s="652"/>
      <c r="BIP2" s="652"/>
      <c r="BIX2" s="652"/>
      <c r="BJA2" s="652"/>
      <c r="BJI2" s="652"/>
      <c r="BJL2" s="652"/>
      <c r="BJT2" s="652"/>
      <c r="BJW2" s="652"/>
      <c r="BKE2" s="652"/>
      <c r="BKH2" s="652"/>
      <c r="BKP2" s="652"/>
      <c r="BKS2" s="652"/>
      <c r="BLA2" s="652"/>
      <c r="BLD2" s="652"/>
      <c r="BLL2" s="652"/>
      <c r="BLO2" s="652"/>
      <c r="BLW2" s="652"/>
      <c r="BLZ2" s="652"/>
      <c r="BMH2" s="652"/>
      <c r="BMK2" s="652"/>
      <c r="BMS2" s="652"/>
      <c r="BMV2" s="652"/>
      <c r="BND2" s="652"/>
      <c r="BNG2" s="652"/>
      <c r="BNO2" s="652"/>
      <c r="BNR2" s="652"/>
      <c r="BNZ2" s="652"/>
      <c r="BOC2" s="652"/>
      <c r="BOK2" s="652"/>
      <c r="BON2" s="652"/>
      <c r="BOV2" s="652"/>
      <c r="BOY2" s="652"/>
      <c r="BPG2" s="652"/>
      <c r="BPJ2" s="652"/>
      <c r="BPR2" s="652"/>
      <c r="BPU2" s="652"/>
      <c r="BQC2" s="652"/>
      <c r="BQF2" s="652"/>
      <c r="BQN2" s="652"/>
      <c r="BQQ2" s="652"/>
      <c r="BQY2" s="652"/>
      <c r="BRB2" s="652"/>
      <c r="BRJ2" s="652"/>
      <c r="BRM2" s="652"/>
      <c r="BRU2" s="652"/>
      <c r="BRX2" s="652"/>
      <c r="BSF2" s="652"/>
      <c r="BSI2" s="652"/>
      <c r="BSQ2" s="652"/>
      <c r="BST2" s="652"/>
      <c r="BTB2" s="652"/>
      <c r="BTE2" s="652"/>
      <c r="BTM2" s="652"/>
      <c r="BTP2" s="652"/>
      <c r="BTX2" s="652"/>
      <c r="BUA2" s="652"/>
      <c r="BUI2" s="652"/>
      <c r="BUL2" s="652"/>
      <c r="BUT2" s="652"/>
      <c r="BUW2" s="652"/>
      <c r="BVE2" s="652"/>
      <c r="BVH2" s="652"/>
      <c r="BVP2" s="652"/>
      <c r="BVS2" s="652"/>
      <c r="BWA2" s="652"/>
      <c r="BWD2" s="652"/>
      <c r="BWL2" s="652"/>
      <c r="BWO2" s="652"/>
      <c r="BWW2" s="652"/>
      <c r="BWZ2" s="652"/>
      <c r="BXH2" s="652"/>
      <c r="BXK2" s="652"/>
      <c r="BXS2" s="652"/>
      <c r="BXV2" s="652"/>
      <c r="BYD2" s="652"/>
      <c r="BYG2" s="652"/>
      <c r="BYI2" s="652"/>
      <c r="BYL2" s="652"/>
      <c r="BYO2" s="652"/>
      <c r="BYR2" s="652"/>
      <c r="BYT2" s="652"/>
      <c r="BYW2" s="652"/>
      <c r="BZE2" s="652"/>
      <c r="BZH2" s="652"/>
      <c r="BZP2" s="652"/>
      <c r="BZS2" s="652"/>
      <c r="CAA2" s="652"/>
      <c r="CAD2" s="652"/>
      <c r="CAL2" s="652"/>
      <c r="CAO2" s="652"/>
      <c r="CAW2" s="652"/>
      <c r="CAZ2" s="652"/>
      <c r="CBH2" s="652"/>
      <c r="CBK2" s="652"/>
      <c r="CBS2" s="652"/>
      <c r="CBV2" s="652"/>
      <c r="CCD2" s="652"/>
      <c r="CCG2" s="652"/>
      <c r="CCO2" s="652"/>
      <c r="CCR2" s="652"/>
      <c r="CCZ2" s="652"/>
      <c r="CDC2" s="652"/>
      <c r="CDK2" s="652"/>
      <c r="CDN2" s="652"/>
      <c r="CDV2" s="652"/>
      <c r="CDY2" s="652"/>
      <c r="CEG2" s="652"/>
      <c r="CEJ2" s="652"/>
      <c r="CER2" s="652"/>
      <c r="CEU2" s="652"/>
      <c r="CFC2" s="652"/>
      <c r="CFF2" s="652"/>
      <c r="CFN2" s="652"/>
      <c r="CFQ2" s="652"/>
      <c r="CFY2" s="652"/>
      <c r="CGB2" s="652"/>
      <c r="CGJ2" s="652"/>
      <c r="CGM2" s="652"/>
      <c r="CGU2" s="652"/>
      <c r="CGX2" s="652"/>
      <c r="CHF2" s="652"/>
      <c r="CHI2" s="652"/>
      <c r="CHQ2" s="652"/>
      <c r="CHT2" s="652"/>
      <c r="CIB2" s="652"/>
      <c r="CIE2" s="652"/>
      <c r="CIM2" s="652"/>
      <c r="CIP2" s="652"/>
      <c r="CIX2" s="652"/>
      <c r="CJA2" s="652"/>
      <c r="CJI2" s="652"/>
      <c r="CJL2" s="652"/>
      <c r="CJT2" s="652"/>
      <c r="CKE2" s="652"/>
      <c r="CKP2" s="652"/>
      <c r="CLA2" s="652"/>
      <c r="CLL2" s="652"/>
      <c r="CLW2" s="652"/>
      <c r="CLZ2" s="652"/>
      <c r="CME2" s="652"/>
      <c r="CMH2" s="652"/>
      <c r="CMK2" s="652"/>
      <c r="CMP2" s="652"/>
      <c r="CMS2" s="652"/>
      <c r="CMX2" s="652"/>
      <c r="CNA2" s="652"/>
      <c r="CND2" s="652"/>
      <c r="CNI2" s="652"/>
      <c r="CNL2" s="652"/>
      <c r="CNT2" s="652"/>
      <c r="CNW2" s="652"/>
      <c r="COE2" s="652"/>
      <c r="COH2" s="652"/>
      <c r="COP2" s="652"/>
      <c r="COS2" s="652"/>
      <c r="CPA2" s="652"/>
      <c r="CPD2" s="652"/>
      <c r="CPL2" s="652"/>
      <c r="CPM2" s="652"/>
      <c r="CPP2" s="652"/>
      <c r="CPW2" s="652"/>
    </row>
    <row r="3" spans="1:32 1500:2047 2055:2467" x14ac:dyDescent="0.25">
      <c r="A3" s="650">
        <v>40</v>
      </c>
      <c r="B3" s="650" t="s">
        <v>233</v>
      </c>
      <c r="C3" s="650">
        <v>0</v>
      </c>
      <c r="D3" s="657">
        <v>0</v>
      </c>
      <c r="E3" s="657">
        <v>0</v>
      </c>
      <c r="F3" s="657">
        <v>0</v>
      </c>
      <c r="G3" s="657">
        <v>0</v>
      </c>
      <c r="H3" s="657">
        <v>0</v>
      </c>
      <c r="I3" s="657">
        <v>0</v>
      </c>
      <c r="J3" s="657">
        <v>0</v>
      </c>
      <c r="K3" s="657">
        <v>0</v>
      </c>
      <c r="L3" s="657">
        <v>0</v>
      </c>
      <c r="M3" s="657">
        <v>0</v>
      </c>
      <c r="N3" s="657">
        <v>0</v>
      </c>
      <c r="O3" s="657">
        <v>0</v>
      </c>
      <c r="P3" s="657">
        <v>0</v>
      </c>
      <c r="Q3" s="657">
        <v>0</v>
      </c>
      <c r="R3" s="657">
        <v>0</v>
      </c>
      <c r="S3" s="651">
        <v>0</v>
      </c>
      <c r="T3" s="651">
        <v>0</v>
      </c>
      <c r="U3" s="651">
        <v>0</v>
      </c>
      <c r="V3" s="651">
        <v>0</v>
      </c>
      <c r="W3" s="651">
        <v>0</v>
      </c>
      <c r="X3" s="651">
        <v>0</v>
      </c>
      <c r="Y3" s="651">
        <v>0</v>
      </c>
      <c r="Z3" s="651">
        <v>0</v>
      </c>
      <c r="AA3" s="651">
        <v>0</v>
      </c>
      <c r="AB3" s="651">
        <v>0</v>
      </c>
      <c r="AC3" s="651">
        <v>0</v>
      </c>
      <c r="AD3" s="651">
        <v>0</v>
      </c>
      <c r="AE3" s="651">
        <v>0</v>
      </c>
      <c r="AF3" s="651" t="s">
        <v>547</v>
      </c>
      <c r="BER3" s="652"/>
      <c r="BEU3" s="652"/>
      <c r="BFC3" s="652"/>
      <c r="BFF3" s="652"/>
      <c r="BFN3" s="652"/>
      <c r="BFQ3" s="652"/>
      <c r="BFY3" s="652"/>
      <c r="BGB3" s="652"/>
      <c r="BGJ3" s="652"/>
      <c r="BGM3" s="652"/>
      <c r="BGU3" s="652"/>
      <c r="BGX3" s="652"/>
      <c r="BHF3" s="652"/>
      <c r="BHI3" s="652"/>
      <c r="BHQ3" s="652"/>
      <c r="BHT3" s="652"/>
      <c r="BIB3" s="652"/>
      <c r="BIE3" s="652"/>
      <c r="BIM3" s="652"/>
      <c r="BIP3" s="652"/>
      <c r="BIX3" s="652"/>
      <c r="BJA3" s="652"/>
      <c r="BJI3" s="652"/>
      <c r="BJL3" s="652"/>
      <c r="BJT3" s="652"/>
      <c r="BJW3" s="652"/>
      <c r="BKE3" s="652"/>
      <c r="BKH3" s="652"/>
      <c r="BKP3" s="652"/>
      <c r="BKS3" s="652"/>
      <c r="BLA3" s="652"/>
      <c r="BLD3" s="652"/>
      <c r="BLL3" s="652"/>
      <c r="BLO3" s="652"/>
      <c r="BLW3" s="652"/>
      <c r="BLZ3" s="652"/>
      <c r="BMH3" s="652"/>
      <c r="BMK3" s="652"/>
      <c r="BMS3" s="652"/>
      <c r="BMV3" s="652"/>
      <c r="BND3" s="652"/>
      <c r="BNG3" s="652"/>
      <c r="BNO3" s="652"/>
      <c r="BNR3" s="652"/>
      <c r="BNZ3" s="652"/>
      <c r="BOC3" s="652"/>
      <c r="BOK3" s="652"/>
      <c r="BON3" s="652"/>
      <c r="BOV3" s="652"/>
      <c r="BOY3" s="652"/>
      <c r="BPG3" s="652"/>
      <c r="BPJ3" s="652"/>
      <c r="BPR3" s="652"/>
      <c r="BPU3" s="652"/>
      <c r="BQC3" s="652"/>
      <c r="BQF3" s="652"/>
      <c r="BQN3" s="652"/>
      <c r="BQQ3" s="652"/>
      <c r="BQY3" s="652"/>
      <c r="BRB3" s="652"/>
      <c r="BRJ3" s="652"/>
      <c r="BRM3" s="652"/>
      <c r="BRU3" s="652"/>
      <c r="BRX3" s="652"/>
      <c r="BSF3" s="652"/>
      <c r="BSI3" s="652"/>
      <c r="BSQ3" s="652"/>
      <c r="BST3" s="652"/>
      <c r="BTB3" s="652"/>
      <c r="BTE3" s="652"/>
      <c r="BTM3" s="652"/>
      <c r="BTP3" s="652"/>
      <c r="BTX3" s="652"/>
      <c r="BUA3" s="652"/>
      <c r="BUI3" s="652"/>
      <c r="BUL3" s="652"/>
      <c r="BUT3" s="652"/>
      <c r="BUW3" s="652"/>
      <c r="BVE3" s="652"/>
      <c r="BVH3" s="652"/>
      <c r="BVP3" s="652"/>
      <c r="BVS3" s="652"/>
      <c r="BWA3" s="652"/>
      <c r="BWD3" s="652"/>
      <c r="BWL3" s="652"/>
      <c r="BWO3" s="652"/>
      <c r="BWW3" s="652"/>
      <c r="BWZ3" s="652"/>
      <c r="BXH3" s="652"/>
      <c r="BXK3" s="652"/>
      <c r="BXS3" s="652"/>
      <c r="BXV3" s="652"/>
      <c r="BYD3" s="652"/>
      <c r="BYG3" s="652"/>
      <c r="BYI3" s="652"/>
      <c r="BYL3" s="652"/>
      <c r="BYO3" s="652"/>
      <c r="BYR3" s="652"/>
      <c r="BYT3" s="652"/>
      <c r="BYW3" s="652"/>
      <c r="BZE3" s="652"/>
      <c r="BZH3" s="652"/>
      <c r="BZP3" s="652"/>
      <c r="BZS3" s="652"/>
      <c r="CAA3" s="652"/>
      <c r="CAD3" s="652"/>
      <c r="CAL3" s="652"/>
      <c r="CAO3" s="652"/>
      <c r="CAW3" s="652"/>
      <c r="CAZ3" s="652"/>
      <c r="CBH3" s="652"/>
      <c r="CBK3" s="652"/>
      <c r="CBS3" s="652"/>
      <c r="CBV3" s="652"/>
      <c r="CCD3" s="652"/>
      <c r="CCG3" s="652"/>
      <c r="CCO3" s="652"/>
      <c r="CCR3" s="652"/>
      <c r="CCZ3" s="652"/>
      <c r="CDC3" s="652"/>
      <c r="CDK3" s="652"/>
      <c r="CDN3" s="652"/>
      <c r="CDV3" s="652"/>
      <c r="CDY3" s="652"/>
      <c r="CEG3" s="652"/>
      <c r="CEJ3" s="652"/>
      <c r="CER3" s="652"/>
      <c r="CEU3" s="652"/>
      <c r="CFC3" s="652"/>
      <c r="CFF3" s="652"/>
      <c r="CFN3" s="652"/>
      <c r="CFQ3" s="652"/>
      <c r="CFY3" s="652"/>
      <c r="CGB3" s="652"/>
      <c r="CGJ3" s="652"/>
      <c r="CGM3" s="652"/>
      <c r="CGU3" s="652"/>
      <c r="CGX3" s="652"/>
      <c r="CHF3" s="652"/>
      <c r="CHI3" s="652"/>
      <c r="CHQ3" s="652"/>
      <c r="CHT3" s="652"/>
      <c r="CIB3" s="652"/>
      <c r="CIE3" s="652"/>
      <c r="CIM3" s="652"/>
      <c r="CIP3" s="652"/>
      <c r="CIX3" s="652"/>
      <c r="CJA3" s="652"/>
      <c r="CJI3" s="652"/>
      <c r="CJL3" s="652"/>
      <c r="CJT3" s="652"/>
      <c r="CKE3" s="652"/>
      <c r="CKP3" s="652"/>
      <c r="CLA3" s="652"/>
      <c r="CLL3" s="652"/>
      <c r="CLW3" s="652"/>
      <c r="CLZ3" s="652"/>
      <c r="CME3" s="652"/>
      <c r="CMH3" s="652"/>
      <c r="CMK3" s="652"/>
      <c r="CMP3" s="652"/>
      <c r="CMS3" s="652"/>
      <c r="CMX3" s="652"/>
      <c r="CNA3" s="652"/>
      <c r="CND3" s="652"/>
      <c r="CNI3" s="652"/>
      <c r="CNL3" s="652"/>
      <c r="CNT3" s="652"/>
      <c r="CNW3" s="652"/>
      <c r="COE3" s="652"/>
      <c r="COH3" s="652"/>
      <c r="COP3" s="652"/>
      <c r="COS3" s="652"/>
      <c r="CPA3" s="652"/>
      <c r="CPD3" s="652"/>
      <c r="CPL3" s="652"/>
      <c r="CPM3" s="652"/>
      <c r="CPP3" s="652"/>
      <c r="CPW3" s="652"/>
    </row>
    <row r="4" spans="1:32 1500:2047 2055:2467" x14ac:dyDescent="0.25">
      <c r="A4" s="650">
        <v>50</v>
      </c>
      <c r="B4" s="650" t="s">
        <v>234</v>
      </c>
      <c r="C4" s="650">
        <v>116200</v>
      </c>
      <c r="D4" s="657">
        <v>116200</v>
      </c>
      <c r="E4" s="657">
        <v>116200</v>
      </c>
      <c r="F4" s="657">
        <v>116300</v>
      </c>
      <c r="G4" s="657">
        <v>116300</v>
      </c>
      <c r="H4" s="657">
        <v>116300</v>
      </c>
      <c r="I4" s="657">
        <v>116400</v>
      </c>
      <c r="J4" s="657">
        <v>116300</v>
      </c>
      <c r="K4" s="657">
        <v>116300</v>
      </c>
      <c r="L4" s="657">
        <v>116300</v>
      </c>
      <c r="M4" s="657">
        <v>116400</v>
      </c>
      <c r="N4" s="657">
        <v>116500</v>
      </c>
      <c r="O4" s="657">
        <v>1395700</v>
      </c>
      <c r="P4" s="657">
        <v>0</v>
      </c>
      <c r="Q4" s="657">
        <v>0</v>
      </c>
      <c r="R4" s="657">
        <v>0</v>
      </c>
      <c r="S4" s="651">
        <v>0</v>
      </c>
      <c r="T4" s="651">
        <v>0</v>
      </c>
      <c r="U4" s="651">
        <v>0</v>
      </c>
      <c r="V4" s="651">
        <v>0</v>
      </c>
      <c r="W4" s="651">
        <v>0</v>
      </c>
      <c r="X4" s="651">
        <v>0</v>
      </c>
      <c r="Y4" s="651">
        <v>0</v>
      </c>
      <c r="Z4" s="651">
        <v>0</v>
      </c>
      <c r="AA4" s="651">
        <v>0</v>
      </c>
      <c r="AB4" s="651">
        <v>0</v>
      </c>
      <c r="AC4" s="651">
        <v>0</v>
      </c>
      <c r="AD4" s="651">
        <v>0</v>
      </c>
      <c r="AE4" s="651">
        <v>0</v>
      </c>
      <c r="AF4" s="651" t="s">
        <v>547</v>
      </c>
      <c r="BER4" s="652"/>
      <c r="BEU4" s="652"/>
      <c r="BFC4" s="652"/>
      <c r="BFF4" s="652"/>
      <c r="BFN4" s="652"/>
      <c r="BFQ4" s="652"/>
      <c r="BFY4" s="652"/>
      <c r="BGB4" s="652"/>
      <c r="BGJ4" s="652"/>
      <c r="BGM4" s="652"/>
      <c r="BGU4" s="652"/>
      <c r="BGX4" s="652"/>
      <c r="BHF4" s="652"/>
      <c r="BHI4" s="652"/>
      <c r="BHQ4" s="652"/>
      <c r="BHT4" s="652"/>
      <c r="BIB4" s="652"/>
      <c r="BIE4" s="652"/>
      <c r="BIM4" s="652"/>
      <c r="BIP4" s="652"/>
      <c r="BIX4" s="652"/>
      <c r="BJA4" s="652"/>
      <c r="BJI4" s="652"/>
      <c r="BJL4" s="652"/>
      <c r="BJT4" s="652"/>
      <c r="BJW4" s="652"/>
      <c r="BKE4" s="652"/>
      <c r="BKH4" s="652"/>
      <c r="BKP4" s="652"/>
      <c r="BKS4" s="652"/>
      <c r="BLA4" s="652"/>
      <c r="BLD4" s="652"/>
      <c r="BLL4" s="652"/>
      <c r="BLO4" s="652"/>
      <c r="BLW4" s="652"/>
      <c r="BLZ4" s="652"/>
      <c r="BMH4" s="652"/>
      <c r="BMK4" s="652"/>
      <c r="BMS4" s="652"/>
      <c r="BMV4" s="652"/>
      <c r="BND4" s="652"/>
      <c r="BNG4" s="652"/>
      <c r="BNO4" s="652"/>
      <c r="BNR4" s="652"/>
      <c r="BNZ4" s="652"/>
      <c r="BOC4" s="652"/>
      <c r="BOK4" s="652"/>
      <c r="BON4" s="652"/>
      <c r="BOV4" s="652"/>
      <c r="BOY4" s="652"/>
      <c r="BPG4" s="652"/>
      <c r="BPJ4" s="652"/>
      <c r="BPR4" s="652"/>
      <c r="BPU4" s="652"/>
      <c r="BQC4" s="652"/>
      <c r="BQF4" s="652"/>
      <c r="BQN4" s="652"/>
      <c r="BQQ4" s="652"/>
      <c r="BQY4" s="652"/>
      <c r="BRB4" s="652"/>
      <c r="BRJ4" s="652"/>
      <c r="BRM4" s="652"/>
      <c r="BRU4" s="652"/>
      <c r="BRX4" s="652"/>
      <c r="BSF4" s="652"/>
      <c r="BSI4" s="652"/>
      <c r="BSQ4" s="652"/>
      <c r="BST4" s="652"/>
      <c r="BTB4" s="652"/>
      <c r="BTE4" s="652"/>
      <c r="BTM4" s="652"/>
      <c r="BTP4" s="652"/>
      <c r="BTX4" s="652"/>
      <c r="BUA4" s="652"/>
      <c r="BUI4" s="652"/>
      <c r="BUL4" s="652"/>
      <c r="BUT4" s="652"/>
      <c r="BUW4" s="652"/>
      <c r="BVE4" s="652"/>
      <c r="BVH4" s="652"/>
      <c r="BVP4" s="652"/>
      <c r="BVS4" s="652"/>
      <c r="BWA4" s="652"/>
      <c r="BWD4" s="652"/>
      <c r="BWL4" s="652"/>
      <c r="BWO4" s="652"/>
      <c r="BWW4" s="652"/>
      <c r="BWZ4" s="652"/>
      <c r="BXH4" s="652"/>
      <c r="BXK4" s="652"/>
      <c r="BXS4" s="652"/>
      <c r="BXV4" s="652"/>
      <c r="BYD4" s="652"/>
      <c r="BYG4" s="652"/>
      <c r="BYI4" s="652"/>
      <c r="BYL4" s="652"/>
      <c r="BYO4" s="652"/>
      <c r="BYR4" s="652"/>
      <c r="BYT4" s="652"/>
      <c r="BYW4" s="652"/>
      <c r="BZE4" s="652"/>
      <c r="BZH4" s="652"/>
      <c r="BZP4" s="652"/>
      <c r="BZS4" s="652"/>
      <c r="CAA4" s="652"/>
      <c r="CAD4" s="652"/>
      <c r="CAL4" s="652"/>
      <c r="CAO4" s="652"/>
      <c r="CAW4" s="652"/>
      <c r="CAZ4" s="652"/>
      <c r="CBH4" s="652"/>
      <c r="CBK4" s="652"/>
      <c r="CBS4" s="652"/>
      <c r="CBV4" s="652"/>
      <c r="CCD4" s="652"/>
      <c r="CCG4" s="652"/>
      <c r="CCO4" s="652"/>
      <c r="CCR4" s="652"/>
      <c r="CCZ4" s="652"/>
      <c r="CDC4" s="652"/>
      <c r="CDK4" s="652"/>
      <c r="CDN4" s="652"/>
      <c r="CDV4" s="652"/>
      <c r="CDY4" s="652"/>
      <c r="CEG4" s="652"/>
      <c r="CEJ4" s="652"/>
      <c r="CER4" s="652"/>
      <c r="CEU4" s="652"/>
      <c r="CFC4" s="652"/>
      <c r="CFF4" s="652"/>
      <c r="CFN4" s="652"/>
      <c r="CFQ4" s="652"/>
      <c r="CFY4" s="652"/>
      <c r="CGB4" s="652"/>
      <c r="CGJ4" s="652"/>
      <c r="CGM4" s="652"/>
      <c r="CGU4" s="652"/>
      <c r="CGX4" s="652"/>
      <c r="CHF4" s="652"/>
      <c r="CHI4" s="652"/>
      <c r="CHQ4" s="652"/>
      <c r="CHT4" s="652"/>
      <c r="CIB4" s="652"/>
      <c r="CIE4" s="652"/>
      <c r="CIM4" s="652"/>
      <c r="CIP4" s="652"/>
      <c r="CIX4" s="652"/>
      <c r="CJA4" s="652"/>
      <c r="CJI4" s="652"/>
      <c r="CJL4" s="652"/>
      <c r="CJT4" s="652"/>
      <c r="CKE4" s="652"/>
      <c r="CKP4" s="652"/>
      <c r="CLA4" s="652"/>
      <c r="CLL4" s="652"/>
      <c r="CLW4" s="652"/>
      <c r="CLZ4" s="652"/>
      <c r="CME4" s="652"/>
      <c r="CMH4" s="652"/>
      <c r="CMK4" s="652"/>
      <c r="CMP4" s="652"/>
      <c r="CMS4" s="652"/>
      <c r="CMX4" s="652"/>
      <c r="CNA4" s="652"/>
      <c r="CND4" s="652"/>
      <c r="CNI4" s="652"/>
      <c r="CNL4" s="652"/>
      <c r="CNT4" s="652"/>
      <c r="CNW4" s="652"/>
      <c r="COE4" s="652"/>
      <c r="COH4" s="652"/>
      <c r="COP4" s="652"/>
      <c r="COS4" s="652"/>
      <c r="CPA4" s="652"/>
      <c r="CPD4" s="652"/>
      <c r="CPL4" s="652"/>
      <c r="CPM4" s="652"/>
      <c r="CPP4" s="652"/>
      <c r="CPW4" s="652"/>
    </row>
    <row r="5" spans="1:32 1500:2047 2055:2467" x14ac:dyDescent="0.25">
      <c r="A5" s="650">
        <v>60</v>
      </c>
      <c r="B5" s="650" t="s">
        <v>235</v>
      </c>
      <c r="C5" s="650">
        <v>0</v>
      </c>
      <c r="D5" s="657">
        <v>0</v>
      </c>
      <c r="E5" s="657">
        <v>0</v>
      </c>
      <c r="F5" s="657">
        <v>0</v>
      </c>
      <c r="G5" s="657">
        <v>0</v>
      </c>
      <c r="H5" s="657">
        <v>0</v>
      </c>
      <c r="I5" s="657">
        <v>0</v>
      </c>
      <c r="J5" s="657">
        <v>0</v>
      </c>
      <c r="K5" s="657">
        <v>0</v>
      </c>
      <c r="L5" s="657">
        <v>0</v>
      </c>
      <c r="M5" s="657">
        <v>0</v>
      </c>
      <c r="N5" s="657">
        <v>0</v>
      </c>
      <c r="O5" s="657">
        <v>0</v>
      </c>
      <c r="P5" s="657">
        <v>0</v>
      </c>
      <c r="Q5" s="657">
        <v>0</v>
      </c>
      <c r="R5" s="657">
        <v>0</v>
      </c>
      <c r="S5" s="651">
        <v>0</v>
      </c>
      <c r="T5" s="651">
        <v>0</v>
      </c>
      <c r="U5" s="651">
        <v>0</v>
      </c>
      <c r="V5" s="651">
        <v>0</v>
      </c>
      <c r="W5" s="651">
        <v>0</v>
      </c>
      <c r="X5" s="651">
        <v>0</v>
      </c>
      <c r="Y5" s="651">
        <v>0</v>
      </c>
      <c r="Z5" s="651">
        <v>0</v>
      </c>
      <c r="AA5" s="651">
        <v>0</v>
      </c>
      <c r="AB5" s="651">
        <v>0</v>
      </c>
      <c r="AC5" s="651">
        <v>0</v>
      </c>
      <c r="AD5" s="651">
        <v>0</v>
      </c>
      <c r="AE5" s="651">
        <v>0</v>
      </c>
      <c r="AF5" s="651" t="s">
        <v>547</v>
      </c>
      <c r="BER5" s="652"/>
      <c r="BEU5" s="652"/>
      <c r="BFC5" s="652"/>
      <c r="BFF5" s="652"/>
      <c r="BFN5" s="652"/>
      <c r="BFQ5" s="652"/>
      <c r="BFY5" s="652"/>
      <c r="BGB5" s="652"/>
      <c r="BGJ5" s="652"/>
      <c r="BGM5" s="652"/>
      <c r="BGU5" s="652"/>
      <c r="BGX5" s="652"/>
      <c r="BHF5" s="652"/>
      <c r="BHI5" s="652"/>
      <c r="BHQ5" s="652"/>
      <c r="BHT5" s="652"/>
      <c r="BIB5" s="652"/>
      <c r="BIE5" s="652"/>
      <c r="BIM5" s="652"/>
      <c r="BIP5" s="652"/>
      <c r="BIX5" s="652"/>
      <c r="BJA5" s="652"/>
      <c r="BJI5" s="652"/>
      <c r="BJL5" s="652"/>
      <c r="BJT5" s="652"/>
      <c r="BJW5" s="652"/>
      <c r="BKE5" s="652"/>
      <c r="BKH5" s="652"/>
      <c r="BKP5" s="652"/>
      <c r="BKS5" s="652"/>
      <c r="BLA5" s="652"/>
      <c r="BLD5" s="652"/>
      <c r="BLL5" s="652"/>
      <c r="BLO5" s="652"/>
      <c r="BLW5" s="652"/>
      <c r="BLZ5" s="652"/>
      <c r="BMH5" s="652"/>
      <c r="BMK5" s="652"/>
      <c r="BMS5" s="652"/>
      <c r="BMV5" s="652"/>
      <c r="BND5" s="652"/>
      <c r="BNG5" s="652"/>
      <c r="BNO5" s="652"/>
      <c r="BNR5" s="652"/>
      <c r="BNZ5" s="652"/>
      <c r="BOC5" s="652"/>
      <c r="BOK5" s="652"/>
      <c r="BON5" s="652"/>
      <c r="BOV5" s="652"/>
      <c r="BOY5" s="652"/>
      <c r="BPG5" s="652"/>
      <c r="BPJ5" s="652"/>
      <c r="BPR5" s="652"/>
      <c r="BPU5" s="652"/>
      <c r="BQC5" s="652"/>
      <c r="BQF5" s="652"/>
      <c r="BQN5" s="652"/>
      <c r="BQQ5" s="652"/>
      <c r="BQY5" s="652"/>
      <c r="BRB5" s="652"/>
      <c r="BRJ5" s="652"/>
      <c r="BRM5" s="652"/>
      <c r="BRU5" s="652"/>
      <c r="BRX5" s="652"/>
      <c r="BSF5" s="652"/>
      <c r="BSI5" s="652"/>
      <c r="BSQ5" s="652"/>
      <c r="BST5" s="652"/>
      <c r="BTB5" s="652"/>
      <c r="BTE5" s="652"/>
      <c r="BTM5" s="652"/>
      <c r="BTP5" s="652"/>
      <c r="BTX5" s="652"/>
      <c r="BUA5" s="652"/>
      <c r="BUI5" s="652"/>
      <c r="BUL5" s="652"/>
      <c r="BUT5" s="652"/>
      <c r="BUW5" s="652"/>
      <c r="BVE5" s="652"/>
      <c r="BVH5" s="652"/>
      <c r="BVP5" s="652"/>
      <c r="BVS5" s="652"/>
      <c r="BWA5" s="652"/>
      <c r="BWD5" s="652"/>
      <c r="BWL5" s="652"/>
      <c r="BWO5" s="652"/>
      <c r="BWW5" s="652"/>
      <c r="BWZ5" s="652"/>
      <c r="BXH5" s="652"/>
      <c r="BXK5" s="652"/>
      <c r="BXS5" s="652"/>
      <c r="BXV5" s="652"/>
      <c r="BYD5" s="652"/>
      <c r="BYG5" s="652"/>
      <c r="BYI5" s="652"/>
      <c r="BYL5" s="652"/>
      <c r="BYO5" s="652"/>
      <c r="BYR5" s="652"/>
      <c r="BYT5" s="652"/>
      <c r="BYW5" s="652"/>
      <c r="BZE5" s="652"/>
      <c r="BZH5" s="652"/>
      <c r="BZP5" s="652"/>
      <c r="BZS5" s="652"/>
      <c r="CAA5" s="652"/>
      <c r="CAD5" s="652"/>
      <c r="CAL5" s="652"/>
      <c r="CAO5" s="652"/>
      <c r="CAW5" s="652"/>
      <c r="CAZ5" s="652"/>
      <c r="CBH5" s="652"/>
      <c r="CBK5" s="652"/>
      <c r="CBS5" s="652"/>
      <c r="CBV5" s="652"/>
      <c r="CCD5" s="652"/>
      <c r="CCG5" s="652"/>
      <c r="CCO5" s="652"/>
      <c r="CCR5" s="652"/>
      <c r="CCZ5" s="652"/>
      <c r="CDC5" s="652"/>
      <c r="CDK5" s="652"/>
      <c r="CDN5" s="652"/>
      <c r="CDV5" s="652"/>
      <c r="CDY5" s="652"/>
      <c r="CEG5" s="652"/>
      <c r="CEJ5" s="652"/>
      <c r="CER5" s="652"/>
      <c r="CEU5" s="652"/>
      <c r="CFC5" s="652"/>
      <c r="CFF5" s="652"/>
      <c r="CFN5" s="652"/>
      <c r="CFQ5" s="652"/>
      <c r="CFY5" s="652"/>
      <c r="CGB5" s="652"/>
      <c r="CGJ5" s="652"/>
      <c r="CGM5" s="652"/>
      <c r="CGU5" s="652"/>
      <c r="CGX5" s="652"/>
      <c r="CHF5" s="652"/>
      <c r="CHI5" s="652"/>
      <c r="CHQ5" s="652"/>
      <c r="CHT5" s="652"/>
      <c r="CIB5" s="652"/>
      <c r="CIE5" s="652"/>
      <c r="CIM5" s="652"/>
      <c r="CIP5" s="652"/>
      <c r="CIX5" s="652"/>
      <c r="CJA5" s="652"/>
      <c r="CJI5" s="652"/>
      <c r="CJL5" s="652"/>
      <c r="CJT5" s="652"/>
      <c r="CKE5" s="652"/>
      <c r="CKP5" s="652"/>
      <c r="CLA5" s="652"/>
      <c r="CLL5" s="652"/>
      <c r="CLW5" s="652"/>
      <c r="CLZ5" s="652"/>
      <c r="CME5" s="652"/>
      <c r="CMH5" s="652"/>
      <c r="CMK5" s="652"/>
      <c r="CMP5" s="652"/>
      <c r="CMS5" s="652"/>
      <c r="CMX5" s="652"/>
      <c r="CNA5" s="652"/>
      <c r="CND5" s="652"/>
      <c r="CNI5" s="652"/>
      <c r="CNL5" s="652"/>
      <c r="CNT5" s="652"/>
      <c r="CNW5" s="652"/>
      <c r="COE5" s="652"/>
      <c r="COH5" s="652"/>
      <c r="COP5" s="652"/>
      <c r="COS5" s="652"/>
      <c r="CPA5" s="652"/>
      <c r="CPD5" s="652"/>
      <c r="CPL5" s="652"/>
      <c r="CPM5" s="652"/>
      <c r="CPP5" s="652"/>
      <c r="CPW5" s="652"/>
    </row>
    <row r="6" spans="1:32 1500:2047 2055:2467" x14ac:dyDescent="0.25">
      <c r="A6" s="650">
        <v>65</v>
      </c>
      <c r="B6" s="650" t="s">
        <v>236</v>
      </c>
      <c r="C6" s="650">
        <v>0</v>
      </c>
      <c r="D6" s="657">
        <v>0</v>
      </c>
      <c r="E6" s="657">
        <v>0</v>
      </c>
      <c r="F6" s="657">
        <v>0</v>
      </c>
      <c r="G6" s="657">
        <v>0</v>
      </c>
      <c r="H6" s="657">
        <v>0</v>
      </c>
      <c r="I6" s="657">
        <v>0</v>
      </c>
      <c r="J6" s="657">
        <v>0</v>
      </c>
      <c r="K6" s="657">
        <v>0</v>
      </c>
      <c r="L6" s="657">
        <v>0</v>
      </c>
      <c r="M6" s="657">
        <v>0</v>
      </c>
      <c r="N6" s="657">
        <v>0</v>
      </c>
      <c r="O6" s="657">
        <v>0</v>
      </c>
      <c r="P6" s="657">
        <v>0</v>
      </c>
      <c r="Q6" s="657">
        <v>0</v>
      </c>
      <c r="R6" s="657">
        <v>0</v>
      </c>
      <c r="S6" s="651">
        <v>0</v>
      </c>
      <c r="T6" s="651">
        <v>0</v>
      </c>
      <c r="U6" s="651">
        <v>0</v>
      </c>
      <c r="V6" s="651">
        <v>0</v>
      </c>
      <c r="W6" s="651">
        <v>0</v>
      </c>
      <c r="X6" s="651">
        <v>0</v>
      </c>
      <c r="Y6" s="651">
        <v>0</v>
      </c>
      <c r="Z6" s="651">
        <v>0</v>
      </c>
      <c r="AA6" s="651">
        <v>0</v>
      </c>
      <c r="AB6" s="651">
        <v>0</v>
      </c>
      <c r="AC6" s="651">
        <v>0</v>
      </c>
      <c r="AD6" s="651">
        <v>0</v>
      </c>
      <c r="AE6" s="651">
        <v>0</v>
      </c>
      <c r="AF6" s="651" t="s">
        <v>547</v>
      </c>
      <c r="BER6" s="652"/>
      <c r="BEU6" s="652"/>
      <c r="BFC6" s="652"/>
      <c r="BFF6" s="652"/>
      <c r="BFN6" s="652"/>
      <c r="BFQ6" s="652"/>
      <c r="BFY6" s="652"/>
      <c r="BGB6" s="652"/>
      <c r="BGJ6" s="652"/>
      <c r="BGM6" s="652"/>
      <c r="BGU6" s="652"/>
      <c r="BGX6" s="652"/>
      <c r="BHF6" s="652"/>
      <c r="BHI6" s="652"/>
      <c r="BHQ6" s="652"/>
      <c r="BHT6" s="652"/>
      <c r="BIB6" s="652"/>
      <c r="BIE6" s="652"/>
      <c r="BIM6" s="652"/>
      <c r="BIP6" s="652"/>
      <c r="BIX6" s="652"/>
      <c r="BJA6" s="652"/>
      <c r="BJI6" s="652"/>
      <c r="BJL6" s="652"/>
      <c r="BJT6" s="652"/>
      <c r="BJW6" s="652"/>
      <c r="BKE6" s="652"/>
      <c r="BKH6" s="652"/>
      <c r="BKP6" s="652"/>
      <c r="BKS6" s="652"/>
      <c r="BLA6" s="652"/>
      <c r="BLD6" s="652"/>
      <c r="BLL6" s="652"/>
      <c r="BLO6" s="652"/>
      <c r="BLW6" s="652"/>
      <c r="BLZ6" s="652"/>
      <c r="BMH6" s="652"/>
      <c r="BMK6" s="652"/>
      <c r="BMS6" s="652"/>
      <c r="BMV6" s="652"/>
      <c r="BND6" s="652"/>
      <c r="BNG6" s="652"/>
      <c r="BNO6" s="652"/>
      <c r="BNR6" s="652"/>
      <c r="BNZ6" s="652"/>
      <c r="BOC6" s="652"/>
      <c r="BOK6" s="652"/>
      <c r="BON6" s="652"/>
      <c r="BOV6" s="652"/>
      <c r="BOY6" s="652"/>
      <c r="BPG6" s="652"/>
      <c r="BPJ6" s="652"/>
      <c r="BPR6" s="652"/>
      <c r="BPU6" s="652"/>
      <c r="BQC6" s="652"/>
      <c r="BQF6" s="652"/>
      <c r="BQN6" s="652"/>
      <c r="BQQ6" s="652"/>
      <c r="BQY6" s="652"/>
      <c r="BRB6" s="652"/>
      <c r="BRJ6" s="652"/>
      <c r="BRM6" s="652"/>
      <c r="BRU6" s="652"/>
      <c r="BRX6" s="652"/>
      <c r="BSF6" s="652"/>
      <c r="BSI6" s="652"/>
      <c r="BSQ6" s="652"/>
      <c r="BST6" s="652"/>
      <c r="BTB6" s="652"/>
      <c r="BTE6" s="652"/>
      <c r="BTM6" s="652"/>
      <c r="BTP6" s="652"/>
      <c r="BTX6" s="652"/>
      <c r="BUA6" s="652"/>
      <c r="BUI6" s="652"/>
      <c r="BUL6" s="652"/>
      <c r="BUT6" s="652"/>
      <c r="BUW6" s="652"/>
      <c r="BVE6" s="652"/>
      <c r="BVH6" s="652"/>
      <c r="BVP6" s="652"/>
      <c r="BVS6" s="652"/>
      <c r="BWA6" s="652"/>
      <c r="BWD6" s="652"/>
      <c r="BWL6" s="652"/>
      <c r="BWO6" s="652"/>
      <c r="BWW6" s="652"/>
      <c r="BWZ6" s="652"/>
      <c r="BXH6" s="652"/>
      <c r="BXK6" s="652"/>
      <c r="BXS6" s="652"/>
      <c r="BXV6" s="652"/>
      <c r="BYD6" s="652"/>
      <c r="BYG6" s="652"/>
      <c r="BYI6" s="652"/>
      <c r="BYL6" s="652"/>
      <c r="BYO6" s="652"/>
      <c r="BYR6" s="652"/>
      <c r="BYT6" s="652"/>
      <c r="BYW6" s="652"/>
      <c r="BZE6" s="652"/>
      <c r="BZH6" s="652"/>
      <c r="BZP6" s="652"/>
      <c r="BZS6" s="652"/>
      <c r="CAA6" s="652"/>
      <c r="CAD6" s="652"/>
      <c r="CAL6" s="652"/>
      <c r="CAO6" s="652"/>
      <c r="CAW6" s="652"/>
      <c r="CAZ6" s="652"/>
      <c r="CBH6" s="652"/>
      <c r="CBK6" s="652"/>
      <c r="CBS6" s="652"/>
      <c r="CBV6" s="652"/>
      <c r="CCD6" s="652"/>
      <c r="CCG6" s="652"/>
      <c r="CCO6" s="652"/>
      <c r="CCR6" s="652"/>
      <c r="CCZ6" s="652"/>
      <c r="CDC6" s="652"/>
      <c r="CDK6" s="652"/>
      <c r="CDN6" s="652"/>
      <c r="CDV6" s="652"/>
      <c r="CDY6" s="652"/>
      <c r="CEG6" s="652"/>
      <c r="CEJ6" s="652"/>
      <c r="CER6" s="652"/>
      <c r="CEU6" s="652"/>
      <c r="CFC6" s="652"/>
      <c r="CFF6" s="652"/>
      <c r="CFN6" s="652"/>
      <c r="CFQ6" s="652"/>
      <c r="CFY6" s="652"/>
      <c r="CGB6" s="652"/>
      <c r="CGJ6" s="652"/>
      <c r="CGM6" s="652"/>
      <c r="CGU6" s="652"/>
      <c r="CGX6" s="652"/>
      <c r="CHF6" s="652"/>
      <c r="CHI6" s="652"/>
      <c r="CHQ6" s="652"/>
      <c r="CHT6" s="652"/>
      <c r="CIB6" s="652"/>
      <c r="CIE6" s="652"/>
      <c r="CIM6" s="652"/>
      <c r="CIP6" s="652"/>
      <c r="CIX6" s="652"/>
      <c r="CJA6" s="652"/>
      <c r="CJI6" s="652"/>
      <c r="CJL6" s="652"/>
      <c r="CJT6" s="652"/>
      <c r="CKE6" s="652"/>
      <c r="CKP6" s="652"/>
      <c r="CLA6" s="652"/>
      <c r="CLL6" s="652"/>
      <c r="CLW6" s="652"/>
      <c r="CLZ6" s="652"/>
      <c r="CME6" s="652"/>
      <c r="CMH6" s="652"/>
      <c r="CMK6" s="652"/>
      <c r="CMP6" s="652"/>
      <c r="CMS6" s="652"/>
      <c r="CMX6" s="652"/>
      <c r="CNA6" s="652"/>
      <c r="CND6" s="652"/>
      <c r="CNI6" s="652"/>
      <c r="CNL6" s="652"/>
      <c r="CNT6" s="652"/>
      <c r="CNW6" s="652"/>
      <c r="COE6" s="652"/>
      <c r="COH6" s="652"/>
      <c r="COP6" s="652"/>
      <c r="COS6" s="652"/>
      <c r="CPA6" s="652"/>
      <c r="CPD6" s="652"/>
      <c r="CPL6" s="652"/>
      <c r="CPM6" s="652"/>
      <c r="CPP6" s="652"/>
      <c r="CPW6" s="652"/>
    </row>
    <row r="7" spans="1:32 1500:2047 2055:2467" x14ac:dyDescent="0.25">
      <c r="A7" s="650">
        <v>70</v>
      </c>
      <c r="B7" s="650" t="s">
        <v>237</v>
      </c>
      <c r="C7" s="650">
        <v>116200</v>
      </c>
      <c r="D7" s="657">
        <v>116200</v>
      </c>
      <c r="E7" s="657">
        <v>116200</v>
      </c>
      <c r="F7" s="657">
        <v>116300</v>
      </c>
      <c r="G7" s="657">
        <v>116300</v>
      </c>
      <c r="H7" s="657">
        <v>116300</v>
      </c>
      <c r="I7" s="657">
        <v>116400</v>
      </c>
      <c r="J7" s="657">
        <v>116300</v>
      </c>
      <c r="K7" s="657">
        <v>116300</v>
      </c>
      <c r="L7" s="657">
        <v>116300</v>
      </c>
      <c r="M7" s="657">
        <v>116400</v>
      </c>
      <c r="N7" s="657">
        <v>116500</v>
      </c>
      <c r="O7" s="657">
        <v>1395700</v>
      </c>
      <c r="P7" s="657">
        <v>0</v>
      </c>
      <c r="Q7" s="657">
        <v>0</v>
      </c>
      <c r="R7" s="657">
        <v>0</v>
      </c>
      <c r="S7" s="651">
        <v>0</v>
      </c>
      <c r="T7" s="651">
        <v>0</v>
      </c>
      <c r="U7" s="651">
        <v>0</v>
      </c>
      <c r="V7" s="651">
        <v>0</v>
      </c>
      <c r="W7" s="651">
        <v>0</v>
      </c>
      <c r="X7" s="651">
        <v>0</v>
      </c>
      <c r="Y7" s="651">
        <v>0</v>
      </c>
      <c r="Z7" s="651">
        <v>0</v>
      </c>
      <c r="AA7" s="651">
        <v>0</v>
      </c>
      <c r="AB7" s="651">
        <v>0</v>
      </c>
      <c r="AC7" s="651">
        <v>0</v>
      </c>
      <c r="AD7" s="651">
        <v>0</v>
      </c>
      <c r="AE7" s="651">
        <v>0</v>
      </c>
      <c r="AF7" s="651" t="s">
        <v>547</v>
      </c>
      <c r="BER7" s="652"/>
      <c r="BEU7" s="652"/>
      <c r="BFC7" s="652"/>
      <c r="BFF7" s="652"/>
      <c r="BFN7" s="652"/>
      <c r="BFQ7" s="652"/>
      <c r="BFY7" s="652"/>
      <c r="BGB7" s="652"/>
      <c r="BGJ7" s="652"/>
      <c r="BGM7" s="652"/>
      <c r="BGU7" s="652"/>
      <c r="BGX7" s="652"/>
      <c r="BHF7" s="652"/>
      <c r="BHI7" s="652"/>
      <c r="BHQ7" s="652"/>
      <c r="BHT7" s="652"/>
      <c r="BIB7" s="652"/>
      <c r="BIE7" s="652"/>
      <c r="BIM7" s="652"/>
      <c r="BIP7" s="652"/>
      <c r="BIX7" s="652"/>
      <c r="BJA7" s="652"/>
      <c r="BJI7" s="652"/>
      <c r="BJL7" s="652"/>
      <c r="BJT7" s="652"/>
      <c r="BJW7" s="652"/>
      <c r="BKE7" s="652"/>
      <c r="BKH7" s="652"/>
      <c r="BKP7" s="652"/>
      <c r="BKS7" s="652"/>
      <c r="BLA7" s="652"/>
      <c r="BLD7" s="652"/>
      <c r="BLL7" s="652"/>
      <c r="BLO7" s="652"/>
      <c r="BLW7" s="652"/>
      <c r="BLZ7" s="652"/>
      <c r="BMH7" s="652"/>
      <c r="BMK7" s="652"/>
      <c r="BMS7" s="652"/>
      <c r="BMV7" s="652"/>
      <c r="BND7" s="652"/>
      <c r="BNG7" s="652"/>
      <c r="BNO7" s="652"/>
      <c r="BNR7" s="652"/>
      <c r="BNZ7" s="652"/>
      <c r="BOC7" s="652"/>
      <c r="BOK7" s="652"/>
      <c r="BON7" s="652"/>
      <c r="BOV7" s="652"/>
      <c r="BOY7" s="652"/>
      <c r="BPG7" s="652"/>
      <c r="BPJ7" s="652"/>
      <c r="BPR7" s="652"/>
      <c r="BPU7" s="652"/>
      <c r="BQC7" s="652"/>
      <c r="BQF7" s="652"/>
      <c r="BQN7" s="652"/>
      <c r="BQQ7" s="652"/>
      <c r="BQY7" s="652"/>
      <c r="BRB7" s="652"/>
      <c r="BRJ7" s="652"/>
      <c r="BRM7" s="652"/>
      <c r="BRU7" s="652"/>
      <c r="BRX7" s="652"/>
      <c r="BSF7" s="652"/>
      <c r="BSI7" s="652"/>
      <c r="BSQ7" s="652"/>
      <c r="BST7" s="652"/>
      <c r="BTB7" s="652"/>
      <c r="BTE7" s="652"/>
      <c r="BTM7" s="652"/>
      <c r="BTP7" s="652"/>
      <c r="BTX7" s="652"/>
      <c r="BUA7" s="652"/>
      <c r="BUI7" s="652"/>
      <c r="BUL7" s="652"/>
      <c r="BUT7" s="652"/>
      <c r="BUW7" s="652"/>
      <c r="BVE7" s="652"/>
      <c r="BVH7" s="652"/>
      <c r="BVP7" s="652"/>
      <c r="BVS7" s="652"/>
      <c r="BWA7" s="652"/>
      <c r="BWD7" s="652"/>
      <c r="BWL7" s="652"/>
      <c r="BWO7" s="652"/>
      <c r="BWW7" s="652"/>
      <c r="BWZ7" s="652"/>
      <c r="BXH7" s="652"/>
      <c r="BXK7" s="652"/>
      <c r="BXS7" s="652"/>
      <c r="BXV7" s="652"/>
      <c r="BYD7" s="652"/>
      <c r="BYG7" s="652"/>
      <c r="BYI7" s="652"/>
      <c r="BYL7" s="652"/>
      <c r="BYO7" s="652"/>
      <c r="BYR7" s="652"/>
      <c r="BYT7" s="652"/>
      <c r="BYW7" s="652"/>
      <c r="BZE7" s="652"/>
      <c r="BZH7" s="652"/>
      <c r="BZP7" s="652"/>
      <c r="BZS7" s="652"/>
      <c r="CAA7" s="652"/>
      <c r="CAD7" s="652"/>
      <c r="CAL7" s="652"/>
      <c r="CAO7" s="652"/>
      <c r="CAW7" s="652"/>
      <c r="CAZ7" s="652"/>
      <c r="CBH7" s="652"/>
      <c r="CBK7" s="652"/>
      <c r="CBS7" s="652"/>
      <c r="CBV7" s="652"/>
      <c r="CCD7" s="652"/>
      <c r="CCG7" s="652"/>
      <c r="CCO7" s="652"/>
      <c r="CCR7" s="652"/>
      <c r="CCZ7" s="652"/>
      <c r="CDC7" s="652"/>
      <c r="CDK7" s="652"/>
      <c r="CDN7" s="652"/>
      <c r="CDV7" s="652"/>
      <c r="CDY7" s="652"/>
      <c r="CEG7" s="652"/>
      <c r="CEJ7" s="652"/>
      <c r="CER7" s="652"/>
      <c r="CEU7" s="652"/>
      <c r="CFC7" s="652"/>
      <c r="CFF7" s="652"/>
      <c r="CFN7" s="652"/>
      <c r="CFQ7" s="652"/>
      <c r="CFY7" s="652"/>
      <c r="CGB7" s="652"/>
      <c r="CGJ7" s="652"/>
      <c r="CGM7" s="652"/>
      <c r="CGU7" s="652"/>
      <c r="CGX7" s="652"/>
      <c r="CHF7" s="652"/>
      <c r="CHI7" s="652"/>
      <c r="CHQ7" s="652"/>
      <c r="CHT7" s="652"/>
      <c r="CIB7" s="652"/>
      <c r="CIE7" s="652"/>
      <c r="CIM7" s="652"/>
      <c r="CIP7" s="652"/>
      <c r="CIX7" s="652"/>
      <c r="CJA7" s="652"/>
      <c r="CJI7" s="652"/>
      <c r="CJL7" s="652"/>
      <c r="CJT7" s="652"/>
      <c r="CKE7" s="652"/>
      <c r="CKP7" s="652"/>
      <c r="CLA7" s="652"/>
      <c r="CLL7" s="652"/>
      <c r="CLW7" s="652"/>
      <c r="CLZ7" s="652"/>
      <c r="CME7" s="652"/>
      <c r="CMH7" s="652"/>
      <c r="CMK7" s="652"/>
      <c r="CMP7" s="652"/>
      <c r="CMS7" s="652"/>
      <c r="CMX7" s="652"/>
      <c r="CNA7" s="652"/>
      <c r="CND7" s="652"/>
      <c r="CNI7" s="652"/>
      <c r="CNL7" s="652"/>
      <c r="CNT7" s="652"/>
      <c r="CNW7" s="652"/>
      <c r="COE7" s="652"/>
      <c r="COH7" s="652"/>
      <c r="COP7" s="652"/>
      <c r="COS7" s="652"/>
      <c r="CPA7" s="652"/>
      <c r="CPD7" s="652"/>
      <c r="CPL7" s="652"/>
      <c r="CPM7" s="652"/>
      <c r="CPP7" s="652"/>
      <c r="CPW7" s="652"/>
    </row>
    <row r="8" spans="1:32 1500:2047 2055:2467" x14ac:dyDescent="0.25">
      <c r="A8" s="650">
        <v>80</v>
      </c>
      <c r="B8" s="650" t="s">
        <v>238</v>
      </c>
      <c r="C8" s="650">
        <v>6200</v>
      </c>
      <c r="D8" s="657">
        <v>6200</v>
      </c>
      <c r="E8" s="657">
        <v>6200</v>
      </c>
      <c r="F8" s="657">
        <v>6200</v>
      </c>
      <c r="G8" s="657">
        <v>6200</v>
      </c>
      <c r="H8" s="657">
        <v>6200</v>
      </c>
      <c r="I8" s="657">
        <v>6200</v>
      </c>
      <c r="J8" s="657">
        <v>6200</v>
      </c>
      <c r="K8" s="657">
        <v>6200</v>
      </c>
      <c r="L8" s="657">
        <v>6200</v>
      </c>
      <c r="M8" s="657">
        <v>6200</v>
      </c>
      <c r="N8" s="657">
        <v>6200</v>
      </c>
      <c r="O8" s="657">
        <v>74400</v>
      </c>
      <c r="P8" s="657">
        <v>0</v>
      </c>
      <c r="Q8" s="657">
        <v>0</v>
      </c>
      <c r="R8" s="657">
        <v>0</v>
      </c>
      <c r="S8" s="651">
        <v>0</v>
      </c>
      <c r="T8" s="651">
        <v>0</v>
      </c>
      <c r="U8" s="651">
        <v>0</v>
      </c>
      <c r="V8" s="651">
        <v>0</v>
      </c>
      <c r="W8" s="651">
        <v>0</v>
      </c>
      <c r="X8" s="651">
        <v>0</v>
      </c>
      <c r="Y8" s="651">
        <v>0</v>
      </c>
      <c r="Z8" s="651">
        <v>0</v>
      </c>
      <c r="AA8" s="651">
        <v>0</v>
      </c>
      <c r="AB8" s="651">
        <v>0</v>
      </c>
      <c r="AC8" s="651">
        <v>0</v>
      </c>
      <c r="AD8" s="651">
        <v>0</v>
      </c>
      <c r="AE8" s="651">
        <v>0</v>
      </c>
      <c r="AF8" s="651" t="s">
        <v>547</v>
      </c>
      <c r="BER8" s="652"/>
      <c r="BEU8" s="652"/>
      <c r="BFC8" s="652"/>
      <c r="BFF8" s="652"/>
      <c r="BFN8" s="652"/>
      <c r="BFQ8" s="652"/>
      <c r="BFY8" s="652"/>
      <c r="BGB8" s="652"/>
      <c r="BGJ8" s="652"/>
      <c r="BGM8" s="652"/>
      <c r="BGU8" s="652"/>
      <c r="BGX8" s="652"/>
      <c r="BHF8" s="652"/>
      <c r="BHI8" s="652"/>
      <c r="BHQ8" s="652"/>
      <c r="BHT8" s="652"/>
      <c r="BIB8" s="652"/>
      <c r="BIE8" s="652"/>
      <c r="BIM8" s="652"/>
      <c r="BIP8" s="652"/>
      <c r="BIX8" s="652"/>
      <c r="BJA8" s="652"/>
      <c r="BJI8" s="652"/>
      <c r="BJL8" s="652"/>
      <c r="BJT8" s="652"/>
      <c r="BJW8" s="652"/>
      <c r="BKE8" s="652"/>
      <c r="BKH8" s="652"/>
      <c r="BKP8" s="652"/>
      <c r="BKS8" s="652"/>
      <c r="BLA8" s="652"/>
      <c r="BLD8" s="652"/>
      <c r="BLL8" s="652"/>
      <c r="BLO8" s="652"/>
      <c r="BLW8" s="652"/>
      <c r="BLZ8" s="652"/>
      <c r="BMH8" s="652"/>
      <c r="BMK8" s="652"/>
      <c r="BMS8" s="652"/>
      <c r="BMV8" s="652"/>
      <c r="BND8" s="652"/>
      <c r="BNG8" s="652"/>
      <c r="BNO8" s="652"/>
      <c r="BNR8" s="652"/>
      <c r="BNZ8" s="652"/>
      <c r="BOC8" s="652"/>
      <c r="BOK8" s="652"/>
      <c r="BON8" s="652"/>
      <c r="BOV8" s="652"/>
      <c r="BOY8" s="652"/>
      <c r="BPG8" s="652"/>
      <c r="BPJ8" s="652"/>
      <c r="BPR8" s="652"/>
      <c r="BPU8" s="652"/>
      <c r="BQC8" s="652"/>
      <c r="BQF8" s="652"/>
      <c r="BQN8" s="652"/>
      <c r="BQQ8" s="652"/>
      <c r="BQY8" s="652"/>
      <c r="BRB8" s="652"/>
      <c r="BRJ8" s="652"/>
      <c r="BRM8" s="652"/>
      <c r="BRU8" s="652"/>
      <c r="BRX8" s="652"/>
      <c r="BSF8" s="652"/>
      <c r="BSI8" s="652"/>
      <c r="BSQ8" s="652"/>
      <c r="BST8" s="652"/>
      <c r="BTB8" s="652"/>
      <c r="BTE8" s="652"/>
      <c r="BTM8" s="652"/>
      <c r="BTP8" s="652"/>
      <c r="BTX8" s="652"/>
      <c r="BUA8" s="652"/>
      <c r="BUI8" s="652"/>
      <c r="BUL8" s="652"/>
      <c r="BUT8" s="652"/>
      <c r="BUW8" s="652"/>
      <c r="BVE8" s="652"/>
      <c r="BVH8" s="652"/>
      <c r="BVP8" s="652"/>
      <c r="BVS8" s="652"/>
      <c r="BWA8" s="652"/>
      <c r="BWD8" s="652"/>
      <c r="BWL8" s="652"/>
      <c r="BWO8" s="652"/>
      <c r="BWW8" s="652"/>
      <c r="BWZ8" s="652"/>
      <c r="BXH8" s="652"/>
      <c r="BXK8" s="652"/>
      <c r="BXS8" s="652"/>
      <c r="BXV8" s="652"/>
      <c r="BYD8" s="652"/>
      <c r="BYG8" s="652"/>
      <c r="BYI8" s="652"/>
      <c r="BYL8" s="652"/>
      <c r="BYO8" s="652"/>
      <c r="BYR8" s="652"/>
      <c r="BYT8" s="652"/>
      <c r="BYW8" s="652"/>
      <c r="BZE8" s="652"/>
      <c r="BZH8" s="652"/>
      <c r="BZP8" s="652"/>
      <c r="BZS8" s="652"/>
      <c r="CAA8" s="652"/>
      <c r="CAD8" s="652"/>
      <c r="CAL8" s="652"/>
      <c r="CAO8" s="652"/>
      <c r="CAW8" s="652"/>
      <c r="CAZ8" s="652"/>
      <c r="CBH8" s="652"/>
      <c r="CBK8" s="652"/>
      <c r="CBS8" s="652"/>
      <c r="CBV8" s="652"/>
      <c r="CCD8" s="652"/>
      <c r="CCG8" s="652"/>
      <c r="CCO8" s="652"/>
      <c r="CCR8" s="652"/>
      <c r="CCZ8" s="652"/>
      <c r="CDC8" s="652"/>
      <c r="CDK8" s="652"/>
      <c r="CDN8" s="652"/>
      <c r="CDV8" s="652"/>
      <c r="CDY8" s="652"/>
      <c r="CEG8" s="652"/>
      <c r="CEJ8" s="652"/>
      <c r="CER8" s="652"/>
      <c r="CEU8" s="652"/>
      <c r="CFC8" s="652"/>
      <c r="CFF8" s="652"/>
      <c r="CFN8" s="652"/>
      <c r="CFQ8" s="652"/>
      <c r="CFY8" s="652"/>
      <c r="CGB8" s="652"/>
      <c r="CGJ8" s="652"/>
      <c r="CGM8" s="652"/>
      <c r="CGU8" s="652"/>
      <c r="CGX8" s="652"/>
      <c r="CHF8" s="652"/>
      <c r="CHI8" s="652"/>
      <c r="CHQ8" s="652"/>
      <c r="CHT8" s="652"/>
      <c r="CIB8" s="652"/>
      <c r="CIE8" s="652"/>
      <c r="CIM8" s="652"/>
      <c r="CIP8" s="652"/>
      <c r="CIX8" s="652"/>
      <c r="CJA8" s="652"/>
      <c r="CJI8" s="652"/>
      <c r="CJL8" s="652"/>
      <c r="CJT8" s="652"/>
      <c r="CKE8" s="652"/>
      <c r="CKP8" s="652"/>
      <c r="CLA8" s="652"/>
      <c r="CLL8" s="652"/>
      <c r="CLW8" s="652"/>
      <c r="CLZ8" s="652"/>
      <c r="CME8" s="652"/>
      <c r="CMH8" s="652"/>
      <c r="CMK8" s="652"/>
      <c r="CMP8" s="652"/>
      <c r="CMS8" s="652"/>
      <c r="CMX8" s="652"/>
      <c r="CNA8" s="652"/>
      <c r="CND8" s="652"/>
      <c r="CNI8" s="652"/>
      <c r="CNL8" s="652"/>
      <c r="CNT8" s="652"/>
      <c r="CNW8" s="652"/>
      <c r="COE8" s="652"/>
      <c r="COH8" s="652"/>
      <c r="COP8" s="652"/>
      <c r="COS8" s="652"/>
      <c r="CPA8" s="652"/>
      <c r="CPD8" s="652"/>
      <c r="CPL8" s="652"/>
      <c r="CPM8" s="652"/>
      <c r="CPP8" s="652"/>
      <c r="CPW8" s="652"/>
    </row>
    <row r="9" spans="1:32 1500:2047 2055:2467" x14ac:dyDescent="0.25">
      <c r="A9" s="650">
        <v>90</v>
      </c>
      <c r="B9" s="650" t="s">
        <v>239</v>
      </c>
      <c r="C9" s="650">
        <v>4250</v>
      </c>
      <c r="D9" s="657">
        <v>4250</v>
      </c>
      <c r="E9" s="657">
        <v>4250</v>
      </c>
      <c r="F9" s="657">
        <v>4250</v>
      </c>
      <c r="G9" s="657">
        <v>4250</v>
      </c>
      <c r="H9" s="657">
        <v>4250</v>
      </c>
      <c r="I9" s="657">
        <v>4250</v>
      </c>
      <c r="J9" s="657">
        <v>4250</v>
      </c>
      <c r="K9" s="657">
        <v>4250</v>
      </c>
      <c r="L9" s="657">
        <v>4250</v>
      </c>
      <c r="M9" s="657">
        <v>4250</v>
      </c>
      <c r="N9" s="657">
        <v>4250</v>
      </c>
      <c r="O9" s="657">
        <v>51000</v>
      </c>
      <c r="P9" s="657">
        <v>0</v>
      </c>
      <c r="Q9" s="657">
        <v>0</v>
      </c>
      <c r="R9" s="657">
        <v>0</v>
      </c>
      <c r="S9" s="651">
        <v>0</v>
      </c>
      <c r="T9" s="651">
        <v>0</v>
      </c>
      <c r="U9" s="651">
        <v>0</v>
      </c>
      <c r="V9" s="651">
        <v>0</v>
      </c>
      <c r="W9" s="651">
        <v>0</v>
      </c>
      <c r="X9" s="651">
        <v>0</v>
      </c>
      <c r="Y9" s="651">
        <v>0</v>
      </c>
      <c r="Z9" s="651">
        <v>0</v>
      </c>
      <c r="AA9" s="651">
        <v>0</v>
      </c>
      <c r="AB9" s="651">
        <v>0</v>
      </c>
      <c r="AC9" s="651">
        <v>0</v>
      </c>
      <c r="AD9" s="651">
        <v>0</v>
      </c>
      <c r="AE9" s="651">
        <v>0</v>
      </c>
      <c r="AF9" s="651" t="s">
        <v>547</v>
      </c>
      <c r="BER9" s="652"/>
      <c r="BEU9" s="652"/>
      <c r="BFC9" s="652"/>
      <c r="BFF9" s="652"/>
      <c r="BFN9" s="652"/>
      <c r="BFQ9" s="652"/>
      <c r="BFY9" s="652"/>
      <c r="BGB9" s="652"/>
      <c r="BGJ9" s="652"/>
      <c r="BGM9" s="652"/>
      <c r="BGU9" s="652"/>
      <c r="BGX9" s="652"/>
      <c r="BHF9" s="652"/>
      <c r="BHI9" s="652"/>
      <c r="BHQ9" s="652"/>
      <c r="BHT9" s="652"/>
      <c r="BIB9" s="652"/>
      <c r="BIE9" s="652"/>
      <c r="BIM9" s="652"/>
      <c r="BIP9" s="652"/>
      <c r="BIX9" s="652"/>
      <c r="BJA9" s="652"/>
      <c r="BJI9" s="652"/>
      <c r="BJL9" s="652"/>
      <c r="BJT9" s="652"/>
      <c r="BJW9" s="652"/>
      <c r="BKE9" s="652"/>
      <c r="BKH9" s="652"/>
      <c r="BKP9" s="652"/>
      <c r="BKS9" s="652"/>
      <c r="BLA9" s="652"/>
      <c r="BLD9" s="652"/>
      <c r="BLL9" s="652"/>
      <c r="BLO9" s="652"/>
      <c r="BLW9" s="652"/>
      <c r="BLZ9" s="652"/>
      <c r="BMH9" s="652"/>
      <c r="BMK9" s="652"/>
      <c r="BMS9" s="652"/>
      <c r="BMV9" s="652"/>
      <c r="BND9" s="652"/>
      <c r="BNG9" s="652"/>
      <c r="BNO9" s="652"/>
      <c r="BNR9" s="652"/>
      <c r="BNZ9" s="652"/>
      <c r="BOC9" s="652"/>
      <c r="BOK9" s="652"/>
      <c r="BON9" s="652"/>
      <c r="BOV9" s="652"/>
      <c r="BOY9" s="652"/>
      <c r="BPG9" s="652"/>
      <c r="BPJ9" s="652"/>
      <c r="BPR9" s="652"/>
      <c r="BPU9" s="652"/>
      <c r="BQC9" s="652"/>
      <c r="BQF9" s="652"/>
      <c r="BQN9" s="652"/>
      <c r="BQQ9" s="652"/>
      <c r="BQY9" s="652"/>
      <c r="BRB9" s="652"/>
      <c r="BRJ9" s="652"/>
      <c r="BRM9" s="652"/>
      <c r="BRU9" s="652"/>
      <c r="BRX9" s="652"/>
      <c r="BSF9" s="652"/>
      <c r="BSI9" s="652"/>
      <c r="BSQ9" s="652"/>
      <c r="BST9" s="652"/>
      <c r="BTB9" s="652"/>
      <c r="BTE9" s="652"/>
      <c r="BTM9" s="652"/>
      <c r="BTP9" s="652"/>
      <c r="BTX9" s="652"/>
      <c r="BUA9" s="652"/>
      <c r="BUI9" s="652"/>
      <c r="BUL9" s="652"/>
      <c r="BUT9" s="652"/>
      <c r="BUW9" s="652"/>
      <c r="BVE9" s="652"/>
      <c r="BVH9" s="652"/>
      <c r="BVP9" s="652"/>
      <c r="BVS9" s="652"/>
      <c r="BWA9" s="652"/>
      <c r="BWD9" s="652"/>
      <c r="BWL9" s="652"/>
      <c r="BWO9" s="652"/>
      <c r="BWW9" s="652"/>
      <c r="BWZ9" s="652"/>
      <c r="BXH9" s="652"/>
      <c r="BXK9" s="652"/>
      <c r="BXS9" s="652"/>
      <c r="BXV9" s="652"/>
      <c r="BYD9" s="652"/>
      <c r="BYG9" s="652"/>
      <c r="BYI9" s="652"/>
      <c r="BYL9" s="652"/>
      <c r="BYO9" s="652"/>
      <c r="BYR9" s="652"/>
      <c r="BYT9" s="652"/>
      <c r="BYW9" s="652"/>
      <c r="BZE9" s="652"/>
      <c r="BZH9" s="652"/>
      <c r="BZP9" s="652"/>
      <c r="BZS9" s="652"/>
      <c r="CAA9" s="652"/>
      <c r="CAD9" s="652"/>
      <c r="CAL9" s="652"/>
      <c r="CAO9" s="652"/>
      <c r="CAW9" s="652"/>
      <c r="CAZ9" s="652"/>
      <c r="CBH9" s="652"/>
      <c r="CBK9" s="652"/>
      <c r="CBS9" s="652"/>
      <c r="CBV9" s="652"/>
      <c r="CCD9" s="652"/>
      <c r="CCG9" s="652"/>
      <c r="CCO9" s="652"/>
      <c r="CCR9" s="652"/>
      <c r="CCZ9" s="652"/>
      <c r="CDC9" s="652"/>
      <c r="CDK9" s="652"/>
      <c r="CDN9" s="652"/>
      <c r="CDV9" s="652"/>
      <c r="CDY9" s="652"/>
      <c r="CEG9" s="652"/>
      <c r="CEJ9" s="652"/>
      <c r="CER9" s="652"/>
      <c r="CEU9" s="652"/>
      <c r="CFC9" s="652"/>
      <c r="CFF9" s="652"/>
      <c r="CFN9" s="652"/>
      <c r="CFQ9" s="652"/>
      <c r="CFY9" s="652"/>
      <c r="CGB9" s="652"/>
      <c r="CGJ9" s="652"/>
      <c r="CGM9" s="652"/>
      <c r="CGU9" s="652"/>
      <c r="CGX9" s="652"/>
      <c r="CHF9" s="652"/>
      <c r="CHI9" s="652"/>
      <c r="CHQ9" s="652"/>
      <c r="CHT9" s="652"/>
      <c r="CIB9" s="652"/>
      <c r="CIE9" s="652"/>
      <c r="CIM9" s="652"/>
      <c r="CIP9" s="652"/>
      <c r="CIX9" s="652"/>
      <c r="CJA9" s="652"/>
      <c r="CJI9" s="652"/>
      <c r="CJL9" s="652"/>
      <c r="CJT9" s="652"/>
      <c r="CKE9" s="652"/>
      <c r="CKP9" s="652"/>
      <c r="CLA9" s="652"/>
      <c r="CLL9" s="652"/>
      <c r="CLW9" s="652"/>
      <c r="CLZ9" s="652"/>
      <c r="CME9" s="652"/>
      <c r="CMH9" s="652"/>
      <c r="CMK9" s="652"/>
      <c r="CMP9" s="652"/>
      <c r="CMS9" s="652"/>
      <c r="CMX9" s="652"/>
      <c r="CNA9" s="652"/>
      <c r="CND9" s="652"/>
      <c r="CNI9" s="652"/>
      <c r="CNL9" s="652"/>
      <c r="CNT9" s="652"/>
      <c r="CNW9" s="652"/>
      <c r="COE9" s="652"/>
      <c r="COH9" s="652"/>
      <c r="COP9" s="652"/>
      <c r="COS9" s="652"/>
      <c r="CPA9" s="652"/>
      <c r="CPD9" s="652"/>
      <c r="CPL9" s="652"/>
      <c r="CPM9" s="652"/>
      <c r="CPP9" s="652"/>
      <c r="CPW9" s="652"/>
    </row>
    <row r="10" spans="1:32 1500:2047 2055:2467" x14ac:dyDescent="0.25">
      <c r="A10" s="650">
        <v>100</v>
      </c>
      <c r="B10" s="650" t="s">
        <v>240</v>
      </c>
      <c r="C10" s="650">
        <v>21100</v>
      </c>
      <c r="D10" s="657">
        <v>21100</v>
      </c>
      <c r="E10" s="657">
        <v>21100</v>
      </c>
      <c r="F10" s="657">
        <v>21100</v>
      </c>
      <c r="G10" s="657">
        <v>21100</v>
      </c>
      <c r="H10" s="657">
        <v>21100</v>
      </c>
      <c r="I10" s="657">
        <v>21100</v>
      </c>
      <c r="J10" s="657">
        <v>21100</v>
      </c>
      <c r="K10" s="657">
        <v>21100</v>
      </c>
      <c r="L10" s="657">
        <v>21100</v>
      </c>
      <c r="M10" s="657">
        <v>21100</v>
      </c>
      <c r="N10" s="657">
        <v>21100</v>
      </c>
      <c r="O10" s="657">
        <v>253200</v>
      </c>
      <c r="P10" s="657">
        <v>0</v>
      </c>
      <c r="Q10" s="657">
        <v>0</v>
      </c>
      <c r="R10" s="657">
        <v>0</v>
      </c>
      <c r="S10" s="651">
        <v>0</v>
      </c>
      <c r="T10" s="651">
        <v>0</v>
      </c>
      <c r="U10" s="651">
        <v>0</v>
      </c>
      <c r="V10" s="651">
        <v>0</v>
      </c>
      <c r="W10" s="651">
        <v>0</v>
      </c>
      <c r="X10" s="651">
        <v>0</v>
      </c>
      <c r="Y10" s="651">
        <v>0</v>
      </c>
      <c r="Z10" s="651">
        <v>0</v>
      </c>
      <c r="AA10" s="651">
        <v>0</v>
      </c>
      <c r="AB10" s="651">
        <v>0</v>
      </c>
      <c r="AC10" s="651">
        <v>0</v>
      </c>
      <c r="AD10" s="651">
        <v>0</v>
      </c>
      <c r="AE10" s="651">
        <v>0</v>
      </c>
      <c r="AF10" s="651" t="s">
        <v>547</v>
      </c>
      <c r="BER10" s="652"/>
      <c r="BEU10" s="652"/>
      <c r="BFC10" s="652"/>
      <c r="BFF10" s="652"/>
      <c r="BFN10" s="652"/>
      <c r="BFQ10" s="652"/>
      <c r="BFY10" s="652"/>
      <c r="BGB10" s="652"/>
      <c r="BGJ10" s="652"/>
      <c r="BGM10" s="652"/>
      <c r="BGU10" s="652"/>
      <c r="BGX10" s="652"/>
      <c r="BHF10" s="652"/>
      <c r="BHI10" s="652"/>
      <c r="BHQ10" s="652"/>
      <c r="BHT10" s="652"/>
      <c r="BIB10" s="652"/>
      <c r="BIE10" s="652"/>
      <c r="BIM10" s="652"/>
      <c r="BIP10" s="652"/>
      <c r="BIX10" s="652"/>
      <c r="BJA10" s="652"/>
      <c r="BJI10" s="652"/>
      <c r="BJL10" s="652"/>
      <c r="BJT10" s="652"/>
      <c r="BJW10" s="652"/>
      <c r="BKE10" s="652"/>
      <c r="BKH10" s="652"/>
      <c r="BKP10" s="652"/>
      <c r="BKS10" s="652"/>
      <c r="BLA10" s="652"/>
      <c r="BLD10" s="652"/>
      <c r="BLL10" s="652"/>
      <c r="BLO10" s="652"/>
      <c r="BLW10" s="652"/>
      <c r="BLZ10" s="652"/>
      <c r="BMH10" s="652"/>
      <c r="BMK10" s="652"/>
      <c r="BMS10" s="652"/>
      <c r="BMV10" s="652"/>
      <c r="BND10" s="652"/>
      <c r="BNG10" s="652"/>
      <c r="BNO10" s="652"/>
      <c r="BNR10" s="652"/>
      <c r="BNZ10" s="652"/>
      <c r="BOC10" s="652"/>
      <c r="BOK10" s="652"/>
      <c r="BON10" s="652"/>
      <c r="BOV10" s="652"/>
      <c r="BOY10" s="652"/>
      <c r="BPG10" s="652"/>
      <c r="BPJ10" s="652"/>
      <c r="BPR10" s="652"/>
      <c r="BPU10" s="652"/>
      <c r="BQC10" s="652"/>
      <c r="BQF10" s="652"/>
      <c r="BQN10" s="652"/>
      <c r="BQQ10" s="652"/>
      <c r="BQY10" s="652"/>
      <c r="BRB10" s="652"/>
      <c r="BRJ10" s="652"/>
      <c r="BRM10" s="652"/>
      <c r="BRU10" s="652"/>
      <c r="BRX10" s="652"/>
      <c r="BSF10" s="652"/>
      <c r="BSI10" s="652"/>
      <c r="BSQ10" s="652"/>
      <c r="BST10" s="652"/>
      <c r="BTB10" s="652"/>
      <c r="BTE10" s="652"/>
      <c r="BTM10" s="652"/>
      <c r="BTP10" s="652"/>
      <c r="BTX10" s="652"/>
      <c r="BUA10" s="652"/>
      <c r="BUI10" s="652"/>
      <c r="BUL10" s="652"/>
      <c r="BUT10" s="652"/>
      <c r="BUW10" s="652"/>
      <c r="BVE10" s="652"/>
      <c r="BVH10" s="652"/>
      <c r="BVP10" s="652"/>
      <c r="BVS10" s="652"/>
      <c r="BWA10" s="652"/>
      <c r="BWD10" s="652"/>
      <c r="BWL10" s="652"/>
      <c r="BWO10" s="652"/>
      <c r="BWW10" s="652"/>
      <c r="BWZ10" s="652"/>
      <c r="BXH10" s="652"/>
      <c r="BXK10" s="652"/>
      <c r="BXS10" s="652"/>
      <c r="BXV10" s="652"/>
      <c r="BYD10" s="652"/>
      <c r="BYG10" s="652"/>
      <c r="BYI10" s="652"/>
      <c r="BYL10" s="652"/>
      <c r="BYO10" s="652"/>
      <c r="BYR10" s="652"/>
      <c r="BYT10" s="652"/>
      <c r="BYW10" s="652"/>
      <c r="BZE10" s="652"/>
      <c r="BZH10" s="652"/>
      <c r="BZP10" s="652"/>
      <c r="BZS10" s="652"/>
      <c r="CAA10" s="652"/>
      <c r="CAD10" s="652"/>
      <c r="CAL10" s="652"/>
      <c r="CAO10" s="652"/>
      <c r="CAW10" s="652"/>
      <c r="CAZ10" s="652"/>
      <c r="CBH10" s="652"/>
      <c r="CBK10" s="652"/>
      <c r="CBS10" s="652"/>
      <c r="CBV10" s="652"/>
      <c r="CCD10" s="652"/>
      <c r="CCG10" s="652"/>
      <c r="CCO10" s="652"/>
      <c r="CCR10" s="652"/>
      <c r="CCZ10" s="652"/>
      <c r="CDC10" s="652"/>
      <c r="CDK10" s="652"/>
      <c r="CDN10" s="652"/>
      <c r="CDV10" s="652"/>
      <c r="CDY10" s="652"/>
      <c r="CEG10" s="652"/>
      <c r="CEJ10" s="652"/>
      <c r="CER10" s="652"/>
      <c r="CEU10" s="652"/>
      <c r="CFC10" s="652"/>
      <c r="CFF10" s="652"/>
      <c r="CFN10" s="652"/>
      <c r="CFQ10" s="652"/>
      <c r="CFY10" s="652"/>
      <c r="CGB10" s="652"/>
      <c r="CGJ10" s="652"/>
      <c r="CGM10" s="652"/>
      <c r="CGU10" s="652"/>
      <c r="CGX10" s="652"/>
      <c r="CHF10" s="652"/>
      <c r="CHI10" s="652"/>
      <c r="CHQ10" s="652"/>
      <c r="CHT10" s="652"/>
      <c r="CIB10" s="652"/>
      <c r="CIE10" s="652"/>
      <c r="CIM10" s="652"/>
      <c r="CIP10" s="652"/>
      <c r="CIX10" s="652"/>
      <c r="CJA10" s="652"/>
      <c r="CJI10" s="652"/>
      <c r="CJL10" s="652"/>
      <c r="CJT10" s="652"/>
      <c r="CKE10" s="652"/>
      <c r="CKP10" s="652"/>
      <c r="CLA10" s="652"/>
      <c r="CLL10" s="652"/>
      <c r="CLW10" s="652"/>
      <c r="CLZ10" s="652"/>
      <c r="CME10" s="652"/>
      <c r="CMH10" s="652"/>
      <c r="CMK10" s="652"/>
      <c r="CMP10" s="652"/>
      <c r="CMS10" s="652"/>
      <c r="CMX10" s="652"/>
      <c r="CNA10" s="652"/>
      <c r="CND10" s="652"/>
      <c r="CNI10" s="652"/>
      <c r="CNL10" s="652"/>
      <c r="CNT10" s="652"/>
      <c r="CNW10" s="652"/>
      <c r="COE10" s="652"/>
      <c r="COH10" s="652"/>
      <c r="COP10" s="652"/>
      <c r="COS10" s="652"/>
      <c r="CPA10" s="652"/>
      <c r="CPD10" s="652"/>
      <c r="CPL10" s="652"/>
      <c r="CPM10" s="652"/>
      <c r="CPP10" s="652"/>
      <c r="CPW10" s="652"/>
    </row>
    <row r="11" spans="1:32 1500:2047 2055:2467" x14ac:dyDescent="0.25">
      <c r="A11" s="650">
        <v>110</v>
      </c>
      <c r="B11" s="650" t="s">
        <v>241</v>
      </c>
      <c r="C11" s="650">
        <v>31550</v>
      </c>
      <c r="D11" s="657">
        <v>31550</v>
      </c>
      <c r="E11" s="657">
        <v>31550</v>
      </c>
      <c r="F11" s="657">
        <v>31550</v>
      </c>
      <c r="G11" s="657">
        <v>31550</v>
      </c>
      <c r="H11" s="657">
        <v>31550</v>
      </c>
      <c r="I11" s="657">
        <v>31550</v>
      </c>
      <c r="J11" s="657">
        <v>31550</v>
      </c>
      <c r="K11" s="657">
        <v>31550</v>
      </c>
      <c r="L11" s="657">
        <v>31550</v>
      </c>
      <c r="M11" s="657">
        <v>31550</v>
      </c>
      <c r="N11" s="657">
        <v>31550</v>
      </c>
      <c r="O11" s="657">
        <v>378600</v>
      </c>
      <c r="P11" s="657">
        <v>0</v>
      </c>
      <c r="Q11" s="657">
        <v>0</v>
      </c>
      <c r="R11" s="657">
        <v>0</v>
      </c>
      <c r="S11" s="651">
        <v>0</v>
      </c>
      <c r="T11" s="651">
        <v>0</v>
      </c>
      <c r="U11" s="651">
        <v>0</v>
      </c>
      <c r="V11" s="651">
        <v>0</v>
      </c>
      <c r="W11" s="651">
        <v>0</v>
      </c>
      <c r="X11" s="651">
        <v>0</v>
      </c>
      <c r="Y11" s="651">
        <v>0</v>
      </c>
      <c r="Z11" s="651">
        <v>0</v>
      </c>
      <c r="AA11" s="651">
        <v>0</v>
      </c>
      <c r="AB11" s="651">
        <v>0</v>
      </c>
      <c r="AC11" s="651">
        <v>0</v>
      </c>
      <c r="AD11" s="651">
        <v>0</v>
      </c>
      <c r="AE11" s="651">
        <v>0</v>
      </c>
      <c r="AF11" s="651" t="s">
        <v>547</v>
      </c>
      <c r="BER11" s="652"/>
      <c r="BEU11" s="652"/>
      <c r="BFC11" s="652"/>
      <c r="BFF11" s="652"/>
      <c r="BFN11" s="652"/>
      <c r="BFQ11" s="652"/>
      <c r="BFY11" s="652"/>
      <c r="BGB11" s="652"/>
      <c r="BGJ11" s="652"/>
      <c r="BGM11" s="652"/>
      <c r="BGU11" s="652"/>
      <c r="BGX11" s="652"/>
      <c r="BHF11" s="652"/>
      <c r="BHI11" s="652"/>
      <c r="BHQ11" s="652"/>
      <c r="BHT11" s="652"/>
      <c r="BIB11" s="652"/>
      <c r="BIE11" s="652"/>
      <c r="BIM11" s="652"/>
      <c r="BIP11" s="652"/>
      <c r="BIX11" s="652"/>
      <c r="BJA11" s="652"/>
      <c r="BJI11" s="652"/>
      <c r="BJL11" s="652"/>
      <c r="BJT11" s="652"/>
      <c r="BJW11" s="652"/>
      <c r="BKE11" s="652"/>
      <c r="BKH11" s="652"/>
      <c r="BKP11" s="652"/>
      <c r="BKS11" s="652"/>
      <c r="BLA11" s="652"/>
      <c r="BLD11" s="652"/>
      <c r="BLL11" s="652"/>
      <c r="BLO11" s="652"/>
      <c r="BLW11" s="652"/>
      <c r="BLZ11" s="652"/>
      <c r="BMH11" s="652"/>
      <c r="BMK11" s="652"/>
      <c r="BMS11" s="652"/>
      <c r="BMV11" s="652"/>
      <c r="BND11" s="652"/>
      <c r="BNG11" s="652"/>
      <c r="BNO11" s="652"/>
      <c r="BNR11" s="652"/>
      <c r="BNZ11" s="652"/>
      <c r="BOC11" s="652"/>
      <c r="BOK11" s="652"/>
      <c r="BON11" s="652"/>
      <c r="BOV11" s="652"/>
      <c r="BOY11" s="652"/>
      <c r="BPG11" s="652"/>
      <c r="BPJ11" s="652"/>
      <c r="BPR11" s="652"/>
      <c r="BPU11" s="652"/>
      <c r="BQC11" s="652"/>
      <c r="BQF11" s="652"/>
      <c r="BQN11" s="652"/>
      <c r="BQQ11" s="652"/>
      <c r="BQY11" s="652"/>
      <c r="BRB11" s="652"/>
      <c r="BRJ11" s="652"/>
      <c r="BRM11" s="652"/>
      <c r="BRU11" s="652"/>
      <c r="BRX11" s="652"/>
      <c r="BSF11" s="652"/>
      <c r="BSI11" s="652"/>
      <c r="BSQ11" s="652"/>
      <c r="BST11" s="652"/>
      <c r="BTB11" s="652"/>
      <c r="BTE11" s="652"/>
      <c r="BTM11" s="652"/>
      <c r="BTP11" s="652"/>
      <c r="BTX11" s="652"/>
      <c r="BUA11" s="652"/>
      <c r="BUI11" s="652"/>
      <c r="BUL11" s="652"/>
      <c r="BUT11" s="652"/>
      <c r="BUW11" s="652"/>
      <c r="BVE11" s="652"/>
      <c r="BVH11" s="652"/>
      <c r="BVP11" s="652"/>
      <c r="BVS11" s="652"/>
      <c r="BWA11" s="652"/>
      <c r="BWD11" s="652"/>
      <c r="BWL11" s="652"/>
      <c r="BWO11" s="652"/>
      <c r="BWW11" s="652"/>
      <c r="BWZ11" s="652"/>
      <c r="BXH11" s="652"/>
      <c r="BXK11" s="652"/>
      <c r="BXS11" s="652"/>
      <c r="BXV11" s="652"/>
      <c r="BYD11" s="652"/>
      <c r="BYG11" s="652"/>
      <c r="BYI11" s="652"/>
      <c r="BYL11" s="652"/>
      <c r="BYO11" s="652"/>
      <c r="BYR11" s="652"/>
      <c r="BYT11" s="652"/>
      <c r="BYW11" s="652"/>
      <c r="BZE11" s="652"/>
      <c r="BZH11" s="652"/>
      <c r="BZP11" s="652"/>
      <c r="BZS11" s="652"/>
      <c r="CAA11" s="652"/>
      <c r="CAD11" s="652"/>
      <c r="CAL11" s="652"/>
      <c r="CAO11" s="652"/>
      <c r="CAW11" s="652"/>
      <c r="CAZ11" s="652"/>
      <c r="CBH11" s="652"/>
      <c r="CBK11" s="652"/>
      <c r="CBS11" s="652"/>
      <c r="CBV11" s="652"/>
      <c r="CCD11" s="652"/>
      <c r="CCG11" s="652"/>
      <c r="CCO11" s="652"/>
      <c r="CCR11" s="652"/>
      <c r="CCZ11" s="652"/>
      <c r="CDC11" s="652"/>
      <c r="CDK11" s="652"/>
      <c r="CDN11" s="652"/>
      <c r="CDV11" s="652"/>
      <c r="CDY11" s="652"/>
      <c r="CEG11" s="652"/>
      <c r="CEJ11" s="652"/>
      <c r="CER11" s="652"/>
      <c r="CEU11" s="652"/>
      <c r="CFC11" s="652"/>
      <c r="CFF11" s="652"/>
      <c r="CFN11" s="652"/>
      <c r="CFQ11" s="652"/>
      <c r="CFY11" s="652"/>
      <c r="CGB11" s="652"/>
      <c r="CGJ11" s="652"/>
      <c r="CGM11" s="652"/>
      <c r="CGU11" s="652"/>
      <c r="CGX11" s="652"/>
      <c r="CHF11" s="652"/>
      <c r="CHI11" s="652"/>
      <c r="CHQ11" s="652"/>
      <c r="CHT11" s="652"/>
      <c r="CIB11" s="652"/>
      <c r="CIE11" s="652"/>
      <c r="CIM11" s="652"/>
      <c r="CIP11" s="652"/>
      <c r="CIX11" s="652"/>
      <c r="CJA11" s="652"/>
      <c r="CJI11" s="652"/>
      <c r="CJL11" s="652"/>
      <c r="CJT11" s="652"/>
      <c r="CKE11" s="652"/>
      <c r="CKP11" s="652"/>
      <c r="CLA11" s="652"/>
      <c r="CLL11" s="652"/>
      <c r="CLW11" s="652"/>
      <c r="CLZ11" s="652"/>
      <c r="CME11" s="652"/>
      <c r="CMH11" s="652"/>
      <c r="CMK11" s="652"/>
      <c r="CMP11" s="652"/>
      <c r="CMS11" s="652"/>
      <c r="CMX11" s="652"/>
      <c r="CNA11" s="652"/>
      <c r="CND11" s="652"/>
      <c r="CNI11" s="652"/>
      <c r="CNL11" s="652"/>
      <c r="CNT11" s="652"/>
      <c r="CNW11" s="652"/>
      <c r="COE11" s="652"/>
      <c r="COH11" s="652"/>
      <c r="COP11" s="652"/>
      <c r="COS11" s="652"/>
      <c r="CPA11" s="652"/>
      <c r="CPD11" s="652"/>
      <c r="CPL11" s="652"/>
      <c r="CPM11" s="652"/>
      <c r="CPP11" s="652"/>
      <c r="CPW11" s="652"/>
    </row>
    <row r="12" spans="1:32 1500:2047 2055:2467" x14ac:dyDescent="0.25">
      <c r="A12" s="650">
        <v>120</v>
      </c>
      <c r="B12" s="650" t="s">
        <v>242</v>
      </c>
      <c r="C12" s="650">
        <v>84650</v>
      </c>
      <c r="D12" s="657">
        <v>84650</v>
      </c>
      <c r="E12" s="657">
        <v>84650</v>
      </c>
      <c r="F12" s="657">
        <v>84750</v>
      </c>
      <c r="G12" s="657">
        <v>84750</v>
      </c>
      <c r="H12" s="657">
        <v>84750</v>
      </c>
      <c r="I12" s="657">
        <v>84850</v>
      </c>
      <c r="J12" s="657">
        <v>84750</v>
      </c>
      <c r="K12" s="657">
        <v>84750</v>
      </c>
      <c r="L12" s="657">
        <v>84750</v>
      </c>
      <c r="M12" s="657">
        <v>84850</v>
      </c>
      <c r="N12" s="657">
        <v>84950</v>
      </c>
      <c r="O12" s="657">
        <v>1017100</v>
      </c>
      <c r="P12" s="657">
        <v>0</v>
      </c>
      <c r="Q12" s="657">
        <v>0</v>
      </c>
      <c r="R12" s="657">
        <v>0</v>
      </c>
      <c r="S12" s="651">
        <v>0</v>
      </c>
      <c r="T12" s="651">
        <v>0</v>
      </c>
      <c r="U12" s="651">
        <v>0</v>
      </c>
      <c r="V12" s="651">
        <v>0</v>
      </c>
      <c r="W12" s="651">
        <v>0</v>
      </c>
      <c r="X12" s="651">
        <v>0</v>
      </c>
      <c r="Y12" s="651">
        <v>0</v>
      </c>
      <c r="Z12" s="651">
        <v>0</v>
      </c>
      <c r="AA12" s="651">
        <v>0</v>
      </c>
      <c r="AB12" s="651">
        <v>0</v>
      </c>
      <c r="AC12" s="651">
        <v>0</v>
      </c>
      <c r="AD12" s="651">
        <v>0</v>
      </c>
      <c r="AE12" s="651">
        <v>0</v>
      </c>
      <c r="AF12" s="651" t="s">
        <v>547</v>
      </c>
      <c r="BER12" s="652"/>
      <c r="BEU12" s="652"/>
      <c r="BFC12" s="652"/>
      <c r="BFF12" s="652"/>
      <c r="BFN12" s="652"/>
      <c r="BFQ12" s="652"/>
      <c r="BFY12" s="652"/>
      <c r="BGB12" s="652"/>
      <c r="BGJ12" s="652"/>
      <c r="BGM12" s="652"/>
      <c r="BGU12" s="652"/>
      <c r="BGX12" s="652"/>
      <c r="BHF12" s="652"/>
      <c r="BHI12" s="652"/>
      <c r="BHQ12" s="652"/>
      <c r="BHT12" s="652"/>
      <c r="BIB12" s="652"/>
      <c r="BIE12" s="652"/>
      <c r="BIM12" s="652"/>
      <c r="BIP12" s="652"/>
      <c r="BIX12" s="652"/>
      <c r="BJA12" s="652"/>
      <c r="BJI12" s="652"/>
      <c r="BJL12" s="652"/>
      <c r="BJT12" s="652"/>
      <c r="BJW12" s="652"/>
      <c r="BKE12" s="652"/>
      <c r="BKH12" s="652"/>
      <c r="BKP12" s="652"/>
      <c r="BKS12" s="652"/>
      <c r="BLA12" s="652"/>
      <c r="BLD12" s="652"/>
      <c r="BLL12" s="652"/>
      <c r="BLO12" s="652"/>
      <c r="BLW12" s="652"/>
      <c r="BLZ12" s="652"/>
      <c r="BMH12" s="652"/>
      <c r="BMK12" s="652"/>
      <c r="BMS12" s="652"/>
      <c r="BMV12" s="652"/>
      <c r="BND12" s="652"/>
      <c r="BNG12" s="652"/>
      <c r="BNO12" s="652"/>
      <c r="BNR12" s="652"/>
      <c r="BNZ12" s="652"/>
      <c r="BOC12" s="652"/>
      <c r="BOK12" s="652"/>
      <c r="BON12" s="652"/>
      <c r="BOV12" s="652"/>
      <c r="BOY12" s="652"/>
      <c r="BPG12" s="652"/>
      <c r="BPJ12" s="652"/>
      <c r="BPR12" s="652"/>
      <c r="BPU12" s="652"/>
      <c r="BQC12" s="652"/>
      <c r="BQF12" s="652"/>
      <c r="BQN12" s="652"/>
      <c r="BQQ12" s="652"/>
      <c r="BQY12" s="652"/>
      <c r="BRB12" s="652"/>
      <c r="BRJ12" s="652"/>
      <c r="BRM12" s="652"/>
      <c r="BRU12" s="652"/>
      <c r="BRX12" s="652"/>
      <c r="BSF12" s="652"/>
      <c r="BSI12" s="652"/>
      <c r="BSQ12" s="652"/>
      <c r="BST12" s="652"/>
      <c r="BTB12" s="652"/>
      <c r="BTE12" s="652"/>
      <c r="BTM12" s="652"/>
      <c r="BTP12" s="652"/>
      <c r="BTX12" s="652"/>
      <c r="BUA12" s="652"/>
      <c r="BUI12" s="652"/>
      <c r="BUL12" s="652"/>
      <c r="BUT12" s="652"/>
      <c r="BUW12" s="652"/>
      <c r="BVE12" s="652"/>
      <c r="BVH12" s="652"/>
      <c r="BVP12" s="652"/>
      <c r="BVS12" s="652"/>
      <c r="BWA12" s="652"/>
      <c r="BWD12" s="652"/>
      <c r="BWL12" s="652"/>
      <c r="BWO12" s="652"/>
      <c r="BWW12" s="652"/>
      <c r="BWZ12" s="652"/>
      <c r="BXH12" s="652"/>
      <c r="BXK12" s="652"/>
      <c r="BXS12" s="652"/>
      <c r="BXV12" s="652"/>
      <c r="BYD12" s="652"/>
      <c r="BYG12" s="652"/>
      <c r="BYI12" s="652"/>
      <c r="BYL12" s="652"/>
      <c r="BYO12" s="652"/>
      <c r="BYR12" s="652"/>
      <c r="BYT12" s="652"/>
      <c r="BYW12" s="652"/>
      <c r="BZE12" s="652"/>
      <c r="BZH12" s="652"/>
      <c r="BZP12" s="652"/>
      <c r="BZS12" s="652"/>
      <c r="CAA12" s="652"/>
      <c r="CAD12" s="652"/>
      <c r="CAL12" s="652"/>
      <c r="CAO12" s="652"/>
      <c r="CAW12" s="652"/>
      <c r="CAZ12" s="652"/>
      <c r="CBH12" s="652"/>
      <c r="CBK12" s="652"/>
      <c r="CBS12" s="652"/>
      <c r="CBV12" s="652"/>
      <c r="CCD12" s="652"/>
      <c r="CCG12" s="652"/>
      <c r="CCO12" s="652"/>
      <c r="CCR12" s="652"/>
      <c r="CCZ12" s="652"/>
      <c r="CDC12" s="652"/>
      <c r="CDK12" s="652"/>
      <c r="CDN12" s="652"/>
      <c r="CDV12" s="652"/>
      <c r="CDY12" s="652"/>
      <c r="CEG12" s="652"/>
      <c r="CEJ12" s="652"/>
      <c r="CER12" s="652"/>
      <c r="CEU12" s="652"/>
      <c r="CFC12" s="652"/>
      <c r="CFF12" s="652"/>
      <c r="CFN12" s="652"/>
      <c r="CFQ12" s="652"/>
      <c r="CFY12" s="652"/>
      <c r="CGB12" s="652"/>
      <c r="CGJ12" s="652"/>
      <c r="CGM12" s="652"/>
      <c r="CGU12" s="652"/>
      <c r="CGX12" s="652"/>
      <c r="CHF12" s="652"/>
      <c r="CHI12" s="652"/>
      <c r="CHQ12" s="652"/>
      <c r="CHT12" s="652"/>
      <c r="CIB12" s="652"/>
      <c r="CIE12" s="652"/>
      <c r="CIM12" s="652"/>
      <c r="CIP12" s="652"/>
      <c r="CIX12" s="652"/>
      <c r="CJA12" s="652"/>
      <c r="CJI12" s="652"/>
      <c r="CJL12" s="652"/>
      <c r="CJT12" s="652"/>
      <c r="CKE12" s="652"/>
      <c r="CKP12" s="652"/>
      <c r="CLA12" s="652"/>
      <c r="CLL12" s="652"/>
      <c r="CLW12" s="652"/>
      <c r="CLZ12" s="652"/>
      <c r="CME12" s="652"/>
      <c r="CMH12" s="652"/>
      <c r="CMK12" s="652"/>
      <c r="CMP12" s="652"/>
      <c r="CMS12" s="652"/>
      <c r="CMX12" s="652"/>
      <c r="CNA12" s="652"/>
      <c r="CND12" s="652"/>
      <c r="CNI12" s="652"/>
      <c r="CNL12" s="652"/>
      <c r="CNT12" s="652"/>
      <c r="CNW12" s="652"/>
      <c r="COE12" s="652"/>
      <c r="COH12" s="652"/>
      <c r="COP12" s="652"/>
      <c r="COS12" s="652"/>
      <c r="CPA12" s="652"/>
      <c r="CPD12" s="652"/>
      <c r="CPL12" s="652"/>
      <c r="CPM12" s="652"/>
      <c r="CPP12" s="652"/>
      <c r="CPW12" s="652"/>
    </row>
    <row r="13" spans="1:32 1500:2047 2055:2467" x14ac:dyDescent="0.25">
      <c r="A13" s="650">
        <v>130</v>
      </c>
      <c r="C13" s="650">
        <v>0</v>
      </c>
      <c r="D13" s="657">
        <v>0</v>
      </c>
      <c r="E13" s="657">
        <v>0</v>
      </c>
      <c r="F13" s="657">
        <v>0</v>
      </c>
      <c r="G13" s="657">
        <v>0</v>
      </c>
      <c r="H13" s="657">
        <v>0</v>
      </c>
      <c r="I13" s="657">
        <v>0</v>
      </c>
      <c r="J13" s="657">
        <v>0</v>
      </c>
      <c r="K13" s="657">
        <v>0</v>
      </c>
      <c r="L13" s="657">
        <v>0</v>
      </c>
      <c r="M13" s="657">
        <v>0</v>
      </c>
      <c r="N13" s="657">
        <v>0</v>
      </c>
      <c r="O13" s="657">
        <v>0</v>
      </c>
      <c r="P13" s="657">
        <v>0</v>
      </c>
      <c r="Q13" s="657">
        <v>0</v>
      </c>
      <c r="R13" s="657">
        <v>0</v>
      </c>
      <c r="S13" s="651">
        <v>0</v>
      </c>
      <c r="T13" s="651">
        <v>0</v>
      </c>
      <c r="U13" s="651">
        <v>0</v>
      </c>
      <c r="V13" s="651">
        <v>0</v>
      </c>
      <c r="W13" s="651">
        <v>0</v>
      </c>
      <c r="X13" s="651">
        <v>0</v>
      </c>
      <c r="Y13" s="651">
        <v>0</v>
      </c>
      <c r="Z13" s="651">
        <v>0</v>
      </c>
      <c r="AA13" s="651">
        <v>0</v>
      </c>
      <c r="AB13" s="651">
        <v>0</v>
      </c>
      <c r="AC13" s="651">
        <v>0</v>
      </c>
      <c r="AD13" s="651">
        <v>0</v>
      </c>
      <c r="AE13" s="651">
        <v>0</v>
      </c>
      <c r="AF13" s="651" t="s">
        <v>547</v>
      </c>
      <c r="BER13" s="652"/>
      <c r="BEU13" s="652"/>
      <c r="BFC13" s="652"/>
      <c r="BFF13" s="652"/>
      <c r="BFN13" s="652"/>
      <c r="BFQ13" s="652"/>
      <c r="BFY13" s="652"/>
      <c r="BGB13" s="652"/>
      <c r="BGJ13" s="652"/>
      <c r="BGM13" s="652"/>
      <c r="BGU13" s="652"/>
      <c r="BGX13" s="652"/>
      <c r="BHF13" s="652"/>
      <c r="BHI13" s="652"/>
      <c r="BHQ13" s="652"/>
      <c r="BHT13" s="652"/>
      <c r="BIB13" s="652"/>
      <c r="BIE13" s="652"/>
      <c r="BIM13" s="652"/>
      <c r="BIP13" s="652"/>
      <c r="BIX13" s="652"/>
      <c r="BJA13" s="652"/>
      <c r="BJI13" s="652"/>
      <c r="BJL13" s="652"/>
      <c r="BJT13" s="652"/>
      <c r="BJW13" s="652"/>
      <c r="BKE13" s="652"/>
      <c r="BKH13" s="652"/>
      <c r="BKP13" s="652"/>
      <c r="BKS13" s="652"/>
      <c r="BLA13" s="652"/>
      <c r="BLD13" s="652"/>
      <c r="BLL13" s="652"/>
      <c r="BLO13" s="652"/>
      <c r="BLW13" s="652"/>
      <c r="BLZ13" s="652"/>
      <c r="BMH13" s="652"/>
      <c r="BMK13" s="652"/>
      <c r="BMS13" s="652"/>
      <c r="BMV13" s="652"/>
      <c r="BND13" s="652"/>
      <c r="BNG13" s="652"/>
      <c r="BNO13" s="652"/>
      <c r="BNR13" s="652"/>
      <c r="BNZ13" s="652"/>
      <c r="BOC13" s="652"/>
      <c r="BOK13" s="652"/>
      <c r="BON13" s="652"/>
      <c r="BOV13" s="652"/>
      <c r="BOY13" s="652"/>
      <c r="BPG13" s="652"/>
      <c r="BPJ13" s="652"/>
      <c r="BPR13" s="652"/>
      <c r="BPU13" s="652"/>
      <c r="BQC13" s="652"/>
      <c r="BQF13" s="652"/>
      <c r="BQN13" s="652"/>
      <c r="BQQ13" s="652"/>
      <c r="BQY13" s="652"/>
      <c r="BRB13" s="652"/>
      <c r="BRJ13" s="652"/>
      <c r="BRM13" s="652"/>
      <c r="BRU13" s="652"/>
      <c r="BRX13" s="652"/>
      <c r="BSF13" s="652"/>
      <c r="BSI13" s="652"/>
      <c r="BSQ13" s="652"/>
      <c r="BST13" s="652"/>
      <c r="BTB13" s="652"/>
      <c r="BTE13" s="652"/>
      <c r="BTM13" s="652"/>
      <c r="BTP13" s="652"/>
      <c r="BTX13" s="652"/>
      <c r="BUA13" s="652"/>
      <c r="BUI13" s="652"/>
      <c r="BUL13" s="652"/>
      <c r="BUT13" s="652"/>
      <c r="BUW13" s="652"/>
      <c r="BVE13" s="652"/>
      <c r="BVH13" s="652"/>
      <c r="BVP13" s="652"/>
      <c r="BVS13" s="652"/>
      <c r="BWA13" s="652"/>
      <c r="BWD13" s="652"/>
      <c r="BWL13" s="652"/>
      <c r="BWO13" s="652"/>
      <c r="BWW13" s="652"/>
      <c r="BWZ13" s="652"/>
      <c r="BXH13" s="652"/>
      <c r="BXK13" s="652"/>
      <c r="BXS13" s="652"/>
      <c r="BXV13" s="652"/>
      <c r="BYD13" s="652"/>
      <c r="BYG13" s="652"/>
      <c r="BYI13" s="652"/>
      <c r="BYL13" s="652"/>
      <c r="BYO13" s="652"/>
      <c r="BYR13" s="652"/>
      <c r="BYT13" s="652"/>
      <c r="BYW13" s="652"/>
      <c r="BZE13" s="652"/>
      <c r="BZH13" s="652"/>
      <c r="BZP13" s="652"/>
      <c r="BZS13" s="652"/>
      <c r="CAA13" s="652"/>
      <c r="CAD13" s="652"/>
      <c r="CAL13" s="652"/>
      <c r="CAO13" s="652"/>
      <c r="CAW13" s="652"/>
      <c r="CAZ13" s="652"/>
      <c r="CBH13" s="652"/>
      <c r="CBK13" s="652"/>
      <c r="CBS13" s="652"/>
      <c r="CBV13" s="652"/>
      <c r="CCD13" s="652"/>
      <c r="CCG13" s="652"/>
      <c r="CCO13" s="652"/>
      <c r="CCR13" s="652"/>
      <c r="CCZ13" s="652"/>
      <c r="CDC13" s="652"/>
      <c r="CDK13" s="652"/>
      <c r="CDN13" s="652"/>
      <c r="CDV13" s="652"/>
      <c r="CDY13" s="652"/>
      <c r="CEG13" s="652"/>
      <c r="CEJ13" s="652"/>
      <c r="CER13" s="652"/>
      <c r="CEU13" s="652"/>
      <c r="CFC13" s="652"/>
      <c r="CFF13" s="652"/>
      <c r="CFN13" s="652"/>
      <c r="CFQ13" s="652"/>
      <c r="CFY13" s="652"/>
      <c r="CGB13" s="652"/>
      <c r="CGJ13" s="652"/>
      <c r="CGM13" s="652"/>
      <c r="CGU13" s="652"/>
      <c r="CGX13" s="652"/>
      <c r="CHF13" s="652"/>
      <c r="CHI13" s="652"/>
      <c r="CHQ13" s="652"/>
      <c r="CHT13" s="652"/>
      <c r="CIB13" s="652"/>
      <c r="CIE13" s="652"/>
      <c r="CIM13" s="652"/>
      <c r="CIP13" s="652"/>
      <c r="CIX13" s="652"/>
      <c r="CJA13" s="652"/>
      <c r="CJI13" s="652"/>
      <c r="CJL13" s="652"/>
      <c r="CJT13" s="652"/>
      <c r="CKE13" s="652"/>
      <c r="CKP13" s="652"/>
      <c r="CLA13" s="652"/>
      <c r="CLL13" s="652"/>
      <c r="CLW13" s="652"/>
      <c r="CLZ13" s="652"/>
      <c r="CME13" s="652"/>
      <c r="CMH13" s="652"/>
      <c r="CMK13" s="652"/>
      <c r="CMP13" s="652"/>
      <c r="CMS13" s="652"/>
      <c r="CMX13" s="652"/>
      <c r="CNA13" s="652"/>
      <c r="CND13" s="652"/>
      <c r="CNI13" s="652"/>
      <c r="CNL13" s="652"/>
      <c r="CNT13" s="652"/>
      <c r="CNW13" s="652"/>
      <c r="COE13" s="652"/>
      <c r="COH13" s="652"/>
      <c r="COP13" s="652"/>
      <c r="COS13" s="652"/>
      <c r="CPA13" s="652"/>
      <c r="CPD13" s="652"/>
      <c r="CPL13" s="652"/>
      <c r="CPM13" s="652"/>
      <c r="CPP13" s="652"/>
      <c r="CPW13" s="652"/>
    </row>
    <row r="14" spans="1:32 1500:2047 2055:2467" x14ac:dyDescent="0.25">
      <c r="A14" s="650">
        <v>135</v>
      </c>
      <c r="B14" s="650" t="s">
        <v>243</v>
      </c>
      <c r="C14" s="650">
        <v>0</v>
      </c>
      <c r="D14" s="657">
        <v>0</v>
      </c>
      <c r="E14" s="657">
        <v>0</v>
      </c>
      <c r="F14" s="657">
        <v>0</v>
      </c>
      <c r="G14" s="657">
        <v>0</v>
      </c>
      <c r="H14" s="657">
        <v>0</v>
      </c>
      <c r="I14" s="657">
        <v>0</v>
      </c>
      <c r="J14" s="657">
        <v>0</v>
      </c>
      <c r="K14" s="657">
        <v>0</v>
      </c>
      <c r="L14" s="657">
        <v>0</v>
      </c>
      <c r="M14" s="657">
        <v>0</v>
      </c>
      <c r="N14" s="657">
        <v>0</v>
      </c>
      <c r="O14" s="657">
        <v>0</v>
      </c>
      <c r="P14" s="657">
        <v>0</v>
      </c>
      <c r="Q14" s="657">
        <v>0</v>
      </c>
      <c r="R14" s="657">
        <v>0</v>
      </c>
      <c r="S14" s="651">
        <v>0</v>
      </c>
      <c r="T14" s="651">
        <v>0</v>
      </c>
      <c r="U14" s="651">
        <v>0</v>
      </c>
      <c r="V14" s="651">
        <v>0</v>
      </c>
      <c r="W14" s="651">
        <v>0</v>
      </c>
      <c r="X14" s="651">
        <v>0</v>
      </c>
      <c r="Y14" s="651">
        <v>0</v>
      </c>
      <c r="Z14" s="651">
        <v>0</v>
      </c>
      <c r="AA14" s="651">
        <v>0</v>
      </c>
      <c r="AB14" s="651">
        <v>0</v>
      </c>
      <c r="AC14" s="651">
        <v>0</v>
      </c>
      <c r="AD14" s="651">
        <v>0</v>
      </c>
      <c r="AE14" s="651">
        <v>0</v>
      </c>
      <c r="AF14" s="651" t="s">
        <v>547</v>
      </c>
      <c r="BER14" s="652"/>
      <c r="BEU14" s="652"/>
      <c r="BFC14" s="652"/>
      <c r="BFF14" s="652"/>
      <c r="BFN14" s="652"/>
      <c r="BFQ14" s="652"/>
      <c r="BFY14" s="652"/>
      <c r="BGB14" s="652"/>
      <c r="BGJ14" s="652"/>
      <c r="BGM14" s="652"/>
      <c r="BGU14" s="652"/>
      <c r="BGX14" s="652"/>
      <c r="BHF14" s="652"/>
      <c r="BHI14" s="652"/>
      <c r="BHQ14" s="652"/>
      <c r="BHT14" s="652"/>
      <c r="BIB14" s="652"/>
      <c r="BIE14" s="652"/>
      <c r="BIM14" s="652"/>
      <c r="BIP14" s="652"/>
      <c r="BIX14" s="652"/>
      <c r="BJA14" s="652"/>
      <c r="BJI14" s="652"/>
      <c r="BJL14" s="652"/>
      <c r="BJT14" s="652"/>
      <c r="BJW14" s="652"/>
      <c r="BKE14" s="652"/>
      <c r="BKH14" s="652"/>
      <c r="BKP14" s="652"/>
      <c r="BKS14" s="652"/>
      <c r="BLA14" s="652"/>
      <c r="BLD14" s="652"/>
      <c r="BLL14" s="652"/>
      <c r="BLO14" s="652"/>
      <c r="BLW14" s="652"/>
      <c r="BLZ14" s="652"/>
      <c r="BMH14" s="652"/>
      <c r="BMK14" s="652"/>
      <c r="BMS14" s="652"/>
      <c r="BMV14" s="652"/>
      <c r="BND14" s="652"/>
      <c r="BNG14" s="652"/>
      <c r="BNO14" s="652"/>
      <c r="BNR14" s="652"/>
      <c r="BNZ14" s="652"/>
      <c r="BOC14" s="652"/>
      <c r="BOK14" s="652"/>
      <c r="BON14" s="652"/>
      <c r="BOV14" s="652"/>
      <c r="BOY14" s="652"/>
      <c r="BPG14" s="652"/>
      <c r="BPJ14" s="652"/>
      <c r="BPR14" s="652"/>
      <c r="BPU14" s="652"/>
      <c r="BQC14" s="652"/>
      <c r="BQF14" s="652"/>
      <c r="BQN14" s="652"/>
      <c r="BQQ14" s="652"/>
      <c r="BQY14" s="652"/>
      <c r="BRB14" s="652"/>
      <c r="BRJ14" s="652"/>
      <c r="BRM14" s="652"/>
      <c r="BRU14" s="652"/>
      <c r="BRX14" s="652"/>
      <c r="BSF14" s="652"/>
      <c r="BSI14" s="652"/>
      <c r="BSQ14" s="652"/>
      <c r="BST14" s="652"/>
      <c r="BTB14" s="652"/>
      <c r="BTE14" s="652"/>
      <c r="BTM14" s="652"/>
      <c r="BTP14" s="652"/>
      <c r="BTX14" s="652"/>
      <c r="BUA14" s="652"/>
      <c r="BUI14" s="652"/>
      <c r="BUL14" s="652"/>
      <c r="BUT14" s="652"/>
      <c r="BUW14" s="652"/>
      <c r="BVE14" s="652"/>
      <c r="BVH14" s="652"/>
      <c r="BVP14" s="652"/>
      <c r="BVS14" s="652"/>
      <c r="BWA14" s="652"/>
      <c r="BWD14" s="652"/>
      <c r="BWL14" s="652"/>
      <c r="BWO14" s="652"/>
      <c r="BWW14" s="652"/>
      <c r="BWZ14" s="652"/>
      <c r="BXH14" s="652"/>
      <c r="BXK14" s="652"/>
      <c r="BXS14" s="652"/>
      <c r="BXV14" s="652"/>
      <c r="BYD14" s="652"/>
      <c r="BYG14" s="652"/>
      <c r="BYI14" s="652"/>
      <c r="BYL14" s="652"/>
      <c r="BYO14" s="652"/>
      <c r="BYR14" s="652"/>
      <c r="BYT14" s="652"/>
      <c r="BYW14" s="652"/>
      <c r="BZE14" s="652"/>
      <c r="BZH14" s="652"/>
      <c r="BZP14" s="652"/>
      <c r="BZS14" s="652"/>
      <c r="CAA14" s="652"/>
      <c r="CAD14" s="652"/>
      <c r="CAL14" s="652"/>
      <c r="CAO14" s="652"/>
      <c r="CAW14" s="652"/>
      <c r="CAZ14" s="652"/>
      <c r="CBH14" s="652"/>
      <c r="CBK14" s="652"/>
      <c r="CBS14" s="652"/>
      <c r="CBV14" s="652"/>
      <c r="CCD14" s="652"/>
      <c r="CCG14" s="652"/>
      <c r="CCO14" s="652"/>
      <c r="CCR14" s="652"/>
      <c r="CCZ14" s="652"/>
      <c r="CDC14" s="652"/>
      <c r="CDK14" s="652"/>
      <c r="CDN14" s="652"/>
      <c r="CDV14" s="652"/>
      <c r="CDY14" s="652"/>
      <c r="CEG14" s="652"/>
      <c r="CEJ14" s="652"/>
      <c r="CER14" s="652"/>
      <c r="CEU14" s="652"/>
      <c r="CFC14" s="652"/>
      <c r="CFF14" s="652"/>
      <c r="CFN14" s="652"/>
      <c r="CFQ14" s="652"/>
      <c r="CFY14" s="652"/>
      <c r="CGB14" s="652"/>
      <c r="CGJ14" s="652"/>
      <c r="CGM14" s="652"/>
      <c r="CGU14" s="652"/>
      <c r="CGX14" s="652"/>
      <c r="CHF14" s="652"/>
      <c r="CHI14" s="652"/>
      <c r="CHQ14" s="652"/>
      <c r="CHT14" s="652"/>
      <c r="CIB14" s="652"/>
      <c r="CIE14" s="652"/>
      <c r="CIM14" s="652"/>
      <c r="CIP14" s="652"/>
      <c r="CIX14" s="652"/>
      <c r="CJA14" s="652"/>
      <c r="CJI14" s="652"/>
      <c r="CJL14" s="652"/>
      <c r="CJT14" s="652"/>
      <c r="CKE14" s="652"/>
      <c r="CKP14" s="652"/>
      <c r="CLA14" s="652"/>
      <c r="CLL14" s="652"/>
      <c r="CLW14" s="652"/>
      <c r="CLZ14" s="652"/>
      <c r="CME14" s="652"/>
      <c r="CMH14" s="652"/>
      <c r="CMK14" s="652"/>
      <c r="CMP14" s="652"/>
      <c r="CMS14" s="652"/>
      <c r="CMX14" s="652"/>
      <c r="CNA14" s="652"/>
      <c r="CND14" s="652"/>
      <c r="CNI14" s="652"/>
      <c r="CNL14" s="652"/>
      <c r="CNT14" s="652"/>
      <c r="CNW14" s="652"/>
      <c r="COE14" s="652"/>
      <c r="COH14" s="652"/>
      <c r="COP14" s="652"/>
      <c r="COS14" s="652"/>
      <c r="CPA14" s="652"/>
      <c r="CPD14" s="652"/>
      <c r="CPL14" s="652"/>
      <c r="CPM14" s="652"/>
      <c r="CPP14" s="652"/>
      <c r="CPW14" s="652"/>
    </row>
    <row r="15" spans="1:32 1500:2047 2055:2467" x14ac:dyDescent="0.25">
      <c r="A15" s="650">
        <v>140</v>
      </c>
      <c r="B15" s="650" t="s">
        <v>244</v>
      </c>
      <c r="C15" s="650">
        <v>27884</v>
      </c>
      <c r="D15" s="657">
        <v>26711</v>
      </c>
      <c r="E15" s="657">
        <v>26538</v>
      </c>
      <c r="F15" s="657">
        <v>26365</v>
      </c>
      <c r="G15" s="657">
        <v>26192</v>
      </c>
      <c r="H15" s="657">
        <v>26019</v>
      </c>
      <c r="I15" s="657">
        <v>25846</v>
      </c>
      <c r="J15" s="657">
        <v>25673</v>
      </c>
      <c r="K15" s="657">
        <v>25500</v>
      </c>
      <c r="L15" s="657">
        <v>25327</v>
      </c>
      <c r="M15" s="657">
        <v>25154</v>
      </c>
      <c r="N15" s="657">
        <v>25981</v>
      </c>
      <c r="O15" s="657">
        <v>313190</v>
      </c>
      <c r="P15" s="657">
        <v>0</v>
      </c>
      <c r="Q15" s="657">
        <v>0</v>
      </c>
      <c r="R15" s="657">
        <v>0</v>
      </c>
      <c r="S15" s="651">
        <v>0</v>
      </c>
      <c r="T15" s="651">
        <v>0</v>
      </c>
      <c r="U15" s="651">
        <v>0</v>
      </c>
      <c r="V15" s="651">
        <v>0</v>
      </c>
      <c r="W15" s="651">
        <v>0</v>
      </c>
      <c r="X15" s="651">
        <v>0</v>
      </c>
      <c r="Y15" s="651">
        <v>0</v>
      </c>
      <c r="Z15" s="651">
        <v>0</v>
      </c>
      <c r="AA15" s="651">
        <v>0</v>
      </c>
      <c r="AB15" s="651">
        <v>0</v>
      </c>
      <c r="AC15" s="651">
        <v>0</v>
      </c>
      <c r="AD15" s="651">
        <v>0</v>
      </c>
      <c r="AE15" s="651">
        <v>0</v>
      </c>
      <c r="AF15" s="651" t="s">
        <v>547</v>
      </c>
      <c r="BER15" s="652"/>
      <c r="BEU15" s="652"/>
      <c r="BFC15" s="652"/>
      <c r="BFF15" s="652"/>
      <c r="BFN15" s="652"/>
      <c r="BFQ15" s="652"/>
      <c r="BFY15" s="652"/>
      <c r="BGB15" s="652"/>
      <c r="BGJ15" s="652"/>
      <c r="BGM15" s="652"/>
      <c r="BGU15" s="652"/>
      <c r="BGX15" s="652"/>
      <c r="BHF15" s="652"/>
      <c r="BHI15" s="652"/>
      <c r="BHQ15" s="652"/>
      <c r="BHT15" s="652"/>
      <c r="BIB15" s="652"/>
      <c r="BIE15" s="652"/>
      <c r="BIM15" s="652"/>
      <c r="BIP15" s="652"/>
      <c r="BIX15" s="652"/>
      <c r="BJA15" s="652"/>
      <c r="BJI15" s="652"/>
      <c r="BJL15" s="652"/>
      <c r="BJT15" s="652"/>
      <c r="BJW15" s="652"/>
      <c r="BKE15" s="652"/>
      <c r="BKH15" s="652"/>
      <c r="BKP15" s="652"/>
      <c r="BKS15" s="652"/>
      <c r="BLA15" s="652"/>
      <c r="BLD15" s="652"/>
      <c r="BLL15" s="652"/>
      <c r="BLO15" s="652"/>
      <c r="BLW15" s="652"/>
      <c r="BLZ15" s="652"/>
      <c r="BMH15" s="652"/>
      <c r="BMK15" s="652"/>
      <c r="BMS15" s="652"/>
      <c r="BMV15" s="652"/>
      <c r="BND15" s="652"/>
      <c r="BNG15" s="652"/>
      <c r="BNO15" s="652"/>
      <c r="BNR15" s="652"/>
      <c r="BNZ15" s="652"/>
      <c r="BOC15" s="652"/>
      <c r="BOK15" s="652"/>
      <c r="BON15" s="652"/>
      <c r="BOV15" s="652"/>
      <c r="BOY15" s="652"/>
      <c r="BPG15" s="652"/>
      <c r="BPJ15" s="652"/>
      <c r="BPR15" s="652"/>
      <c r="BPU15" s="652"/>
      <c r="BQC15" s="652"/>
      <c r="BQF15" s="652"/>
      <c r="BQN15" s="652"/>
      <c r="BQQ15" s="652"/>
      <c r="BQY15" s="652"/>
      <c r="BRB15" s="652"/>
      <c r="BRJ15" s="652"/>
      <c r="BRM15" s="652"/>
      <c r="BRU15" s="652"/>
      <c r="BRX15" s="652"/>
      <c r="BSF15" s="652"/>
      <c r="BSI15" s="652"/>
      <c r="BSQ15" s="652"/>
      <c r="BST15" s="652"/>
      <c r="BTB15" s="652"/>
      <c r="BTE15" s="652"/>
      <c r="BTM15" s="652"/>
      <c r="BTP15" s="652"/>
      <c r="BTX15" s="652"/>
      <c r="BUA15" s="652"/>
      <c r="BUI15" s="652"/>
      <c r="BUL15" s="652"/>
      <c r="BUT15" s="652"/>
      <c r="BUW15" s="652"/>
      <c r="BVE15" s="652"/>
      <c r="BVH15" s="652"/>
      <c r="BVP15" s="652"/>
      <c r="BVS15" s="652"/>
      <c r="BWA15" s="652"/>
      <c r="BWD15" s="652"/>
      <c r="BWL15" s="652"/>
      <c r="BWO15" s="652"/>
      <c r="BWW15" s="652"/>
      <c r="BWZ15" s="652"/>
      <c r="BXH15" s="652"/>
      <c r="BXK15" s="652"/>
      <c r="BXS15" s="652"/>
      <c r="BXV15" s="652"/>
      <c r="BYD15" s="652"/>
      <c r="BYG15" s="652"/>
      <c r="BYI15" s="652"/>
      <c r="BYL15" s="652"/>
      <c r="BYO15" s="652"/>
      <c r="BYR15" s="652"/>
      <c r="BYT15" s="652"/>
      <c r="BYW15" s="652"/>
      <c r="BZE15" s="652"/>
      <c r="BZH15" s="652"/>
      <c r="BZP15" s="652"/>
      <c r="BZS15" s="652"/>
      <c r="CAA15" s="652"/>
      <c r="CAD15" s="652"/>
      <c r="CAL15" s="652"/>
      <c r="CAO15" s="652"/>
      <c r="CAW15" s="652"/>
      <c r="CAZ15" s="652"/>
      <c r="CBH15" s="652"/>
      <c r="CBK15" s="652"/>
      <c r="CBS15" s="652"/>
      <c r="CBV15" s="652"/>
      <c r="CCD15" s="652"/>
      <c r="CCG15" s="652"/>
      <c r="CCO15" s="652"/>
      <c r="CCR15" s="652"/>
      <c r="CCZ15" s="652"/>
      <c r="CDC15" s="652"/>
      <c r="CDK15" s="652"/>
      <c r="CDN15" s="652"/>
      <c r="CDV15" s="652"/>
      <c r="CDY15" s="652"/>
      <c r="CEG15" s="652"/>
      <c r="CEJ15" s="652"/>
      <c r="CER15" s="652"/>
      <c r="CEU15" s="652"/>
      <c r="CFC15" s="652"/>
      <c r="CFF15" s="652"/>
      <c r="CFN15" s="652"/>
      <c r="CFQ15" s="652"/>
      <c r="CFY15" s="652"/>
      <c r="CGB15" s="652"/>
      <c r="CGJ15" s="652"/>
      <c r="CGM15" s="652"/>
      <c r="CGU15" s="652"/>
      <c r="CGX15" s="652"/>
      <c r="CHF15" s="652"/>
      <c r="CHI15" s="652"/>
      <c r="CHQ15" s="652"/>
      <c r="CHT15" s="652"/>
      <c r="CIB15" s="652"/>
      <c r="CIE15" s="652"/>
      <c r="CIM15" s="652"/>
      <c r="CIP15" s="652"/>
      <c r="CIX15" s="652"/>
      <c r="CJA15" s="652"/>
      <c r="CJI15" s="652"/>
      <c r="CJL15" s="652"/>
      <c r="CJT15" s="652"/>
      <c r="CKE15" s="652"/>
      <c r="CKP15" s="652"/>
      <c r="CLA15" s="652"/>
      <c r="CLL15" s="652"/>
      <c r="CLW15" s="652"/>
      <c r="CLZ15" s="652"/>
      <c r="CME15" s="652"/>
      <c r="CMH15" s="652"/>
      <c r="CMK15" s="652"/>
      <c r="CMP15" s="652"/>
      <c r="CMS15" s="652"/>
      <c r="CMX15" s="652"/>
      <c r="CNA15" s="652"/>
      <c r="CND15" s="652"/>
      <c r="CNI15" s="652"/>
      <c r="CNL15" s="652"/>
      <c r="CNT15" s="652"/>
      <c r="CNW15" s="652"/>
      <c r="COE15" s="652"/>
      <c r="COH15" s="652"/>
      <c r="COP15" s="652"/>
      <c r="COS15" s="652"/>
      <c r="CPA15" s="652"/>
      <c r="CPD15" s="652"/>
      <c r="CPL15" s="652"/>
      <c r="CPM15" s="652"/>
      <c r="CPP15" s="652"/>
      <c r="CPW15" s="652"/>
    </row>
    <row r="16" spans="1:32 1500:2047 2055:2467" x14ac:dyDescent="0.25">
      <c r="A16" s="650">
        <v>150</v>
      </c>
      <c r="B16" s="650" t="s">
        <v>245</v>
      </c>
      <c r="C16" s="650">
        <v>0</v>
      </c>
      <c r="D16" s="657">
        <v>0</v>
      </c>
      <c r="E16" s="657">
        <v>0</v>
      </c>
      <c r="F16" s="657">
        <v>0</v>
      </c>
      <c r="G16" s="657">
        <v>0</v>
      </c>
      <c r="H16" s="657">
        <v>0</v>
      </c>
      <c r="I16" s="657">
        <v>0</v>
      </c>
      <c r="J16" s="657">
        <v>0</v>
      </c>
      <c r="K16" s="657">
        <v>0</v>
      </c>
      <c r="L16" s="657">
        <v>0</v>
      </c>
      <c r="M16" s="657">
        <v>0</v>
      </c>
      <c r="N16" s="657">
        <v>0</v>
      </c>
      <c r="O16" s="657">
        <v>0</v>
      </c>
      <c r="P16" s="657">
        <v>0</v>
      </c>
      <c r="Q16" s="657">
        <v>0</v>
      </c>
      <c r="R16" s="657">
        <v>0</v>
      </c>
      <c r="S16" s="651">
        <v>0</v>
      </c>
      <c r="T16" s="651">
        <v>0</v>
      </c>
      <c r="U16" s="651">
        <v>0</v>
      </c>
      <c r="V16" s="651">
        <v>0</v>
      </c>
      <c r="W16" s="651">
        <v>0</v>
      </c>
      <c r="X16" s="651">
        <v>0</v>
      </c>
      <c r="Y16" s="651">
        <v>0</v>
      </c>
      <c r="Z16" s="651">
        <v>0</v>
      </c>
      <c r="AA16" s="651">
        <v>0</v>
      </c>
      <c r="AB16" s="651">
        <v>0</v>
      </c>
      <c r="AC16" s="651">
        <v>0</v>
      </c>
      <c r="AD16" s="651">
        <v>0</v>
      </c>
      <c r="AE16" s="651">
        <v>0</v>
      </c>
      <c r="AF16" s="651" t="s">
        <v>547</v>
      </c>
      <c r="BER16" s="652"/>
      <c r="BEU16" s="652"/>
      <c r="BFC16" s="652"/>
      <c r="BFF16" s="652"/>
      <c r="BFN16" s="652"/>
      <c r="BFQ16" s="652"/>
      <c r="BFY16" s="652"/>
      <c r="BGB16" s="652"/>
      <c r="BGJ16" s="652"/>
      <c r="BGM16" s="652"/>
      <c r="BGU16" s="652"/>
      <c r="BGX16" s="652"/>
      <c r="BHF16" s="652"/>
      <c r="BHI16" s="652"/>
      <c r="BHQ16" s="652"/>
      <c r="BHT16" s="652"/>
      <c r="BIB16" s="652"/>
      <c r="BIE16" s="652"/>
      <c r="BIM16" s="652"/>
      <c r="BIP16" s="652"/>
      <c r="BIX16" s="652"/>
      <c r="BJA16" s="652"/>
      <c r="BJI16" s="652"/>
      <c r="BJL16" s="652"/>
      <c r="BJT16" s="652"/>
      <c r="BJW16" s="652"/>
      <c r="BKE16" s="652"/>
      <c r="BKH16" s="652"/>
      <c r="BKP16" s="652"/>
      <c r="BKS16" s="652"/>
      <c r="BLA16" s="652"/>
      <c r="BLD16" s="652"/>
      <c r="BLL16" s="652"/>
      <c r="BLO16" s="652"/>
      <c r="BLW16" s="652"/>
      <c r="BLZ16" s="652"/>
      <c r="BMH16" s="652"/>
      <c r="BMK16" s="652"/>
      <c r="BMS16" s="652"/>
      <c r="BMV16" s="652"/>
      <c r="BND16" s="652"/>
      <c r="BNG16" s="652"/>
      <c r="BNO16" s="652"/>
      <c r="BNR16" s="652"/>
      <c r="BNZ16" s="652"/>
      <c r="BOC16" s="652"/>
      <c r="BOK16" s="652"/>
      <c r="BON16" s="652"/>
      <c r="BOV16" s="652"/>
      <c r="BOY16" s="652"/>
      <c r="BPG16" s="652"/>
      <c r="BPJ16" s="652"/>
      <c r="BPR16" s="652"/>
      <c r="BPU16" s="652"/>
      <c r="BQC16" s="652"/>
      <c r="BQF16" s="652"/>
      <c r="BQN16" s="652"/>
      <c r="BQQ16" s="652"/>
      <c r="BQY16" s="652"/>
      <c r="BRB16" s="652"/>
      <c r="BRJ16" s="652"/>
      <c r="BRM16" s="652"/>
      <c r="BRU16" s="652"/>
      <c r="BRX16" s="652"/>
      <c r="BSF16" s="652"/>
      <c r="BSI16" s="652"/>
      <c r="BSQ16" s="652"/>
      <c r="BST16" s="652"/>
      <c r="BTB16" s="652"/>
      <c r="BTE16" s="652"/>
      <c r="BTM16" s="652"/>
      <c r="BTP16" s="652"/>
      <c r="BTX16" s="652"/>
      <c r="BUA16" s="652"/>
      <c r="BUI16" s="652"/>
      <c r="BUL16" s="652"/>
      <c r="BUT16" s="652"/>
      <c r="BUW16" s="652"/>
      <c r="BVE16" s="652"/>
      <c r="BVH16" s="652"/>
      <c r="BVP16" s="652"/>
      <c r="BVS16" s="652"/>
      <c r="BWA16" s="652"/>
      <c r="BWD16" s="652"/>
      <c r="BWL16" s="652"/>
      <c r="BWO16" s="652"/>
      <c r="BWW16" s="652"/>
      <c r="BWZ16" s="652"/>
      <c r="BXH16" s="652"/>
      <c r="BXK16" s="652"/>
      <c r="BXS16" s="652"/>
      <c r="BXV16" s="652"/>
      <c r="BYD16" s="652"/>
      <c r="BYG16" s="652"/>
      <c r="BYI16" s="652"/>
      <c r="BYL16" s="652"/>
      <c r="BYO16" s="652"/>
      <c r="BYR16" s="652"/>
      <c r="BYT16" s="652"/>
      <c r="BYW16" s="652"/>
      <c r="BZE16" s="652"/>
      <c r="BZH16" s="652"/>
      <c r="BZP16" s="652"/>
      <c r="BZS16" s="652"/>
      <c r="CAA16" s="652"/>
      <c r="CAD16" s="652"/>
      <c r="CAL16" s="652"/>
      <c r="CAO16" s="652"/>
      <c r="CAW16" s="652"/>
      <c r="CAZ16" s="652"/>
      <c r="CBH16" s="652"/>
      <c r="CBK16" s="652"/>
      <c r="CBS16" s="652"/>
      <c r="CBV16" s="652"/>
      <c r="CCD16" s="652"/>
      <c r="CCG16" s="652"/>
      <c r="CCO16" s="652"/>
      <c r="CCR16" s="652"/>
      <c r="CCZ16" s="652"/>
      <c r="CDC16" s="652"/>
      <c r="CDK16" s="652"/>
      <c r="CDN16" s="652"/>
      <c r="CDV16" s="652"/>
      <c r="CDY16" s="652"/>
      <c r="CEG16" s="652"/>
      <c r="CEJ16" s="652"/>
      <c r="CER16" s="652"/>
      <c r="CEU16" s="652"/>
      <c r="CFC16" s="652"/>
      <c r="CFF16" s="652"/>
      <c r="CFN16" s="652"/>
      <c r="CFQ16" s="652"/>
      <c r="CFY16" s="652"/>
      <c r="CGB16" s="652"/>
      <c r="CGJ16" s="652"/>
      <c r="CGM16" s="652"/>
      <c r="CGU16" s="652"/>
      <c r="CGX16" s="652"/>
      <c r="CHF16" s="652"/>
      <c r="CHI16" s="652"/>
      <c r="CHQ16" s="652"/>
      <c r="CHT16" s="652"/>
      <c r="CIB16" s="652"/>
      <c r="CIE16" s="652"/>
      <c r="CIM16" s="652"/>
      <c r="CIP16" s="652"/>
      <c r="CIX16" s="652"/>
      <c r="CJA16" s="652"/>
      <c r="CJI16" s="652"/>
      <c r="CJL16" s="652"/>
      <c r="CJT16" s="652"/>
      <c r="CKE16" s="652"/>
      <c r="CKP16" s="652"/>
      <c r="CLA16" s="652"/>
      <c r="CLL16" s="652"/>
      <c r="CLW16" s="652"/>
      <c r="CLZ16" s="652"/>
      <c r="CME16" s="652"/>
      <c r="CMH16" s="652"/>
      <c r="CMK16" s="652"/>
      <c r="CMP16" s="652"/>
      <c r="CMS16" s="652"/>
      <c r="CMX16" s="652"/>
      <c r="CNA16" s="652"/>
      <c r="CND16" s="652"/>
      <c r="CNI16" s="652"/>
      <c r="CNL16" s="652"/>
      <c r="CNT16" s="652"/>
      <c r="CNW16" s="652"/>
      <c r="COE16" s="652"/>
      <c r="COH16" s="652"/>
      <c r="COP16" s="652"/>
      <c r="COS16" s="652"/>
      <c r="CPA16" s="652"/>
      <c r="CPD16" s="652"/>
      <c r="CPL16" s="652"/>
      <c r="CPM16" s="652"/>
      <c r="CPP16" s="652"/>
      <c r="CPW16" s="652"/>
    </row>
    <row r="17" spans="1:32 1500:2047 2055:2467" x14ac:dyDescent="0.25">
      <c r="A17" s="650">
        <v>155</v>
      </c>
      <c r="C17" s="650">
        <v>0</v>
      </c>
      <c r="D17" s="657">
        <v>0</v>
      </c>
      <c r="E17" s="657">
        <v>0</v>
      </c>
      <c r="F17" s="657">
        <v>0</v>
      </c>
      <c r="G17" s="657">
        <v>0</v>
      </c>
      <c r="H17" s="657">
        <v>0</v>
      </c>
      <c r="I17" s="657">
        <v>0</v>
      </c>
      <c r="J17" s="657">
        <v>0</v>
      </c>
      <c r="K17" s="657">
        <v>0</v>
      </c>
      <c r="L17" s="657">
        <v>0</v>
      </c>
      <c r="M17" s="657">
        <v>0</v>
      </c>
      <c r="N17" s="657">
        <v>0</v>
      </c>
      <c r="O17" s="657">
        <v>0</v>
      </c>
      <c r="P17" s="657">
        <v>0</v>
      </c>
      <c r="Q17" s="657">
        <v>0</v>
      </c>
      <c r="R17" s="657">
        <v>0</v>
      </c>
      <c r="S17" s="651">
        <v>0</v>
      </c>
      <c r="T17" s="651">
        <v>0</v>
      </c>
      <c r="U17" s="651">
        <v>0</v>
      </c>
      <c r="V17" s="651">
        <v>0</v>
      </c>
      <c r="W17" s="651">
        <v>0</v>
      </c>
      <c r="X17" s="651">
        <v>0</v>
      </c>
      <c r="Y17" s="651">
        <v>0</v>
      </c>
      <c r="Z17" s="651">
        <v>0</v>
      </c>
      <c r="AA17" s="651">
        <v>0</v>
      </c>
      <c r="AB17" s="651">
        <v>0</v>
      </c>
      <c r="AC17" s="651">
        <v>0</v>
      </c>
      <c r="AD17" s="651">
        <v>0</v>
      </c>
      <c r="AE17" s="651">
        <v>0</v>
      </c>
      <c r="AF17" s="651" t="s">
        <v>547</v>
      </c>
      <c r="BER17" s="652"/>
      <c r="BEU17" s="652"/>
      <c r="BFC17" s="652"/>
      <c r="BFF17" s="652"/>
      <c r="BFN17" s="652"/>
      <c r="BFQ17" s="652"/>
      <c r="BFY17" s="652"/>
      <c r="BGB17" s="652"/>
      <c r="BGJ17" s="652"/>
      <c r="BGM17" s="652"/>
      <c r="BGU17" s="652"/>
      <c r="BGX17" s="652"/>
      <c r="BHF17" s="652"/>
      <c r="BHI17" s="652"/>
      <c r="BHQ17" s="652"/>
      <c r="BHT17" s="652"/>
      <c r="BIB17" s="652"/>
      <c r="BIE17" s="652"/>
      <c r="BIM17" s="652"/>
      <c r="BIP17" s="652"/>
      <c r="BIX17" s="652"/>
      <c r="BJA17" s="652"/>
      <c r="BJI17" s="652"/>
      <c r="BJL17" s="652"/>
      <c r="BJT17" s="652"/>
      <c r="BJW17" s="652"/>
      <c r="BKE17" s="652"/>
      <c r="BKH17" s="652"/>
      <c r="BKP17" s="652"/>
      <c r="BKS17" s="652"/>
      <c r="BLA17" s="652"/>
      <c r="BLD17" s="652"/>
      <c r="BLL17" s="652"/>
      <c r="BLO17" s="652"/>
      <c r="BLW17" s="652"/>
      <c r="BLZ17" s="652"/>
      <c r="BMH17" s="652"/>
      <c r="BMK17" s="652"/>
      <c r="BMS17" s="652"/>
      <c r="BMV17" s="652"/>
      <c r="BND17" s="652"/>
      <c r="BNG17" s="652"/>
      <c r="BNO17" s="652"/>
      <c r="BNR17" s="652"/>
      <c r="BNZ17" s="652"/>
      <c r="BOC17" s="652"/>
      <c r="BOK17" s="652"/>
      <c r="BON17" s="652"/>
      <c r="BOV17" s="652"/>
      <c r="BOY17" s="652"/>
      <c r="BPG17" s="652"/>
      <c r="BPJ17" s="652"/>
      <c r="BPR17" s="652"/>
      <c r="BPU17" s="652"/>
      <c r="BQC17" s="652"/>
      <c r="BQF17" s="652"/>
      <c r="BQN17" s="652"/>
      <c r="BQQ17" s="652"/>
      <c r="BQY17" s="652"/>
      <c r="BRB17" s="652"/>
      <c r="BRJ17" s="652"/>
      <c r="BRM17" s="652"/>
      <c r="BRU17" s="652"/>
      <c r="BRX17" s="652"/>
      <c r="BSF17" s="652"/>
      <c r="BSI17" s="652"/>
      <c r="BSQ17" s="652"/>
      <c r="BST17" s="652"/>
      <c r="BTB17" s="652"/>
      <c r="BTE17" s="652"/>
      <c r="BTM17" s="652"/>
      <c r="BTP17" s="652"/>
      <c r="BTX17" s="652"/>
      <c r="BUA17" s="652"/>
      <c r="BUI17" s="652"/>
      <c r="BUL17" s="652"/>
      <c r="BUT17" s="652"/>
      <c r="BUW17" s="652"/>
      <c r="BVE17" s="652"/>
      <c r="BVH17" s="652"/>
      <c r="BVP17" s="652"/>
      <c r="BVS17" s="652"/>
      <c r="BWA17" s="652"/>
      <c r="BWD17" s="652"/>
      <c r="BWL17" s="652"/>
      <c r="BWO17" s="652"/>
      <c r="BWW17" s="652"/>
      <c r="BWZ17" s="652"/>
      <c r="BXH17" s="652"/>
      <c r="BXK17" s="652"/>
      <c r="BXS17" s="652"/>
      <c r="BXV17" s="652"/>
      <c r="BYD17" s="652"/>
      <c r="BYG17" s="652"/>
      <c r="BYI17" s="652"/>
      <c r="BYL17" s="652"/>
      <c r="BYO17" s="652"/>
      <c r="BYR17" s="652"/>
      <c r="BYT17" s="652"/>
      <c r="BYW17" s="652"/>
      <c r="BZE17" s="652"/>
      <c r="BZH17" s="652"/>
      <c r="BZP17" s="652"/>
      <c r="BZS17" s="652"/>
      <c r="CAA17" s="652"/>
      <c r="CAD17" s="652"/>
      <c r="CAL17" s="652"/>
      <c r="CAO17" s="652"/>
      <c r="CAW17" s="652"/>
      <c r="CAZ17" s="652"/>
      <c r="CBH17" s="652"/>
      <c r="CBK17" s="652"/>
      <c r="CBS17" s="652"/>
      <c r="CBV17" s="652"/>
      <c r="CCD17" s="652"/>
      <c r="CCG17" s="652"/>
      <c r="CCO17" s="652"/>
      <c r="CCR17" s="652"/>
      <c r="CCZ17" s="652"/>
      <c r="CDC17" s="652"/>
      <c r="CDK17" s="652"/>
      <c r="CDN17" s="652"/>
      <c r="CDV17" s="652"/>
      <c r="CDY17" s="652"/>
      <c r="CEG17" s="652"/>
      <c r="CEJ17" s="652"/>
      <c r="CER17" s="652"/>
      <c r="CEU17" s="652"/>
      <c r="CFC17" s="652"/>
      <c r="CFF17" s="652"/>
      <c r="CFN17" s="652"/>
      <c r="CFQ17" s="652"/>
      <c r="CFY17" s="652"/>
      <c r="CGB17" s="652"/>
      <c r="CGJ17" s="652"/>
      <c r="CGM17" s="652"/>
      <c r="CGU17" s="652"/>
      <c r="CGX17" s="652"/>
      <c r="CHF17" s="652"/>
      <c r="CHI17" s="652"/>
      <c r="CHQ17" s="652"/>
      <c r="CHT17" s="652"/>
      <c r="CIB17" s="652"/>
      <c r="CIE17" s="652"/>
      <c r="CIM17" s="652"/>
      <c r="CIP17" s="652"/>
      <c r="CIX17" s="652"/>
      <c r="CJA17" s="652"/>
      <c r="CJI17" s="652"/>
      <c r="CJL17" s="652"/>
      <c r="CJT17" s="652"/>
      <c r="CKE17" s="652"/>
      <c r="CKP17" s="652"/>
      <c r="CLA17" s="652"/>
      <c r="CLL17" s="652"/>
      <c r="CLW17" s="652"/>
      <c r="CLZ17" s="652"/>
      <c r="CME17" s="652"/>
      <c r="CMH17" s="652"/>
      <c r="CMK17" s="652"/>
      <c r="CMP17" s="652"/>
      <c r="CMS17" s="652"/>
      <c r="CMX17" s="652"/>
      <c r="CNA17" s="652"/>
      <c r="CND17" s="652"/>
      <c r="CNI17" s="652"/>
      <c r="CNL17" s="652"/>
      <c r="CNT17" s="652"/>
      <c r="CNW17" s="652"/>
      <c r="COE17" s="652"/>
      <c r="COH17" s="652"/>
      <c r="COP17" s="652"/>
      <c r="COS17" s="652"/>
      <c r="CPA17" s="652"/>
      <c r="CPD17" s="652"/>
      <c r="CPL17" s="652"/>
      <c r="CPM17" s="652"/>
      <c r="CPP17" s="652"/>
      <c r="CPW17" s="652"/>
    </row>
    <row r="18" spans="1:32 1500:2047 2055:2467" x14ac:dyDescent="0.25">
      <c r="A18" s="650">
        <v>160</v>
      </c>
      <c r="B18" s="650" t="s">
        <v>246</v>
      </c>
      <c r="C18" s="650">
        <v>27884</v>
      </c>
      <c r="D18" s="657">
        <v>26711</v>
      </c>
      <c r="E18" s="657">
        <v>26538</v>
      </c>
      <c r="F18" s="657">
        <v>26365</v>
      </c>
      <c r="G18" s="657">
        <v>26192</v>
      </c>
      <c r="H18" s="657">
        <v>26019</v>
      </c>
      <c r="I18" s="657">
        <v>25846</v>
      </c>
      <c r="J18" s="657">
        <v>25673</v>
      </c>
      <c r="K18" s="657">
        <v>25500</v>
      </c>
      <c r="L18" s="657">
        <v>25327</v>
      </c>
      <c r="M18" s="657">
        <v>25154</v>
      </c>
      <c r="N18" s="657">
        <v>25981</v>
      </c>
      <c r="O18" s="657">
        <v>313190</v>
      </c>
      <c r="P18" s="657">
        <v>0</v>
      </c>
      <c r="Q18" s="657">
        <v>0</v>
      </c>
      <c r="R18" s="657">
        <v>0</v>
      </c>
      <c r="S18" s="651">
        <v>0</v>
      </c>
      <c r="T18" s="651">
        <v>0</v>
      </c>
      <c r="U18" s="651">
        <v>0</v>
      </c>
      <c r="V18" s="651">
        <v>0</v>
      </c>
      <c r="W18" s="651">
        <v>0</v>
      </c>
      <c r="X18" s="651">
        <v>0</v>
      </c>
      <c r="Y18" s="651">
        <v>0</v>
      </c>
      <c r="Z18" s="651">
        <v>0</v>
      </c>
      <c r="AA18" s="651">
        <v>0</v>
      </c>
      <c r="AB18" s="651">
        <v>0</v>
      </c>
      <c r="AC18" s="651">
        <v>0</v>
      </c>
      <c r="AD18" s="651">
        <v>0</v>
      </c>
      <c r="AE18" s="651">
        <v>0</v>
      </c>
      <c r="AF18" s="651" t="s">
        <v>547</v>
      </c>
      <c r="BER18" s="652"/>
      <c r="BEU18" s="652"/>
      <c r="BFC18" s="652"/>
      <c r="BFF18" s="652"/>
      <c r="BFN18" s="652"/>
      <c r="BFQ18" s="652"/>
      <c r="BFY18" s="652"/>
      <c r="BGB18" s="652"/>
      <c r="BGJ18" s="652"/>
      <c r="BGM18" s="652"/>
      <c r="BGU18" s="652"/>
      <c r="BGX18" s="652"/>
      <c r="BHF18" s="652"/>
      <c r="BHI18" s="652"/>
      <c r="BHQ18" s="652"/>
      <c r="BHT18" s="652"/>
      <c r="BIB18" s="652"/>
      <c r="BIE18" s="652"/>
      <c r="BIM18" s="652"/>
      <c r="BIP18" s="652"/>
      <c r="BIX18" s="652"/>
      <c r="BJA18" s="652"/>
      <c r="BJI18" s="652"/>
      <c r="BJL18" s="652"/>
      <c r="BJT18" s="652"/>
      <c r="BJW18" s="652"/>
      <c r="BKE18" s="652"/>
      <c r="BKH18" s="652"/>
      <c r="BKP18" s="652"/>
      <c r="BKS18" s="652"/>
      <c r="BLA18" s="652"/>
      <c r="BLD18" s="652"/>
      <c r="BLL18" s="652"/>
      <c r="BLO18" s="652"/>
      <c r="BLW18" s="652"/>
      <c r="BLZ18" s="652"/>
      <c r="BMH18" s="652"/>
      <c r="BMK18" s="652"/>
      <c r="BMS18" s="652"/>
      <c r="BMV18" s="652"/>
      <c r="BND18" s="652"/>
      <c r="BNG18" s="652"/>
      <c r="BNO18" s="652"/>
      <c r="BNR18" s="652"/>
      <c r="BNZ18" s="652"/>
      <c r="BOC18" s="652"/>
      <c r="BOK18" s="652"/>
      <c r="BON18" s="652"/>
      <c r="BOV18" s="652"/>
      <c r="BOY18" s="652"/>
      <c r="BPG18" s="652"/>
      <c r="BPJ18" s="652"/>
      <c r="BPR18" s="652"/>
      <c r="BPU18" s="652"/>
      <c r="BQC18" s="652"/>
      <c r="BQF18" s="652"/>
      <c r="BQN18" s="652"/>
      <c r="BQQ18" s="652"/>
      <c r="BQY18" s="652"/>
      <c r="BRB18" s="652"/>
      <c r="BRJ18" s="652"/>
      <c r="BRM18" s="652"/>
      <c r="BRU18" s="652"/>
      <c r="BRX18" s="652"/>
      <c r="BSF18" s="652"/>
      <c r="BSI18" s="652"/>
      <c r="BSQ18" s="652"/>
      <c r="BST18" s="652"/>
      <c r="BTB18" s="652"/>
      <c r="BTE18" s="652"/>
      <c r="BTM18" s="652"/>
      <c r="BTP18" s="652"/>
      <c r="BTX18" s="652"/>
      <c r="BUA18" s="652"/>
      <c r="BUI18" s="652"/>
      <c r="BUL18" s="652"/>
      <c r="BUT18" s="652"/>
      <c r="BUW18" s="652"/>
      <c r="BVE18" s="652"/>
      <c r="BVH18" s="652"/>
      <c r="BVP18" s="652"/>
      <c r="BVS18" s="652"/>
      <c r="BWA18" s="652"/>
      <c r="BWD18" s="652"/>
      <c r="BWL18" s="652"/>
      <c r="BWO18" s="652"/>
      <c r="BWW18" s="652"/>
      <c r="BWZ18" s="652"/>
      <c r="BXH18" s="652"/>
      <c r="BXK18" s="652"/>
      <c r="BXS18" s="652"/>
      <c r="BXV18" s="652"/>
      <c r="BYD18" s="652"/>
      <c r="BYG18" s="652"/>
      <c r="BYI18" s="652"/>
      <c r="BYL18" s="652"/>
      <c r="BYO18" s="652"/>
      <c r="BYR18" s="652"/>
      <c r="BYT18" s="652"/>
      <c r="BYW18" s="652"/>
      <c r="BZE18" s="652"/>
      <c r="BZH18" s="652"/>
      <c r="BZP18" s="652"/>
      <c r="BZS18" s="652"/>
      <c r="CAA18" s="652"/>
      <c r="CAD18" s="652"/>
      <c r="CAL18" s="652"/>
      <c r="CAO18" s="652"/>
      <c r="CAW18" s="652"/>
      <c r="CAZ18" s="652"/>
      <c r="CBH18" s="652"/>
      <c r="CBK18" s="652"/>
      <c r="CBS18" s="652"/>
      <c r="CBV18" s="652"/>
      <c r="CCD18" s="652"/>
      <c r="CCG18" s="652"/>
      <c r="CCO18" s="652"/>
      <c r="CCR18" s="652"/>
      <c r="CCZ18" s="652"/>
      <c r="CDC18" s="652"/>
      <c r="CDK18" s="652"/>
      <c r="CDN18" s="652"/>
      <c r="CDV18" s="652"/>
      <c r="CDY18" s="652"/>
      <c r="CEG18" s="652"/>
      <c r="CEJ18" s="652"/>
      <c r="CER18" s="652"/>
      <c r="CEU18" s="652"/>
      <c r="CFC18" s="652"/>
      <c r="CFF18" s="652"/>
      <c r="CFN18" s="652"/>
      <c r="CFQ18" s="652"/>
      <c r="CFY18" s="652"/>
      <c r="CGB18" s="652"/>
      <c r="CGJ18" s="652"/>
      <c r="CGM18" s="652"/>
      <c r="CGU18" s="652"/>
      <c r="CGX18" s="652"/>
      <c r="CHF18" s="652"/>
      <c r="CHI18" s="652"/>
      <c r="CHQ18" s="652"/>
      <c r="CHT18" s="652"/>
      <c r="CIB18" s="652"/>
      <c r="CIE18" s="652"/>
      <c r="CIM18" s="652"/>
      <c r="CIP18" s="652"/>
      <c r="CIX18" s="652"/>
      <c r="CJA18" s="652"/>
      <c r="CJI18" s="652"/>
      <c r="CJL18" s="652"/>
      <c r="CJT18" s="652"/>
      <c r="CKE18" s="652"/>
      <c r="CKP18" s="652"/>
      <c r="CLA18" s="652"/>
      <c r="CLL18" s="652"/>
      <c r="CLW18" s="652"/>
      <c r="CLZ18" s="652"/>
      <c r="CME18" s="652"/>
      <c r="CMH18" s="652"/>
      <c r="CMK18" s="652"/>
      <c r="CMP18" s="652"/>
      <c r="CMS18" s="652"/>
      <c r="CMX18" s="652"/>
      <c r="CNA18" s="652"/>
      <c r="CND18" s="652"/>
      <c r="CNI18" s="652"/>
      <c r="CNL18" s="652"/>
      <c r="CNT18" s="652"/>
      <c r="CNW18" s="652"/>
      <c r="COE18" s="652"/>
      <c r="COH18" s="652"/>
      <c r="COP18" s="652"/>
      <c r="COS18" s="652"/>
      <c r="CPA18" s="652"/>
      <c r="CPD18" s="652"/>
      <c r="CPL18" s="652"/>
      <c r="CPM18" s="652"/>
      <c r="CPP18" s="652"/>
      <c r="CPW18" s="652"/>
    </row>
    <row r="19" spans="1:32 1500:2047 2055:2467" x14ac:dyDescent="0.25">
      <c r="A19" s="650">
        <v>170</v>
      </c>
      <c r="B19" s="650" t="s">
        <v>247</v>
      </c>
      <c r="C19" s="650">
        <v>56766</v>
      </c>
      <c r="D19" s="657">
        <v>57939</v>
      </c>
      <c r="E19" s="657">
        <v>58112</v>
      </c>
      <c r="F19" s="657">
        <v>58385</v>
      </c>
      <c r="G19" s="657">
        <v>58558</v>
      </c>
      <c r="H19" s="657">
        <v>58731</v>
      </c>
      <c r="I19" s="657">
        <v>59004</v>
      </c>
      <c r="J19" s="657">
        <v>59077</v>
      </c>
      <c r="K19" s="657">
        <v>59250</v>
      </c>
      <c r="L19" s="657">
        <v>59423</v>
      </c>
      <c r="M19" s="657">
        <v>59696</v>
      </c>
      <c r="N19" s="657">
        <v>58969</v>
      </c>
      <c r="O19" s="657">
        <v>703910</v>
      </c>
      <c r="P19" s="657">
        <v>0</v>
      </c>
      <c r="Q19" s="657">
        <v>0</v>
      </c>
      <c r="R19" s="657">
        <v>0</v>
      </c>
      <c r="S19" s="651">
        <v>0</v>
      </c>
      <c r="T19" s="651">
        <v>0</v>
      </c>
      <c r="U19" s="651">
        <v>0</v>
      </c>
      <c r="V19" s="651">
        <v>0</v>
      </c>
      <c r="W19" s="651">
        <v>0</v>
      </c>
      <c r="X19" s="651">
        <v>0</v>
      </c>
      <c r="Y19" s="651">
        <v>0</v>
      </c>
      <c r="Z19" s="651">
        <v>0</v>
      </c>
      <c r="AA19" s="651">
        <v>0</v>
      </c>
      <c r="AB19" s="651">
        <v>0</v>
      </c>
      <c r="AC19" s="651">
        <v>0</v>
      </c>
      <c r="AD19" s="651">
        <v>0</v>
      </c>
      <c r="AE19" s="651">
        <v>0</v>
      </c>
      <c r="AF19" s="651" t="s">
        <v>547</v>
      </c>
      <c r="BER19" s="652"/>
      <c r="BEU19" s="652"/>
      <c r="BFC19" s="652"/>
      <c r="BFF19" s="652"/>
      <c r="BFN19" s="652"/>
      <c r="BFQ19" s="652"/>
      <c r="BFY19" s="652"/>
      <c r="BGB19" s="652"/>
      <c r="BGJ19" s="652"/>
      <c r="BGM19" s="652"/>
      <c r="BGU19" s="652"/>
      <c r="BGX19" s="652"/>
      <c r="BHF19" s="652"/>
      <c r="BHI19" s="652"/>
      <c r="BHQ19" s="652"/>
      <c r="BHT19" s="652"/>
      <c r="BIB19" s="652"/>
      <c r="BIE19" s="652"/>
      <c r="BIM19" s="652"/>
      <c r="BIP19" s="652"/>
      <c r="BIX19" s="652"/>
      <c r="BJA19" s="652"/>
      <c r="BJI19" s="652"/>
      <c r="BJL19" s="652"/>
      <c r="BJT19" s="652"/>
      <c r="BJW19" s="652"/>
      <c r="BKE19" s="652"/>
      <c r="BKH19" s="652"/>
      <c r="BKP19" s="652"/>
      <c r="BKS19" s="652"/>
      <c r="BLA19" s="652"/>
      <c r="BLD19" s="652"/>
      <c r="BLL19" s="652"/>
      <c r="BLO19" s="652"/>
      <c r="BLW19" s="652"/>
      <c r="BLZ19" s="652"/>
      <c r="BMH19" s="652"/>
      <c r="BMK19" s="652"/>
      <c r="BMS19" s="652"/>
      <c r="BMV19" s="652"/>
      <c r="BND19" s="652"/>
      <c r="BNG19" s="652"/>
      <c r="BNO19" s="652"/>
      <c r="BNR19" s="652"/>
      <c r="BNZ19" s="652"/>
      <c r="BOC19" s="652"/>
      <c r="BOK19" s="652"/>
      <c r="BON19" s="652"/>
      <c r="BOV19" s="652"/>
      <c r="BOY19" s="652"/>
      <c r="BPG19" s="652"/>
      <c r="BPJ19" s="652"/>
      <c r="BPR19" s="652"/>
      <c r="BPU19" s="652"/>
      <c r="BQC19" s="652"/>
      <c r="BQF19" s="652"/>
      <c r="BQN19" s="652"/>
      <c r="BQQ19" s="652"/>
      <c r="BQY19" s="652"/>
      <c r="BRB19" s="652"/>
      <c r="BRJ19" s="652"/>
      <c r="BRM19" s="652"/>
      <c r="BRU19" s="652"/>
      <c r="BRX19" s="652"/>
      <c r="BSF19" s="652"/>
      <c r="BSI19" s="652"/>
      <c r="BSQ19" s="652"/>
      <c r="BST19" s="652"/>
      <c r="BTB19" s="652"/>
      <c r="BTE19" s="652"/>
      <c r="BTM19" s="652"/>
      <c r="BTP19" s="652"/>
      <c r="BTX19" s="652"/>
      <c r="BUA19" s="652"/>
      <c r="BUI19" s="652"/>
      <c r="BUL19" s="652"/>
      <c r="BUT19" s="652"/>
      <c r="BUW19" s="652"/>
      <c r="BVE19" s="652"/>
      <c r="BVH19" s="652"/>
      <c r="BVP19" s="652"/>
      <c r="BVS19" s="652"/>
      <c r="BWA19" s="652"/>
      <c r="BWD19" s="652"/>
      <c r="BWL19" s="652"/>
      <c r="BWO19" s="652"/>
      <c r="BWW19" s="652"/>
      <c r="BWZ19" s="652"/>
      <c r="BXH19" s="652"/>
      <c r="BXK19" s="652"/>
      <c r="BXS19" s="652"/>
      <c r="BXV19" s="652"/>
      <c r="BYD19" s="652"/>
      <c r="BYG19" s="652"/>
      <c r="BYI19" s="652"/>
      <c r="BYL19" s="652"/>
      <c r="BYO19" s="652"/>
      <c r="BYR19" s="652"/>
      <c r="BYT19" s="652"/>
      <c r="BYW19" s="652"/>
      <c r="BZE19" s="652"/>
      <c r="BZH19" s="652"/>
      <c r="BZP19" s="652"/>
      <c r="BZS19" s="652"/>
      <c r="CAA19" s="652"/>
      <c r="CAD19" s="652"/>
      <c r="CAL19" s="652"/>
      <c r="CAO19" s="652"/>
      <c r="CAW19" s="652"/>
      <c r="CAZ19" s="652"/>
      <c r="CBH19" s="652"/>
      <c r="CBK19" s="652"/>
      <c r="CBS19" s="652"/>
      <c r="CBV19" s="652"/>
      <c r="CCD19" s="652"/>
      <c r="CCG19" s="652"/>
      <c r="CCO19" s="652"/>
      <c r="CCR19" s="652"/>
      <c r="CCZ19" s="652"/>
      <c r="CDC19" s="652"/>
      <c r="CDK19" s="652"/>
      <c r="CDN19" s="652"/>
      <c r="CDV19" s="652"/>
      <c r="CDY19" s="652"/>
      <c r="CEG19" s="652"/>
      <c r="CEJ19" s="652"/>
      <c r="CER19" s="652"/>
      <c r="CEU19" s="652"/>
      <c r="CFC19" s="652"/>
      <c r="CFF19" s="652"/>
      <c r="CFN19" s="652"/>
      <c r="CFQ19" s="652"/>
      <c r="CFY19" s="652"/>
      <c r="CGB19" s="652"/>
      <c r="CGJ19" s="652"/>
      <c r="CGM19" s="652"/>
      <c r="CGU19" s="652"/>
      <c r="CGX19" s="652"/>
      <c r="CHF19" s="652"/>
      <c r="CHI19" s="652"/>
      <c r="CHQ19" s="652"/>
      <c r="CHT19" s="652"/>
      <c r="CIB19" s="652"/>
      <c r="CIE19" s="652"/>
      <c r="CIM19" s="652"/>
      <c r="CIP19" s="652"/>
      <c r="CIX19" s="652"/>
      <c r="CJA19" s="652"/>
      <c r="CJI19" s="652"/>
      <c r="CJL19" s="652"/>
      <c r="CJT19" s="652"/>
      <c r="CKE19" s="652"/>
      <c r="CKP19" s="652"/>
      <c r="CLA19" s="652"/>
      <c r="CLL19" s="652"/>
      <c r="CLW19" s="652"/>
      <c r="CLZ19" s="652"/>
      <c r="CME19" s="652"/>
      <c r="CMH19" s="652"/>
      <c r="CMK19" s="652"/>
      <c r="CMP19" s="652"/>
      <c r="CMS19" s="652"/>
      <c r="CMX19" s="652"/>
      <c r="CNA19" s="652"/>
      <c r="CND19" s="652"/>
      <c r="CNI19" s="652"/>
      <c r="CNL19" s="652"/>
      <c r="CNT19" s="652"/>
      <c r="CNW19" s="652"/>
      <c r="COE19" s="652"/>
      <c r="COH19" s="652"/>
      <c r="COP19" s="652"/>
      <c r="COS19" s="652"/>
      <c r="CPA19" s="652"/>
      <c r="CPD19" s="652"/>
      <c r="CPL19" s="652"/>
      <c r="CPM19" s="652"/>
      <c r="CPP19" s="652"/>
      <c r="CPW19" s="652"/>
    </row>
    <row r="20" spans="1:32 1500:2047 2055:2467" x14ac:dyDescent="0.25">
      <c r="A20" s="650">
        <v>180</v>
      </c>
      <c r="B20" s="650" t="s">
        <v>248</v>
      </c>
      <c r="C20" s="650">
        <v>0</v>
      </c>
      <c r="D20" s="657">
        <v>0</v>
      </c>
      <c r="E20" s="657">
        <v>0</v>
      </c>
      <c r="F20" s="657">
        <v>0</v>
      </c>
      <c r="G20" s="657">
        <v>0</v>
      </c>
      <c r="H20" s="657">
        <v>0</v>
      </c>
      <c r="I20" s="657">
        <v>0</v>
      </c>
      <c r="J20" s="657">
        <v>0</v>
      </c>
      <c r="K20" s="657">
        <v>0</v>
      </c>
      <c r="L20" s="657">
        <v>0</v>
      </c>
      <c r="M20" s="657">
        <v>0</v>
      </c>
      <c r="N20" s="657">
        <v>0</v>
      </c>
      <c r="O20" s="657">
        <v>0</v>
      </c>
      <c r="P20" s="657">
        <v>0</v>
      </c>
      <c r="Q20" s="657">
        <v>0</v>
      </c>
      <c r="R20" s="657">
        <v>0</v>
      </c>
      <c r="S20" s="651">
        <v>0</v>
      </c>
      <c r="T20" s="651">
        <v>0</v>
      </c>
      <c r="U20" s="651">
        <v>0</v>
      </c>
      <c r="V20" s="651">
        <v>0</v>
      </c>
      <c r="W20" s="651">
        <v>0</v>
      </c>
      <c r="X20" s="651">
        <v>0</v>
      </c>
      <c r="Y20" s="651">
        <v>0</v>
      </c>
      <c r="Z20" s="651">
        <v>0</v>
      </c>
      <c r="AA20" s="651">
        <v>0</v>
      </c>
      <c r="AB20" s="651">
        <v>0</v>
      </c>
      <c r="AC20" s="651">
        <v>0</v>
      </c>
      <c r="AD20" s="651">
        <v>0</v>
      </c>
      <c r="AE20" s="651">
        <v>0</v>
      </c>
      <c r="AF20" s="651" t="s">
        <v>547</v>
      </c>
      <c r="BER20" s="652"/>
      <c r="BEU20" s="652"/>
      <c r="BFC20" s="652"/>
      <c r="BFF20" s="652"/>
      <c r="BFN20" s="652"/>
      <c r="BFQ20" s="652"/>
      <c r="BFY20" s="652"/>
      <c r="BGB20" s="652"/>
      <c r="BGJ20" s="652"/>
      <c r="BGM20" s="652"/>
      <c r="BGU20" s="652"/>
      <c r="BGX20" s="652"/>
      <c r="BHF20" s="652"/>
      <c r="BHI20" s="652"/>
      <c r="BHQ20" s="652"/>
      <c r="BHT20" s="652"/>
      <c r="BIB20" s="652"/>
      <c r="BIE20" s="652"/>
      <c r="BIM20" s="652"/>
      <c r="BIP20" s="652"/>
      <c r="BIX20" s="652"/>
      <c r="BJA20" s="652"/>
      <c r="BJI20" s="652"/>
      <c r="BJL20" s="652"/>
      <c r="BJT20" s="652"/>
      <c r="BJW20" s="652"/>
      <c r="BKE20" s="652"/>
      <c r="BKH20" s="652"/>
      <c r="BKP20" s="652"/>
      <c r="BKS20" s="652"/>
      <c r="BLA20" s="652"/>
      <c r="BLD20" s="652"/>
      <c r="BLL20" s="652"/>
      <c r="BLO20" s="652"/>
      <c r="BLW20" s="652"/>
      <c r="BLZ20" s="652"/>
      <c r="BMH20" s="652"/>
      <c r="BMK20" s="652"/>
      <c r="BMS20" s="652"/>
      <c r="BMV20" s="652"/>
      <c r="BND20" s="652"/>
      <c r="BNG20" s="652"/>
      <c r="BNO20" s="652"/>
      <c r="BNR20" s="652"/>
      <c r="BNZ20" s="652"/>
      <c r="BOC20" s="652"/>
      <c r="BOK20" s="652"/>
      <c r="BON20" s="652"/>
      <c r="BOV20" s="652"/>
      <c r="BOY20" s="652"/>
      <c r="BPG20" s="652"/>
      <c r="BPJ20" s="652"/>
      <c r="BPR20" s="652"/>
      <c r="BPU20" s="652"/>
      <c r="BQC20" s="652"/>
      <c r="BQF20" s="652"/>
      <c r="BQN20" s="652"/>
      <c r="BQQ20" s="652"/>
      <c r="BQY20" s="652"/>
      <c r="BRB20" s="652"/>
      <c r="BRJ20" s="652"/>
      <c r="BRM20" s="652"/>
      <c r="BRU20" s="652"/>
      <c r="BRX20" s="652"/>
      <c r="BSF20" s="652"/>
      <c r="BSI20" s="652"/>
      <c r="BSQ20" s="652"/>
      <c r="BST20" s="652"/>
      <c r="BTB20" s="652"/>
      <c r="BTE20" s="652"/>
      <c r="BTM20" s="652"/>
      <c r="BTP20" s="652"/>
      <c r="BTX20" s="652"/>
      <c r="BUA20" s="652"/>
      <c r="BUI20" s="652"/>
      <c r="BUL20" s="652"/>
      <c r="BUT20" s="652"/>
      <c r="BUW20" s="652"/>
      <c r="BVE20" s="652"/>
      <c r="BVH20" s="652"/>
      <c r="BVP20" s="652"/>
      <c r="BVS20" s="652"/>
      <c r="BWA20" s="652"/>
      <c r="BWD20" s="652"/>
      <c r="BWL20" s="652"/>
      <c r="BWO20" s="652"/>
      <c r="BWW20" s="652"/>
      <c r="BWZ20" s="652"/>
      <c r="BXH20" s="652"/>
      <c r="BXK20" s="652"/>
      <c r="BXS20" s="652"/>
      <c r="BXV20" s="652"/>
      <c r="BYD20" s="652"/>
      <c r="BYG20" s="652"/>
      <c r="BYI20" s="652"/>
      <c r="BYL20" s="652"/>
      <c r="BYO20" s="652"/>
      <c r="BYR20" s="652"/>
      <c r="BYT20" s="652"/>
      <c r="BYW20" s="652"/>
      <c r="BZE20" s="652"/>
      <c r="BZH20" s="652"/>
      <c r="BZP20" s="652"/>
      <c r="BZS20" s="652"/>
      <c r="CAA20" s="652"/>
      <c r="CAD20" s="652"/>
      <c r="CAL20" s="652"/>
      <c r="CAO20" s="652"/>
      <c r="CAW20" s="652"/>
      <c r="CAZ20" s="652"/>
      <c r="CBH20" s="652"/>
      <c r="CBK20" s="652"/>
      <c r="CBS20" s="652"/>
      <c r="CBV20" s="652"/>
      <c r="CCD20" s="652"/>
      <c r="CCG20" s="652"/>
      <c r="CCO20" s="652"/>
      <c r="CCR20" s="652"/>
      <c r="CCZ20" s="652"/>
      <c r="CDC20" s="652"/>
      <c r="CDK20" s="652"/>
      <c r="CDN20" s="652"/>
      <c r="CDV20" s="652"/>
      <c r="CDY20" s="652"/>
      <c r="CEG20" s="652"/>
      <c r="CEJ20" s="652"/>
      <c r="CER20" s="652"/>
      <c r="CEU20" s="652"/>
      <c r="CFC20" s="652"/>
      <c r="CFF20" s="652"/>
      <c r="CFN20" s="652"/>
      <c r="CFQ20" s="652"/>
      <c r="CFY20" s="652"/>
      <c r="CGB20" s="652"/>
      <c r="CGJ20" s="652"/>
      <c r="CGM20" s="652"/>
      <c r="CGU20" s="652"/>
      <c r="CGX20" s="652"/>
      <c r="CHF20" s="652"/>
      <c r="CHI20" s="652"/>
      <c r="CHQ20" s="652"/>
      <c r="CHT20" s="652"/>
      <c r="CIB20" s="652"/>
      <c r="CIE20" s="652"/>
      <c r="CIM20" s="652"/>
      <c r="CIP20" s="652"/>
      <c r="CIX20" s="652"/>
      <c r="CJA20" s="652"/>
      <c r="CJI20" s="652"/>
      <c r="CJL20" s="652"/>
      <c r="CJT20" s="652"/>
      <c r="CKE20" s="652"/>
      <c r="CKP20" s="652"/>
      <c r="CLA20" s="652"/>
      <c r="CLL20" s="652"/>
      <c r="CLW20" s="652"/>
      <c r="CLZ20" s="652"/>
      <c r="CME20" s="652"/>
      <c r="CMH20" s="652"/>
      <c r="CMK20" s="652"/>
      <c r="CMP20" s="652"/>
      <c r="CMS20" s="652"/>
      <c r="CMX20" s="652"/>
      <c r="CNA20" s="652"/>
      <c r="CND20" s="652"/>
      <c r="CNI20" s="652"/>
      <c r="CNL20" s="652"/>
      <c r="CNT20" s="652"/>
      <c r="CNW20" s="652"/>
      <c r="COE20" s="652"/>
      <c r="COH20" s="652"/>
      <c r="COP20" s="652"/>
      <c r="COS20" s="652"/>
      <c r="CPA20" s="652"/>
      <c r="CPD20" s="652"/>
      <c r="CPL20" s="652"/>
      <c r="CPM20" s="652"/>
      <c r="CPP20" s="652"/>
      <c r="CPW20" s="652"/>
    </row>
    <row r="21" spans="1:32 1500:2047 2055:2467" x14ac:dyDescent="0.25">
      <c r="A21" s="650">
        <v>190</v>
      </c>
      <c r="B21" s="650" t="s">
        <v>249</v>
      </c>
      <c r="C21" s="650">
        <v>0</v>
      </c>
      <c r="D21" s="657">
        <v>0</v>
      </c>
      <c r="E21" s="657">
        <v>0</v>
      </c>
      <c r="F21" s="657">
        <v>0</v>
      </c>
      <c r="G21" s="657">
        <v>0</v>
      </c>
      <c r="H21" s="657">
        <v>0</v>
      </c>
      <c r="I21" s="657">
        <v>0</v>
      </c>
      <c r="J21" s="657">
        <v>0</v>
      </c>
      <c r="K21" s="657">
        <v>0</v>
      </c>
      <c r="L21" s="657">
        <v>0</v>
      </c>
      <c r="M21" s="657">
        <v>0</v>
      </c>
      <c r="N21" s="657">
        <v>0</v>
      </c>
      <c r="O21" s="657">
        <v>0</v>
      </c>
      <c r="P21" s="657">
        <v>0</v>
      </c>
      <c r="Q21" s="657">
        <v>0</v>
      </c>
      <c r="R21" s="657">
        <v>0</v>
      </c>
      <c r="S21" s="651">
        <v>0</v>
      </c>
      <c r="T21" s="651">
        <v>0</v>
      </c>
      <c r="U21" s="651">
        <v>0</v>
      </c>
      <c r="V21" s="651">
        <v>0</v>
      </c>
      <c r="W21" s="651">
        <v>0</v>
      </c>
      <c r="X21" s="651">
        <v>0</v>
      </c>
      <c r="Y21" s="651">
        <v>0</v>
      </c>
      <c r="Z21" s="651">
        <v>0</v>
      </c>
      <c r="AA21" s="651">
        <v>0</v>
      </c>
      <c r="AB21" s="651">
        <v>0</v>
      </c>
      <c r="AC21" s="651">
        <v>0</v>
      </c>
      <c r="AD21" s="651">
        <v>0</v>
      </c>
      <c r="AE21" s="651">
        <v>0</v>
      </c>
      <c r="AF21" s="651" t="s">
        <v>547</v>
      </c>
      <c r="BER21" s="652"/>
      <c r="BEU21" s="652"/>
      <c r="BFC21" s="652"/>
      <c r="BFF21" s="652"/>
      <c r="BFN21" s="652"/>
      <c r="BFQ21" s="652"/>
      <c r="BFY21" s="652"/>
      <c r="BGB21" s="652"/>
      <c r="BGJ21" s="652"/>
      <c r="BGM21" s="652"/>
      <c r="BGU21" s="652"/>
      <c r="BGX21" s="652"/>
      <c r="BHF21" s="652"/>
      <c r="BHI21" s="652"/>
      <c r="BHQ21" s="652"/>
      <c r="BHT21" s="652"/>
      <c r="BIB21" s="652"/>
      <c r="BIE21" s="652"/>
      <c r="BIM21" s="652"/>
      <c r="BIP21" s="652"/>
      <c r="BIX21" s="652"/>
      <c r="BJA21" s="652"/>
      <c r="BJI21" s="652"/>
      <c r="BJL21" s="652"/>
      <c r="BJT21" s="652"/>
      <c r="BJW21" s="652"/>
      <c r="BKE21" s="652"/>
      <c r="BKH21" s="652"/>
      <c r="BKP21" s="652"/>
      <c r="BKS21" s="652"/>
      <c r="BLA21" s="652"/>
      <c r="BLD21" s="652"/>
      <c r="BLL21" s="652"/>
      <c r="BLO21" s="652"/>
      <c r="BLW21" s="652"/>
      <c r="BLZ21" s="652"/>
      <c r="BMH21" s="652"/>
      <c r="BMK21" s="652"/>
      <c r="BMS21" s="652"/>
      <c r="BMV21" s="652"/>
      <c r="BND21" s="652"/>
      <c r="BNG21" s="652"/>
      <c r="BNO21" s="652"/>
      <c r="BNR21" s="652"/>
      <c r="BNZ21" s="652"/>
      <c r="BOC21" s="652"/>
      <c r="BOK21" s="652"/>
      <c r="BON21" s="652"/>
      <c r="BOV21" s="652"/>
      <c r="BOY21" s="652"/>
      <c r="BPG21" s="652"/>
      <c r="BPJ21" s="652"/>
      <c r="BPR21" s="652"/>
      <c r="BPU21" s="652"/>
      <c r="BQC21" s="652"/>
      <c r="BQF21" s="652"/>
      <c r="BQN21" s="652"/>
      <c r="BQQ21" s="652"/>
      <c r="BQY21" s="652"/>
      <c r="BRB21" s="652"/>
      <c r="BRJ21" s="652"/>
      <c r="BRM21" s="652"/>
      <c r="BRU21" s="652"/>
      <c r="BRX21" s="652"/>
      <c r="BSF21" s="652"/>
      <c r="BSI21" s="652"/>
      <c r="BSQ21" s="652"/>
      <c r="BST21" s="652"/>
      <c r="BTB21" s="652"/>
      <c r="BTE21" s="652"/>
      <c r="BTM21" s="652"/>
      <c r="BTP21" s="652"/>
      <c r="BTX21" s="652"/>
      <c r="BUA21" s="652"/>
      <c r="BUI21" s="652"/>
      <c r="BUL21" s="652"/>
      <c r="BUT21" s="652"/>
      <c r="BUW21" s="652"/>
      <c r="BVE21" s="652"/>
      <c r="BVH21" s="652"/>
      <c r="BVP21" s="652"/>
      <c r="BVS21" s="652"/>
      <c r="BWA21" s="652"/>
      <c r="BWD21" s="652"/>
      <c r="BWL21" s="652"/>
      <c r="BWO21" s="652"/>
      <c r="BWW21" s="652"/>
      <c r="BWZ21" s="652"/>
      <c r="BXH21" s="652"/>
      <c r="BXK21" s="652"/>
      <c r="BXS21" s="652"/>
      <c r="BXV21" s="652"/>
      <c r="BYD21" s="652"/>
      <c r="BYG21" s="652"/>
      <c r="BYI21" s="652"/>
      <c r="BYL21" s="652"/>
      <c r="BYO21" s="652"/>
      <c r="BYR21" s="652"/>
      <c r="BYT21" s="652"/>
      <c r="BYW21" s="652"/>
      <c r="BZE21" s="652"/>
      <c r="BZH21" s="652"/>
      <c r="BZP21" s="652"/>
      <c r="BZS21" s="652"/>
      <c r="CAA21" s="652"/>
      <c r="CAD21" s="652"/>
      <c r="CAL21" s="652"/>
      <c r="CAO21" s="652"/>
      <c r="CAW21" s="652"/>
      <c r="CAZ21" s="652"/>
      <c r="CBH21" s="652"/>
      <c r="CBK21" s="652"/>
      <c r="CBS21" s="652"/>
      <c r="CBV21" s="652"/>
      <c r="CCD21" s="652"/>
      <c r="CCG21" s="652"/>
      <c r="CCO21" s="652"/>
      <c r="CCR21" s="652"/>
      <c r="CCZ21" s="652"/>
      <c r="CDC21" s="652"/>
      <c r="CDK21" s="652"/>
      <c r="CDN21" s="652"/>
      <c r="CDV21" s="652"/>
      <c r="CDY21" s="652"/>
      <c r="CEG21" s="652"/>
      <c r="CEJ21" s="652"/>
      <c r="CER21" s="652"/>
      <c r="CEU21" s="652"/>
      <c r="CFC21" s="652"/>
      <c r="CFF21" s="652"/>
      <c r="CFN21" s="652"/>
      <c r="CFQ21" s="652"/>
      <c r="CFY21" s="652"/>
      <c r="CGB21" s="652"/>
      <c r="CGJ21" s="652"/>
      <c r="CGM21" s="652"/>
      <c r="CGU21" s="652"/>
      <c r="CGX21" s="652"/>
      <c r="CHF21" s="652"/>
      <c r="CHI21" s="652"/>
      <c r="CHQ21" s="652"/>
      <c r="CHT21" s="652"/>
      <c r="CIB21" s="652"/>
      <c r="CIE21" s="652"/>
      <c r="CIM21" s="652"/>
      <c r="CIP21" s="652"/>
      <c r="CIX21" s="652"/>
      <c r="CJA21" s="652"/>
      <c r="CJI21" s="652"/>
      <c r="CJL21" s="652"/>
      <c r="CJT21" s="652"/>
      <c r="CKE21" s="652"/>
      <c r="CKP21" s="652"/>
      <c r="CLA21" s="652"/>
      <c r="CLL21" s="652"/>
      <c r="CLW21" s="652"/>
      <c r="CLZ21" s="652"/>
      <c r="CME21" s="652"/>
      <c r="CMH21" s="652"/>
      <c r="CMK21" s="652"/>
      <c r="CMP21" s="652"/>
      <c r="CMS21" s="652"/>
      <c r="CMX21" s="652"/>
      <c r="CNA21" s="652"/>
      <c r="CND21" s="652"/>
      <c r="CNI21" s="652"/>
      <c r="CNL21" s="652"/>
      <c r="CNT21" s="652"/>
      <c r="CNW21" s="652"/>
      <c r="COE21" s="652"/>
      <c r="COH21" s="652"/>
      <c r="COP21" s="652"/>
      <c r="COS21" s="652"/>
      <c r="CPA21" s="652"/>
      <c r="CPD21" s="652"/>
      <c r="CPL21" s="652"/>
      <c r="CPM21" s="652"/>
      <c r="CPP21" s="652"/>
      <c r="CPW21" s="652"/>
    </row>
    <row r="22" spans="1:32 1500:2047 2055:2467" x14ac:dyDescent="0.25">
      <c r="A22" s="650">
        <v>200</v>
      </c>
      <c r="B22" s="650" t="s">
        <v>250</v>
      </c>
      <c r="C22" s="650">
        <v>56766</v>
      </c>
      <c r="D22" s="657">
        <v>57939</v>
      </c>
      <c r="E22" s="657">
        <v>58112</v>
      </c>
      <c r="F22" s="657">
        <v>58385</v>
      </c>
      <c r="G22" s="657">
        <v>58558</v>
      </c>
      <c r="H22" s="657">
        <v>58731</v>
      </c>
      <c r="I22" s="657">
        <v>59004</v>
      </c>
      <c r="J22" s="657">
        <v>59077</v>
      </c>
      <c r="K22" s="657">
        <v>59250</v>
      </c>
      <c r="L22" s="657">
        <v>59423</v>
      </c>
      <c r="M22" s="657">
        <v>59696</v>
      </c>
      <c r="N22" s="657">
        <v>58969</v>
      </c>
      <c r="O22" s="657">
        <v>703910</v>
      </c>
      <c r="P22" s="657">
        <v>0</v>
      </c>
      <c r="Q22" s="657">
        <v>0</v>
      </c>
      <c r="R22" s="657">
        <v>0</v>
      </c>
      <c r="S22" s="651">
        <v>0</v>
      </c>
      <c r="T22" s="651">
        <v>0</v>
      </c>
      <c r="U22" s="651">
        <v>0</v>
      </c>
      <c r="V22" s="651">
        <v>0</v>
      </c>
      <c r="W22" s="651">
        <v>0</v>
      </c>
      <c r="X22" s="651">
        <v>0</v>
      </c>
      <c r="Y22" s="651">
        <v>0</v>
      </c>
      <c r="Z22" s="651">
        <v>0</v>
      </c>
      <c r="AA22" s="651">
        <v>0</v>
      </c>
      <c r="AB22" s="651">
        <v>0</v>
      </c>
      <c r="AC22" s="651">
        <v>0</v>
      </c>
      <c r="AD22" s="651">
        <v>0</v>
      </c>
      <c r="AE22" s="651">
        <v>0</v>
      </c>
      <c r="AF22" s="651" t="s">
        <v>547</v>
      </c>
      <c r="BER22" s="652"/>
      <c r="BEU22" s="652"/>
      <c r="BFC22" s="652"/>
      <c r="BFF22" s="652"/>
      <c r="BFN22" s="652"/>
      <c r="BFQ22" s="652"/>
      <c r="BFY22" s="652"/>
      <c r="BGB22" s="652"/>
      <c r="BGJ22" s="652"/>
      <c r="BGM22" s="652"/>
      <c r="BGU22" s="652"/>
      <c r="BGX22" s="652"/>
      <c r="BHF22" s="652"/>
      <c r="BHI22" s="652"/>
      <c r="BHQ22" s="652"/>
      <c r="BHT22" s="652"/>
      <c r="BIB22" s="652"/>
      <c r="BIE22" s="652"/>
      <c r="BIM22" s="652"/>
      <c r="BIP22" s="652"/>
      <c r="BIX22" s="652"/>
      <c r="BJA22" s="652"/>
      <c r="BJI22" s="652"/>
      <c r="BJL22" s="652"/>
      <c r="BJT22" s="652"/>
      <c r="BJW22" s="652"/>
      <c r="BKE22" s="652"/>
      <c r="BKH22" s="652"/>
      <c r="BKP22" s="652"/>
      <c r="BKS22" s="652"/>
      <c r="BLA22" s="652"/>
      <c r="BLD22" s="652"/>
      <c r="BLL22" s="652"/>
      <c r="BLO22" s="652"/>
      <c r="BLW22" s="652"/>
      <c r="BLZ22" s="652"/>
      <c r="BMH22" s="652"/>
      <c r="BMK22" s="652"/>
      <c r="BMS22" s="652"/>
      <c r="BMV22" s="652"/>
      <c r="BND22" s="652"/>
      <c r="BNG22" s="652"/>
      <c r="BNO22" s="652"/>
      <c r="BNR22" s="652"/>
      <c r="BNZ22" s="652"/>
      <c r="BOC22" s="652"/>
      <c r="BOK22" s="652"/>
      <c r="BON22" s="652"/>
      <c r="BOV22" s="652"/>
      <c r="BOY22" s="652"/>
      <c r="BPG22" s="652"/>
      <c r="BPJ22" s="652"/>
      <c r="BPR22" s="652"/>
      <c r="BPU22" s="652"/>
      <c r="BQC22" s="652"/>
      <c r="BQF22" s="652"/>
      <c r="BQN22" s="652"/>
      <c r="BQQ22" s="652"/>
      <c r="BQY22" s="652"/>
      <c r="BRB22" s="652"/>
      <c r="BRJ22" s="652"/>
      <c r="BRM22" s="652"/>
      <c r="BRU22" s="652"/>
      <c r="BRX22" s="652"/>
      <c r="BSF22" s="652"/>
      <c r="BSI22" s="652"/>
      <c r="BSQ22" s="652"/>
      <c r="BST22" s="652"/>
      <c r="BTB22" s="652"/>
      <c r="BTE22" s="652"/>
      <c r="BTM22" s="652"/>
      <c r="BTP22" s="652"/>
      <c r="BTX22" s="652"/>
      <c r="BUA22" s="652"/>
      <c r="BUI22" s="652"/>
      <c r="BUL22" s="652"/>
      <c r="BUT22" s="652"/>
      <c r="BUW22" s="652"/>
      <c r="BVE22" s="652"/>
      <c r="BVH22" s="652"/>
      <c r="BVP22" s="652"/>
      <c r="BVS22" s="652"/>
      <c r="BWA22" s="652"/>
      <c r="BWD22" s="652"/>
      <c r="BWL22" s="652"/>
      <c r="BWO22" s="652"/>
      <c r="BWW22" s="652"/>
      <c r="BWZ22" s="652"/>
      <c r="BXH22" s="652"/>
      <c r="BXK22" s="652"/>
      <c r="BXS22" s="652"/>
      <c r="BXV22" s="652"/>
      <c r="BYD22" s="652"/>
      <c r="BYG22" s="652"/>
      <c r="BYI22" s="652"/>
      <c r="BYL22" s="652"/>
      <c r="BYO22" s="652"/>
      <c r="BYR22" s="652"/>
      <c r="BYT22" s="652"/>
      <c r="BYW22" s="652"/>
      <c r="BZE22" s="652"/>
      <c r="BZH22" s="652"/>
      <c r="BZP22" s="652"/>
      <c r="BZS22" s="652"/>
      <c r="CAA22" s="652"/>
      <c r="CAD22" s="652"/>
      <c r="CAL22" s="652"/>
      <c r="CAO22" s="652"/>
      <c r="CAW22" s="652"/>
      <c r="CAZ22" s="652"/>
      <c r="CBH22" s="652"/>
      <c r="CBK22" s="652"/>
      <c r="CBS22" s="652"/>
      <c r="CBV22" s="652"/>
      <c r="CCD22" s="652"/>
      <c r="CCG22" s="652"/>
      <c r="CCO22" s="652"/>
      <c r="CCR22" s="652"/>
      <c r="CCZ22" s="652"/>
      <c r="CDC22" s="652"/>
      <c r="CDK22" s="652"/>
      <c r="CDN22" s="652"/>
      <c r="CDV22" s="652"/>
      <c r="CDY22" s="652"/>
      <c r="CEG22" s="652"/>
      <c r="CEJ22" s="652"/>
      <c r="CER22" s="652"/>
      <c r="CEU22" s="652"/>
      <c r="CFC22" s="652"/>
      <c r="CFF22" s="652"/>
      <c r="CFN22" s="652"/>
      <c r="CFQ22" s="652"/>
      <c r="CFY22" s="652"/>
      <c r="CGB22" s="652"/>
      <c r="CGJ22" s="652"/>
      <c r="CGM22" s="652"/>
      <c r="CGU22" s="652"/>
      <c r="CGX22" s="652"/>
      <c r="CHF22" s="652"/>
      <c r="CHI22" s="652"/>
      <c r="CHQ22" s="652"/>
      <c r="CHT22" s="652"/>
      <c r="CIB22" s="652"/>
      <c r="CIE22" s="652"/>
      <c r="CIM22" s="652"/>
      <c r="CIP22" s="652"/>
      <c r="CIX22" s="652"/>
      <c r="CJA22" s="652"/>
      <c r="CJI22" s="652"/>
      <c r="CJL22" s="652"/>
      <c r="CJT22" s="652"/>
      <c r="CKE22" s="652"/>
      <c r="CKP22" s="652"/>
      <c r="CLA22" s="652"/>
      <c r="CLL22" s="652"/>
      <c r="CLW22" s="652"/>
      <c r="CLZ22" s="652"/>
      <c r="CME22" s="652"/>
      <c r="CMH22" s="652"/>
      <c r="CMK22" s="652"/>
      <c r="CMP22" s="652"/>
      <c r="CMS22" s="652"/>
      <c r="CMX22" s="652"/>
      <c r="CNA22" s="652"/>
      <c r="CND22" s="652"/>
      <c r="CNI22" s="652"/>
      <c r="CNL22" s="652"/>
      <c r="CNT22" s="652"/>
      <c r="CNW22" s="652"/>
      <c r="COE22" s="652"/>
      <c r="COH22" s="652"/>
      <c r="COP22" s="652"/>
      <c r="COS22" s="652"/>
      <c r="CPA22" s="652"/>
      <c r="CPD22" s="652"/>
      <c r="CPL22" s="652"/>
      <c r="CPM22" s="652"/>
      <c r="CPP22" s="652"/>
      <c r="CPW22" s="652"/>
    </row>
    <row r="23" spans="1:32 1500:2047 2055:2467" x14ac:dyDescent="0.25">
      <c r="A23" s="650">
        <v>210</v>
      </c>
      <c r="B23" s="650" t="s">
        <v>251</v>
      </c>
      <c r="C23" s="650">
        <v>105750</v>
      </c>
      <c r="D23" s="657">
        <v>105750</v>
      </c>
      <c r="E23" s="657">
        <v>105750</v>
      </c>
      <c r="F23" s="657">
        <v>105850</v>
      </c>
      <c r="G23" s="657">
        <v>105850</v>
      </c>
      <c r="H23" s="657">
        <v>105850</v>
      </c>
      <c r="I23" s="657">
        <v>105950</v>
      </c>
      <c r="J23" s="657">
        <v>105850</v>
      </c>
      <c r="K23" s="657">
        <v>105850</v>
      </c>
      <c r="L23" s="657">
        <v>105850</v>
      </c>
      <c r="M23" s="657">
        <v>105950</v>
      </c>
      <c r="N23" s="657">
        <v>106050</v>
      </c>
      <c r="O23" s="657">
        <v>1270300</v>
      </c>
      <c r="P23" s="657">
        <v>0</v>
      </c>
      <c r="Q23" s="657">
        <v>0</v>
      </c>
      <c r="R23" s="657">
        <v>0</v>
      </c>
      <c r="S23" s="651">
        <v>0</v>
      </c>
      <c r="T23" s="651">
        <v>0</v>
      </c>
      <c r="U23" s="651">
        <v>0</v>
      </c>
      <c r="V23" s="651">
        <v>0</v>
      </c>
      <c r="W23" s="651">
        <v>0</v>
      </c>
      <c r="X23" s="651">
        <v>0</v>
      </c>
      <c r="Y23" s="651">
        <v>0</v>
      </c>
      <c r="Z23" s="651">
        <v>0</v>
      </c>
      <c r="AA23" s="651">
        <v>0</v>
      </c>
      <c r="AB23" s="651">
        <v>0</v>
      </c>
      <c r="AC23" s="651">
        <v>0</v>
      </c>
      <c r="AD23" s="651">
        <v>0</v>
      </c>
      <c r="AE23" s="651">
        <v>0</v>
      </c>
      <c r="AF23" s="651" t="s">
        <v>547</v>
      </c>
      <c r="BEU23" s="652"/>
      <c r="BFF23" s="652"/>
      <c r="BFQ23" s="652"/>
      <c r="BGB23" s="652"/>
      <c r="BGM23" s="652"/>
      <c r="BGX23" s="652"/>
      <c r="BHI23" s="652"/>
      <c r="BHT23" s="652"/>
      <c r="BIE23" s="652"/>
      <c r="BIP23" s="652"/>
      <c r="BJA23" s="652"/>
      <c r="BJL23" s="652"/>
      <c r="BJW23" s="652"/>
      <c r="BKH23" s="652"/>
      <c r="BKS23" s="652"/>
      <c r="BLD23" s="652"/>
      <c r="BLO23" s="652"/>
      <c r="BLZ23" s="652"/>
      <c r="BMK23" s="652"/>
      <c r="BMV23" s="652"/>
      <c r="BNG23" s="652"/>
      <c r="BNR23" s="652"/>
      <c r="BOC23" s="652"/>
      <c r="BON23" s="652"/>
      <c r="BOY23" s="652"/>
      <c r="BPJ23" s="652"/>
      <c r="BPU23" s="652"/>
      <c r="BQF23" s="652"/>
      <c r="BQQ23" s="652"/>
      <c r="BRB23" s="652"/>
      <c r="BRM23" s="652"/>
      <c r="BRX23" s="652"/>
      <c r="BSI23" s="652"/>
      <c r="BST23" s="652"/>
      <c r="BTE23" s="652"/>
      <c r="BTP23" s="652"/>
      <c r="BUA23" s="652"/>
      <c r="BUL23" s="652"/>
      <c r="BUW23" s="652"/>
      <c r="BVH23" s="652"/>
      <c r="BVS23" s="652"/>
      <c r="BWD23" s="652"/>
      <c r="BWO23" s="652"/>
      <c r="BWZ23" s="652"/>
      <c r="BXK23" s="652"/>
      <c r="BXV23" s="652"/>
      <c r="BYG23" s="652"/>
      <c r="BYL23" s="652"/>
      <c r="BYR23" s="652"/>
      <c r="BYW23" s="652"/>
      <c r="BZH23" s="652"/>
      <c r="BZS23" s="652"/>
      <c r="CAD23" s="652"/>
      <c r="CAO23" s="652"/>
      <c r="CAZ23" s="652"/>
      <c r="CBK23" s="652"/>
      <c r="CBV23" s="652"/>
      <c r="CCG23" s="652"/>
      <c r="CCR23" s="652"/>
      <c r="CDC23" s="652"/>
      <c r="CDN23" s="652"/>
      <c r="CDY23" s="652"/>
      <c r="CEJ23" s="652"/>
      <c r="CEU23" s="652"/>
      <c r="CFF23" s="652"/>
      <c r="CFQ23" s="652"/>
      <c r="CGB23" s="652"/>
      <c r="CGM23" s="652"/>
      <c r="CGX23" s="652"/>
      <c r="CHI23" s="652"/>
      <c r="CHT23" s="652"/>
      <c r="CIE23" s="652"/>
      <c r="CIP23" s="652"/>
      <c r="CLZ23" s="652"/>
      <c r="CMK23" s="652"/>
      <c r="CMS23" s="652"/>
      <c r="CND23" s="652"/>
      <c r="CNL23" s="652"/>
      <c r="CNW23" s="652"/>
      <c r="COH23" s="652"/>
      <c r="COS23" s="652"/>
      <c r="CPD23" s="652"/>
      <c r="CPM23" s="652"/>
      <c r="CPP23" s="652"/>
    </row>
    <row r="24" spans="1:32 1500:2047 2055:2467" x14ac:dyDescent="0.25">
      <c r="BEU24" s="652"/>
      <c r="BFF24" s="652"/>
      <c r="BFQ24" s="652"/>
      <c r="BGB24" s="652"/>
      <c r="BGM24" s="652"/>
      <c r="BGX24" s="652"/>
      <c r="BHI24" s="652"/>
      <c r="BHT24" s="652"/>
      <c r="BIE24" s="652"/>
      <c r="BIP24" s="652"/>
      <c r="BJA24" s="652"/>
      <c r="BJL24" s="652"/>
      <c r="BJW24" s="652"/>
      <c r="BKH24" s="652"/>
      <c r="BKS24" s="652"/>
      <c r="BLD24" s="652"/>
      <c r="BLO24" s="652"/>
      <c r="BLZ24" s="652"/>
      <c r="BMK24" s="652"/>
      <c r="BMV24" s="652"/>
      <c r="BNG24" s="652"/>
      <c r="BNR24" s="652"/>
      <c r="BOC24" s="652"/>
      <c r="BON24" s="652"/>
      <c r="BOY24" s="652"/>
      <c r="BPJ24" s="652"/>
      <c r="BPU24" s="652"/>
      <c r="BQF24" s="652"/>
      <c r="BQQ24" s="652"/>
      <c r="BRB24" s="652"/>
      <c r="BRM24" s="652"/>
      <c r="BRX24" s="652"/>
      <c r="BSI24" s="652"/>
      <c r="BST24" s="652"/>
      <c r="BTE24" s="652"/>
      <c r="BTP24" s="652"/>
      <c r="BUA24" s="652"/>
      <c r="BUL24" s="652"/>
      <c r="BUW24" s="652"/>
      <c r="BVH24" s="652"/>
      <c r="BVS24" s="652"/>
      <c r="BWD24" s="652"/>
      <c r="BWO24" s="652"/>
      <c r="BWZ24" s="652"/>
      <c r="BXK24" s="652"/>
      <c r="BXV24" s="652"/>
      <c r="BYG24" s="652"/>
      <c r="BYL24" s="652"/>
      <c r="BYR24" s="652"/>
      <c r="BYW24" s="652"/>
      <c r="BZH24" s="652"/>
      <c r="BZS24" s="652"/>
      <c r="CAD24" s="652"/>
      <c r="CAO24" s="652"/>
      <c r="CAZ24" s="652"/>
      <c r="CBK24" s="652"/>
      <c r="CBV24" s="652"/>
      <c r="CCG24" s="652"/>
      <c r="CCR24" s="652"/>
      <c r="CDC24" s="652"/>
      <c r="CDN24" s="652"/>
      <c r="CDY24" s="652"/>
      <c r="CEJ24" s="652"/>
      <c r="CEU24" s="652"/>
      <c r="CFF24" s="652"/>
      <c r="CFQ24" s="652"/>
      <c r="CGB24" s="652"/>
      <c r="CGM24" s="652"/>
      <c r="CGX24" s="652"/>
      <c r="CHI24" s="652"/>
      <c r="CHT24" s="652"/>
      <c r="CIE24" s="652"/>
      <c r="CIP24" s="652"/>
      <c r="CLZ24" s="652"/>
      <c r="CMK24" s="652"/>
      <c r="CMS24" s="652"/>
      <c r="CND24" s="652"/>
      <c r="CNL24" s="652"/>
      <c r="CNW24" s="652"/>
      <c r="COH24" s="652"/>
      <c r="COS24" s="652"/>
      <c r="CPD24" s="652"/>
      <c r="CPM24" s="652"/>
      <c r="CPP24" s="652"/>
    </row>
    <row r="25" spans="1:32 1500:2047 2055:2467" x14ac:dyDescent="0.25">
      <c r="BEU25" s="652"/>
      <c r="BFF25" s="652"/>
      <c r="BFQ25" s="652"/>
      <c r="BGB25" s="652"/>
      <c r="BGM25" s="652"/>
      <c r="BGX25" s="652"/>
      <c r="BHI25" s="652"/>
      <c r="BHT25" s="652"/>
      <c r="BIE25" s="652"/>
      <c r="BIP25" s="652"/>
      <c r="BJA25" s="652"/>
      <c r="BJL25" s="652"/>
      <c r="BJW25" s="652"/>
      <c r="BKH25" s="652"/>
      <c r="BKS25" s="652"/>
      <c r="BLD25" s="652"/>
      <c r="BLO25" s="652"/>
      <c r="BLZ25" s="652"/>
      <c r="BMK25" s="652"/>
      <c r="BMV25" s="652"/>
      <c r="BNG25" s="652"/>
      <c r="BNR25" s="652"/>
      <c r="BOC25" s="652"/>
      <c r="BON25" s="652"/>
      <c r="BOY25" s="652"/>
      <c r="BPJ25" s="652"/>
      <c r="BPU25" s="652"/>
      <c r="BQF25" s="652"/>
      <c r="BQQ25" s="652"/>
      <c r="BRB25" s="652"/>
      <c r="BRM25" s="652"/>
      <c r="BRX25" s="652"/>
      <c r="BSI25" s="652"/>
      <c r="BST25" s="652"/>
      <c r="BTE25" s="652"/>
      <c r="BTP25" s="652"/>
      <c r="BUA25" s="652"/>
      <c r="BUL25" s="652"/>
      <c r="BUW25" s="652"/>
      <c r="BVH25" s="652"/>
      <c r="BVS25" s="652"/>
      <c r="BWD25" s="652"/>
      <c r="BWO25" s="652"/>
      <c r="BWZ25" s="652"/>
      <c r="BXK25" s="652"/>
      <c r="BXV25" s="652"/>
      <c r="BYG25" s="652"/>
      <c r="BYL25" s="652"/>
      <c r="BYR25" s="652"/>
      <c r="BYW25" s="652"/>
      <c r="BZH25" s="652"/>
      <c r="BZS25" s="652"/>
      <c r="CAD25" s="652"/>
      <c r="CAO25" s="652"/>
      <c r="CAZ25" s="652"/>
      <c r="CBK25" s="652"/>
      <c r="CBV25" s="652"/>
      <c r="CCG25" s="652"/>
      <c r="CCR25" s="652"/>
      <c r="CDC25" s="652"/>
      <c r="CDN25" s="652"/>
      <c r="CDY25" s="652"/>
      <c r="CEJ25" s="652"/>
      <c r="CEU25" s="652"/>
      <c r="CFF25" s="652"/>
      <c r="CFQ25" s="652"/>
      <c r="CGB25" s="652"/>
      <c r="CGM25" s="652"/>
      <c r="CGX25" s="652"/>
      <c r="CHI25" s="652"/>
      <c r="CHT25" s="652"/>
      <c r="CIE25" s="652"/>
      <c r="CIP25" s="652"/>
      <c r="CLZ25" s="652"/>
      <c r="CMK25" s="652"/>
      <c r="CMS25" s="652"/>
      <c r="CND25" s="652"/>
      <c r="CNL25" s="652"/>
      <c r="CNW25" s="652"/>
      <c r="COH25" s="652"/>
      <c r="COS25" s="652"/>
      <c r="CPD25" s="652"/>
      <c r="CPM25" s="652"/>
      <c r="CPP25" s="652"/>
    </row>
    <row r="26" spans="1:32 1500:2047 2055:2467" x14ac:dyDescent="0.25">
      <c r="BEU26" s="652"/>
      <c r="BFF26" s="652"/>
      <c r="BFQ26" s="652"/>
      <c r="BGB26" s="652"/>
      <c r="BGM26" s="652"/>
      <c r="BGX26" s="652"/>
      <c r="BHI26" s="652"/>
      <c r="BHT26" s="652"/>
      <c r="BIE26" s="652"/>
      <c r="BIP26" s="652"/>
      <c r="BJA26" s="652"/>
      <c r="BJL26" s="652"/>
      <c r="BJW26" s="652"/>
      <c r="BKH26" s="652"/>
      <c r="BKS26" s="652"/>
      <c r="BLD26" s="652"/>
      <c r="BLO26" s="652"/>
      <c r="BLZ26" s="652"/>
      <c r="BMK26" s="652"/>
      <c r="BMV26" s="652"/>
      <c r="BNG26" s="652"/>
      <c r="BNR26" s="652"/>
      <c r="BOC26" s="652"/>
      <c r="BON26" s="652"/>
      <c r="BOY26" s="652"/>
      <c r="BPJ26" s="652"/>
      <c r="BPU26" s="652"/>
      <c r="BQF26" s="652"/>
      <c r="BQQ26" s="652"/>
      <c r="BRB26" s="652"/>
      <c r="BRM26" s="652"/>
      <c r="BRX26" s="652"/>
      <c r="BSI26" s="652"/>
      <c r="BST26" s="652"/>
      <c r="BTE26" s="652"/>
      <c r="BTP26" s="652"/>
      <c r="BUA26" s="652"/>
      <c r="BUL26" s="652"/>
      <c r="BUW26" s="652"/>
      <c r="BVH26" s="652"/>
      <c r="BVS26" s="652"/>
      <c r="BWD26" s="652"/>
      <c r="BWO26" s="652"/>
      <c r="BWZ26" s="652"/>
      <c r="BXK26" s="652"/>
      <c r="BXV26" s="652"/>
      <c r="BYG26" s="652"/>
      <c r="BYL26" s="652"/>
      <c r="BYR26" s="652"/>
      <c r="BYW26" s="652"/>
      <c r="BZH26" s="652"/>
      <c r="BZS26" s="652"/>
      <c r="CAD26" s="652"/>
      <c r="CAO26" s="652"/>
      <c r="CAZ26" s="652"/>
      <c r="CBK26" s="652"/>
      <c r="CBV26" s="652"/>
      <c r="CCG26" s="652"/>
      <c r="CCR26" s="652"/>
      <c r="CDC26" s="652"/>
      <c r="CDN26" s="652"/>
      <c r="CDY26" s="652"/>
      <c r="CEJ26" s="652"/>
      <c r="CEU26" s="652"/>
      <c r="CFF26" s="652"/>
      <c r="CFQ26" s="652"/>
      <c r="CGB26" s="652"/>
      <c r="CGM26" s="652"/>
      <c r="CGX26" s="652"/>
      <c r="CHI26" s="652"/>
      <c r="CHT26" s="652"/>
      <c r="CIE26" s="652"/>
      <c r="CIP26" s="652"/>
      <c r="CLZ26" s="652"/>
      <c r="CMK26" s="652"/>
      <c r="CMS26" s="652"/>
      <c r="CND26" s="652"/>
      <c r="CNL26" s="652"/>
      <c r="CNW26" s="652"/>
      <c r="COH26" s="652"/>
      <c r="COS26" s="652"/>
      <c r="CPD26" s="652"/>
      <c r="CPM26" s="652"/>
      <c r="CPP26" s="652"/>
    </row>
    <row r="27" spans="1:32 1500:2047 2055:2467" x14ac:dyDescent="0.25">
      <c r="BEU27" s="652"/>
      <c r="BFF27" s="652"/>
      <c r="BFQ27" s="652"/>
      <c r="BGB27" s="652"/>
      <c r="BGM27" s="652"/>
      <c r="BGX27" s="652"/>
      <c r="BHI27" s="652"/>
      <c r="BHT27" s="652"/>
      <c r="BIE27" s="652"/>
      <c r="BIP27" s="652"/>
      <c r="BJA27" s="652"/>
      <c r="BJL27" s="652"/>
      <c r="BJW27" s="652"/>
      <c r="BKH27" s="652"/>
      <c r="BKS27" s="652"/>
      <c r="BLD27" s="652"/>
      <c r="BLO27" s="652"/>
      <c r="BLZ27" s="652"/>
      <c r="BMK27" s="652"/>
      <c r="BMV27" s="652"/>
      <c r="BNG27" s="652"/>
      <c r="BNR27" s="652"/>
      <c r="BOC27" s="652"/>
      <c r="BON27" s="652"/>
      <c r="BOY27" s="652"/>
      <c r="BPJ27" s="652"/>
      <c r="BPU27" s="652"/>
      <c r="BQF27" s="652"/>
      <c r="BQQ27" s="652"/>
      <c r="BRB27" s="652"/>
      <c r="BRM27" s="652"/>
      <c r="BRX27" s="652"/>
      <c r="BSI27" s="652"/>
      <c r="BST27" s="652"/>
      <c r="BTE27" s="652"/>
      <c r="BTP27" s="652"/>
      <c r="BUA27" s="652"/>
      <c r="BUL27" s="652"/>
      <c r="BUW27" s="652"/>
      <c r="BVH27" s="652"/>
      <c r="BVS27" s="652"/>
      <c r="BWD27" s="652"/>
      <c r="BWO27" s="652"/>
      <c r="BWZ27" s="652"/>
      <c r="BXK27" s="652"/>
      <c r="BXV27" s="652"/>
      <c r="BYG27" s="652"/>
      <c r="BYL27" s="652"/>
      <c r="BYR27" s="652"/>
      <c r="BYW27" s="652"/>
      <c r="BZH27" s="652"/>
      <c r="BZS27" s="652"/>
      <c r="CAD27" s="652"/>
      <c r="CAO27" s="652"/>
      <c r="CAZ27" s="652"/>
      <c r="CBK27" s="652"/>
      <c r="CBV27" s="652"/>
      <c r="CCG27" s="652"/>
      <c r="CCR27" s="652"/>
      <c r="CDC27" s="652"/>
      <c r="CDN27" s="652"/>
      <c r="CDY27" s="652"/>
      <c r="CEJ27" s="652"/>
      <c r="CEU27" s="652"/>
      <c r="CFF27" s="652"/>
      <c r="CFQ27" s="652"/>
      <c r="CGB27" s="652"/>
      <c r="CGM27" s="652"/>
      <c r="CGX27" s="652"/>
      <c r="CHI27" s="652"/>
      <c r="CHT27" s="652"/>
      <c r="CIE27" s="652"/>
      <c r="CIP27" s="652"/>
      <c r="CLZ27" s="652"/>
      <c r="CMK27" s="652"/>
      <c r="CMS27" s="652"/>
      <c r="CND27" s="652"/>
      <c r="CNL27" s="652"/>
      <c r="CNW27" s="652"/>
      <c r="COH27" s="652"/>
      <c r="COS27" s="652"/>
      <c r="CPD27" s="652"/>
      <c r="CPM27" s="652"/>
      <c r="CPP27" s="652"/>
    </row>
    <row r="28" spans="1:32 1500:2047 2055:2467" x14ac:dyDescent="0.25">
      <c r="BEU28" s="652"/>
      <c r="BFF28" s="652"/>
      <c r="BFQ28" s="652"/>
      <c r="BGB28" s="652"/>
      <c r="BGM28" s="652"/>
      <c r="BGX28" s="652"/>
      <c r="BHI28" s="652"/>
      <c r="BHT28" s="652"/>
      <c r="BIE28" s="652"/>
      <c r="BIP28" s="652"/>
      <c r="BJA28" s="652"/>
      <c r="BJL28" s="652"/>
      <c r="BJW28" s="652"/>
      <c r="BKH28" s="652"/>
      <c r="BKS28" s="652"/>
      <c r="BLD28" s="652"/>
      <c r="BLO28" s="652"/>
      <c r="BLZ28" s="652"/>
      <c r="BMK28" s="652"/>
      <c r="BMV28" s="652"/>
      <c r="BNG28" s="652"/>
      <c r="BNR28" s="652"/>
      <c r="BOC28" s="652"/>
      <c r="BON28" s="652"/>
      <c r="BOY28" s="652"/>
      <c r="BPJ28" s="652"/>
      <c r="BPU28" s="652"/>
      <c r="BQF28" s="652"/>
      <c r="BQQ28" s="652"/>
      <c r="BRB28" s="652"/>
      <c r="BRM28" s="652"/>
      <c r="BRX28" s="652"/>
      <c r="BSI28" s="652"/>
      <c r="BST28" s="652"/>
      <c r="BTE28" s="652"/>
      <c r="BTP28" s="652"/>
      <c r="BUA28" s="652"/>
      <c r="BUL28" s="652"/>
      <c r="BUW28" s="652"/>
      <c r="BVH28" s="652"/>
      <c r="BVS28" s="652"/>
      <c r="BWD28" s="652"/>
      <c r="BWO28" s="652"/>
      <c r="BWZ28" s="652"/>
      <c r="BXK28" s="652"/>
      <c r="BXV28" s="652"/>
      <c r="BYG28" s="652"/>
      <c r="BYL28" s="652"/>
      <c r="BYR28" s="652"/>
      <c r="BYW28" s="652"/>
      <c r="BZH28" s="652"/>
      <c r="BZS28" s="652"/>
      <c r="CAD28" s="652"/>
      <c r="CAO28" s="652"/>
      <c r="CAZ28" s="652"/>
      <c r="CBK28" s="652"/>
      <c r="CBV28" s="652"/>
      <c r="CCG28" s="652"/>
      <c r="CCR28" s="652"/>
      <c r="CDC28" s="652"/>
      <c r="CDN28" s="652"/>
      <c r="CDY28" s="652"/>
      <c r="CEJ28" s="652"/>
      <c r="CEU28" s="652"/>
      <c r="CFF28" s="652"/>
      <c r="CFQ28" s="652"/>
      <c r="CGB28" s="652"/>
      <c r="CGM28" s="652"/>
      <c r="CGX28" s="652"/>
      <c r="CHI28" s="652"/>
      <c r="CHT28" s="652"/>
      <c r="CIE28" s="652"/>
      <c r="CIP28" s="652"/>
      <c r="CLZ28" s="652"/>
      <c r="CMK28" s="652"/>
      <c r="CMS28" s="652"/>
      <c r="CND28" s="652"/>
      <c r="CNL28" s="652"/>
      <c r="CNW28" s="652"/>
      <c r="COH28" s="652"/>
      <c r="COS28" s="652"/>
      <c r="CPD28" s="652"/>
      <c r="CPM28" s="652"/>
      <c r="CPP28" s="652"/>
    </row>
    <row r="29" spans="1:32 1500:2047 2055:2467" x14ac:dyDescent="0.25">
      <c r="BEU29" s="652"/>
      <c r="BFF29" s="652"/>
      <c r="BFQ29" s="652"/>
      <c r="BGB29" s="652"/>
      <c r="BGM29" s="652"/>
      <c r="BGX29" s="652"/>
      <c r="BHI29" s="652"/>
      <c r="BHT29" s="652"/>
      <c r="BIE29" s="652"/>
      <c r="BIP29" s="652"/>
      <c r="BJA29" s="652"/>
      <c r="BJL29" s="652"/>
      <c r="BJW29" s="652"/>
      <c r="BKH29" s="652"/>
      <c r="BKS29" s="652"/>
      <c r="BLD29" s="652"/>
      <c r="BLO29" s="652"/>
      <c r="BLZ29" s="652"/>
      <c r="BMK29" s="652"/>
      <c r="BMV29" s="652"/>
      <c r="BNG29" s="652"/>
      <c r="BNR29" s="652"/>
      <c r="BOC29" s="652"/>
      <c r="BON29" s="652"/>
      <c r="BOY29" s="652"/>
      <c r="BPJ29" s="652"/>
      <c r="BPU29" s="652"/>
      <c r="BQF29" s="652"/>
      <c r="BQQ29" s="652"/>
      <c r="BRB29" s="652"/>
      <c r="BRM29" s="652"/>
      <c r="BRX29" s="652"/>
      <c r="BSI29" s="652"/>
      <c r="BST29" s="652"/>
      <c r="BTE29" s="652"/>
      <c r="BTP29" s="652"/>
      <c r="BUA29" s="652"/>
      <c r="BUL29" s="652"/>
      <c r="BUW29" s="652"/>
      <c r="BVH29" s="652"/>
      <c r="BVS29" s="652"/>
      <c r="BWD29" s="652"/>
      <c r="BWO29" s="652"/>
      <c r="BWZ29" s="652"/>
      <c r="BXK29" s="652"/>
      <c r="BXV29" s="652"/>
      <c r="BYG29" s="652"/>
      <c r="BYL29" s="652"/>
      <c r="BYR29" s="652"/>
      <c r="BYW29" s="652"/>
      <c r="BZH29" s="652"/>
      <c r="BZS29" s="652"/>
      <c r="CAD29" s="652"/>
      <c r="CAO29" s="652"/>
      <c r="CAZ29" s="652"/>
      <c r="CBK29" s="652"/>
      <c r="CBV29" s="652"/>
      <c r="CCG29" s="652"/>
      <c r="CCR29" s="652"/>
      <c r="CDC29" s="652"/>
      <c r="CDN29" s="652"/>
      <c r="CDY29" s="652"/>
      <c r="CEJ29" s="652"/>
      <c r="CEU29" s="652"/>
      <c r="CFF29" s="652"/>
      <c r="CFQ29" s="652"/>
      <c r="CGB29" s="652"/>
      <c r="CGM29" s="652"/>
      <c r="CGX29" s="652"/>
      <c r="CHI29" s="652"/>
      <c r="CHT29" s="652"/>
      <c r="CIE29" s="652"/>
      <c r="CIP29" s="652"/>
      <c r="CLZ29" s="652"/>
      <c r="CMK29" s="652"/>
      <c r="CMS29" s="652"/>
      <c r="CND29" s="652"/>
      <c r="CNL29" s="652"/>
      <c r="CNW29" s="652"/>
      <c r="COH29" s="652"/>
      <c r="COS29" s="652"/>
      <c r="CPD29" s="652"/>
      <c r="CPM29" s="652"/>
      <c r="CPP29" s="652"/>
    </row>
    <row r="30" spans="1:32 1500:2047 2055:2467" x14ac:dyDescent="0.25">
      <c r="BEU30" s="652"/>
      <c r="BFF30" s="652"/>
      <c r="BFQ30" s="652"/>
      <c r="BGB30" s="652"/>
      <c r="BGM30" s="652"/>
      <c r="BGX30" s="652"/>
      <c r="BHI30" s="652"/>
      <c r="BHT30" s="652"/>
      <c r="BIE30" s="652"/>
      <c r="BIP30" s="652"/>
      <c r="BJA30" s="652"/>
      <c r="BJL30" s="652"/>
      <c r="BJW30" s="652"/>
      <c r="BKH30" s="652"/>
      <c r="BKS30" s="652"/>
      <c r="BLD30" s="652"/>
      <c r="BLO30" s="652"/>
      <c r="BLZ30" s="652"/>
      <c r="BMK30" s="652"/>
      <c r="BMV30" s="652"/>
      <c r="BNG30" s="652"/>
      <c r="BNR30" s="652"/>
      <c r="BOC30" s="652"/>
      <c r="BON30" s="652"/>
      <c r="BOY30" s="652"/>
      <c r="BPJ30" s="652"/>
      <c r="BPU30" s="652"/>
      <c r="BQF30" s="652"/>
      <c r="BQQ30" s="652"/>
      <c r="BRB30" s="652"/>
      <c r="BRM30" s="652"/>
      <c r="BRX30" s="652"/>
      <c r="BSI30" s="652"/>
      <c r="BST30" s="652"/>
      <c r="BTE30" s="652"/>
      <c r="BTP30" s="652"/>
      <c r="BUA30" s="652"/>
      <c r="BUL30" s="652"/>
      <c r="BUW30" s="652"/>
      <c r="BVH30" s="652"/>
      <c r="BVS30" s="652"/>
      <c r="BWD30" s="652"/>
      <c r="BWO30" s="652"/>
      <c r="BWZ30" s="652"/>
      <c r="BXK30" s="652"/>
      <c r="BXV30" s="652"/>
      <c r="BYG30" s="652"/>
      <c r="BYL30" s="652"/>
      <c r="BYR30" s="652"/>
      <c r="BYW30" s="652"/>
      <c r="BZH30" s="652"/>
      <c r="BZS30" s="652"/>
      <c r="CAD30" s="652"/>
      <c r="CAO30" s="652"/>
      <c r="CAZ30" s="652"/>
      <c r="CBK30" s="652"/>
      <c r="CBV30" s="652"/>
      <c r="CCG30" s="652"/>
      <c r="CCR30" s="652"/>
      <c r="CDC30" s="652"/>
      <c r="CDN30" s="652"/>
      <c r="CDY30" s="652"/>
      <c r="CEJ30" s="652"/>
      <c r="CEU30" s="652"/>
      <c r="CFF30" s="652"/>
      <c r="CFQ30" s="652"/>
      <c r="CGB30" s="652"/>
      <c r="CGM30" s="652"/>
      <c r="CGX30" s="652"/>
      <c r="CHI30" s="652"/>
      <c r="CHT30" s="652"/>
      <c r="CIE30" s="652"/>
      <c r="CIP30" s="652"/>
      <c r="CLZ30" s="652"/>
      <c r="CMK30" s="652"/>
      <c r="CMS30" s="652"/>
      <c r="CND30" s="652"/>
      <c r="CNL30" s="652"/>
      <c r="CNW30" s="652"/>
      <c r="COH30" s="652"/>
      <c r="COS30" s="652"/>
      <c r="CPD30" s="652"/>
      <c r="CPM30" s="652"/>
      <c r="CPP30" s="652"/>
    </row>
    <row r="31" spans="1:32 1500:2047 2055:2467" x14ac:dyDescent="0.25">
      <c r="BEU31" s="652"/>
      <c r="BFF31" s="652"/>
      <c r="BFQ31" s="652"/>
      <c r="BGB31" s="652"/>
      <c r="BGM31" s="652"/>
      <c r="BGX31" s="652"/>
      <c r="BHI31" s="652"/>
      <c r="BHT31" s="652"/>
      <c r="BIE31" s="652"/>
      <c r="BIP31" s="652"/>
      <c r="BJA31" s="652"/>
      <c r="BJL31" s="652"/>
      <c r="BJW31" s="652"/>
      <c r="BKH31" s="652"/>
      <c r="BKS31" s="652"/>
      <c r="BLD31" s="652"/>
      <c r="BLO31" s="652"/>
      <c r="BLZ31" s="652"/>
      <c r="BMK31" s="652"/>
      <c r="BMV31" s="652"/>
      <c r="BNG31" s="652"/>
      <c r="BNR31" s="652"/>
      <c r="BOC31" s="652"/>
      <c r="BON31" s="652"/>
      <c r="BOY31" s="652"/>
      <c r="BPJ31" s="652"/>
      <c r="BPU31" s="652"/>
      <c r="BQF31" s="652"/>
      <c r="BQQ31" s="652"/>
      <c r="BRB31" s="652"/>
      <c r="BRM31" s="652"/>
      <c r="BRX31" s="652"/>
      <c r="BSI31" s="652"/>
      <c r="BST31" s="652"/>
      <c r="BTE31" s="652"/>
      <c r="BTP31" s="652"/>
      <c r="BUA31" s="652"/>
      <c r="BUL31" s="652"/>
      <c r="BUW31" s="652"/>
      <c r="BVH31" s="652"/>
      <c r="BVS31" s="652"/>
      <c r="BWD31" s="652"/>
      <c r="BWO31" s="652"/>
      <c r="BWZ31" s="652"/>
      <c r="BXK31" s="652"/>
      <c r="BXV31" s="652"/>
      <c r="BYG31" s="652"/>
      <c r="BYL31" s="652"/>
      <c r="BYR31" s="652"/>
      <c r="BYW31" s="652"/>
      <c r="BZH31" s="652"/>
      <c r="BZS31" s="652"/>
      <c r="CAD31" s="652"/>
      <c r="CAO31" s="652"/>
      <c r="CAZ31" s="652"/>
      <c r="CBK31" s="652"/>
      <c r="CBV31" s="652"/>
      <c r="CCG31" s="652"/>
      <c r="CCR31" s="652"/>
      <c r="CDC31" s="652"/>
      <c r="CDN31" s="652"/>
      <c r="CDY31" s="652"/>
      <c r="CEJ31" s="652"/>
      <c r="CEU31" s="652"/>
      <c r="CFF31" s="652"/>
      <c r="CFQ31" s="652"/>
      <c r="CGB31" s="652"/>
      <c r="CGM31" s="652"/>
      <c r="CGX31" s="652"/>
      <c r="CHI31" s="652"/>
      <c r="CHT31" s="652"/>
      <c r="CIE31" s="652"/>
      <c r="CIP31" s="652"/>
      <c r="CLZ31" s="652"/>
      <c r="CMK31" s="652"/>
      <c r="CMS31" s="652"/>
      <c r="CND31" s="652"/>
      <c r="CNL31" s="652"/>
      <c r="CNW31" s="652"/>
      <c r="COH31" s="652"/>
      <c r="COS31" s="652"/>
      <c r="CPD31" s="652"/>
      <c r="CPM31" s="652"/>
      <c r="CPP31" s="652"/>
    </row>
    <row r="32" spans="1:32 1500:2047 2055:2467" x14ac:dyDescent="0.25">
      <c r="BEU32" s="652"/>
      <c r="BFF32" s="652"/>
      <c r="BFQ32" s="652"/>
      <c r="BGB32" s="652"/>
      <c r="BGM32" s="652"/>
      <c r="BGX32" s="652"/>
      <c r="BHI32" s="652"/>
      <c r="BHT32" s="652"/>
      <c r="BIE32" s="652"/>
      <c r="BIP32" s="652"/>
      <c r="BJA32" s="652"/>
      <c r="BJL32" s="652"/>
      <c r="BJW32" s="652"/>
      <c r="BKH32" s="652"/>
      <c r="BKS32" s="652"/>
      <c r="BLD32" s="652"/>
      <c r="BLO32" s="652"/>
      <c r="BLZ32" s="652"/>
      <c r="BMK32" s="652"/>
      <c r="BMV32" s="652"/>
      <c r="BNG32" s="652"/>
      <c r="BNR32" s="652"/>
      <c r="BOC32" s="652"/>
      <c r="BON32" s="652"/>
      <c r="BOY32" s="652"/>
      <c r="BPJ32" s="652"/>
      <c r="BPU32" s="652"/>
      <c r="BQF32" s="652"/>
      <c r="BQQ32" s="652"/>
      <c r="BRB32" s="652"/>
      <c r="BRM32" s="652"/>
      <c r="BRX32" s="652"/>
      <c r="BSI32" s="652"/>
      <c r="BST32" s="652"/>
      <c r="BTE32" s="652"/>
      <c r="BTP32" s="652"/>
      <c r="BUA32" s="652"/>
      <c r="BUL32" s="652"/>
      <c r="BUW32" s="652"/>
      <c r="BVH32" s="652"/>
      <c r="BVS32" s="652"/>
      <c r="BWD32" s="652"/>
      <c r="BWO32" s="652"/>
      <c r="BWZ32" s="652"/>
      <c r="BXK32" s="652"/>
      <c r="BXV32" s="652"/>
      <c r="BYG32" s="652"/>
      <c r="BYL32" s="652"/>
      <c r="BYR32" s="652"/>
      <c r="BYW32" s="652"/>
      <c r="BZH32" s="652"/>
      <c r="BZS32" s="652"/>
      <c r="CAD32" s="652"/>
      <c r="CAO32" s="652"/>
      <c r="CAZ32" s="652"/>
      <c r="CBK32" s="652"/>
      <c r="CBV32" s="652"/>
      <c r="CCG32" s="652"/>
      <c r="CCR32" s="652"/>
      <c r="CDC32" s="652"/>
      <c r="CDN32" s="652"/>
      <c r="CDY32" s="652"/>
      <c r="CEJ32" s="652"/>
      <c r="CEU32" s="652"/>
      <c r="CFF32" s="652"/>
      <c r="CFQ32" s="652"/>
      <c r="CGB32" s="652"/>
      <c r="CGM32" s="652"/>
      <c r="CGX32" s="652"/>
      <c r="CHI32" s="652"/>
      <c r="CHT32" s="652"/>
      <c r="CIE32" s="652"/>
      <c r="CIP32" s="652"/>
      <c r="CLZ32" s="652"/>
      <c r="CMK32" s="652"/>
      <c r="CMS32" s="652"/>
      <c r="CND32" s="652"/>
      <c r="CNL32" s="652"/>
      <c r="CNW32" s="652"/>
      <c r="COH32" s="652"/>
      <c r="COS32" s="652"/>
      <c r="CPD32" s="652"/>
      <c r="CPM32" s="652"/>
      <c r="CPP32" s="652"/>
    </row>
    <row r="33" spans="1503:2047 2058:2460" x14ac:dyDescent="0.25">
      <c r="BEU33" s="652"/>
      <c r="BFF33" s="652"/>
      <c r="BFQ33" s="652"/>
      <c r="BGB33" s="652"/>
      <c r="BGM33" s="652"/>
      <c r="BGX33" s="652"/>
      <c r="BHI33" s="652"/>
      <c r="BHT33" s="652"/>
      <c r="BIE33" s="652"/>
      <c r="BIP33" s="652"/>
      <c r="BJA33" s="652"/>
      <c r="BJL33" s="652"/>
      <c r="BJW33" s="652"/>
      <c r="BKH33" s="652"/>
      <c r="BKS33" s="652"/>
      <c r="BLD33" s="652"/>
      <c r="BLO33" s="652"/>
      <c r="BLZ33" s="652"/>
      <c r="BMK33" s="652"/>
      <c r="BMV33" s="652"/>
      <c r="BNG33" s="652"/>
      <c r="BNR33" s="652"/>
      <c r="BOC33" s="652"/>
      <c r="BON33" s="652"/>
      <c r="BOY33" s="652"/>
      <c r="BPJ33" s="652"/>
      <c r="BPU33" s="652"/>
      <c r="BQF33" s="652"/>
      <c r="BQQ33" s="652"/>
      <c r="BRB33" s="652"/>
      <c r="BRM33" s="652"/>
      <c r="BRX33" s="652"/>
      <c r="BSI33" s="652"/>
      <c r="BST33" s="652"/>
      <c r="BTE33" s="652"/>
      <c r="BTP33" s="652"/>
      <c r="BUA33" s="652"/>
      <c r="BUL33" s="652"/>
      <c r="BUW33" s="652"/>
      <c r="BVH33" s="652"/>
      <c r="BVS33" s="652"/>
      <c r="BWD33" s="652"/>
      <c r="BWO33" s="652"/>
      <c r="BWZ33" s="652"/>
      <c r="BXK33" s="652"/>
      <c r="BXV33" s="652"/>
      <c r="BYG33" s="652"/>
      <c r="BYL33" s="652"/>
      <c r="BYR33" s="652"/>
      <c r="BYW33" s="652"/>
      <c r="BZH33" s="652"/>
      <c r="BZS33" s="652"/>
      <c r="CAD33" s="652"/>
      <c r="CAO33" s="652"/>
      <c r="CAZ33" s="652"/>
      <c r="CBK33" s="652"/>
      <c r="CBV33" s="652"/>
      <c r="CCG33" s="652"/>
      <c r="CCR33" s="652"/>
      <c r="CDC33" s="652"/>
      <c r="CDN33" s="652"/>
      <c r="CDY33" s="652"/>
      <c r="CEJ33" s="652"/>
      <c r="CEU33" s="652"/>
      <c r="CFF33" s="652"/>
      <c r="CFQ33" s="652"/>
      <c r="CGB33" s="652"/>
      <c r="CGM33" s="652"/>
      <c r="CGX33" s="652"/>
      <c r="CHI33" s="652"/>
      <c r="CHT33" s="652"/>
      <c r="CIE33" s="652"/>
      <c r="CIP33" s="652"/>
      <c r="CLZ33" s="652"/>
      <c r="CMK33" s="652"/>
      <c r="CMS33" s="652"/>
      <c r="CND33" s="652"/>
      <c r="CNL33" s="652"/>
      <c r="CNW33" s="652"/>
      <c r="COH33" s="652"/>
      <c r="COS33" s="652"/>
      <c r="CPD33" s="652"/>
      <c r="CPM33" s="652"/>
      <c r="CPP33" s="652"/>
    </row>
    <row r="34" spans="1503:2047 2058:2460" x14ac:dyDescent="0.25">
      <c r="BEU34" s="652"/>
      <c r="BFF34" s="652"/>
      <c r="BFQ34" s="652"/>
      <c r="BGB34" s="652"/>
      <c r="BGM34" s="652"/>
      <c r="BGX34" s="652"/>
      <c r="BHI34" s="652"/>
      <c r="BHT34" s="652"/>
      <c r="BIE34" s="652"/>
      <c r="BIP34" s="652"/>
      <c r="BJA34" s="652"/>
      <c r="BJL34" s="652"/>
      <c r="BJW34" s="652"/>
      <c r="BKH34" s="652"/>
      <c r="BKS34" s="652"/>
      <c r="BLD34" s="652"/>
      <c r="BLO34" s="652"/>
      <c r="BLZ34" s="652"/>
      <c r="BMK34" s="652"/>
      <c r="BMV34" s="652"/>
      <c r="BNG34" s="652"/>
      <c r="BNR34" s="652"/>
      <c r="BOC34" s="652"/>
      <c r="BON34" s="652"/>
      <c r="BOY34" s="652"/>
      <c r="BPJ34" s="652"/>
      <c r="BPU34" s="652"/>
      <c r="BQF34" s="652"/>
      <c r="BQQ34" s="652"/>
      <c r="BRB34" s="652"/>
      <c r="BRM34" s="652"/>
      <c r="BRX34" s="652"/>
      <c r="BSI34" s="652"/>
      <c r="BST34" s="652"/>
      <c r="BTE34" s="652"/>
      <c r="BTP34" s="652"/>
      <c r="BUA34" s="652"/>
      <c r="BUL34" s="652"/>
      <c r="BUW34" s="652"/>
      <c r="BVH34" s="652"/>
      <c r="BVS34" s="652"/>
      <c r="BWD34" s="652"/>
      <c r="BWO34" s="652"/>
      <c r="BWZ34" s="652"/>
      <c r="BXK34" s="652"/>
      <c r="BXV34" s="652"/>
      <c r="BYG34" s="652"/>
      <c r="BYL34" s="652"/>
      <c r="BYR34" s="652"/>
      <c r="BYW34" s="652"/>
      <c r="BZH34" s="652"/>
      <c r="BZS34" s="652"/>
      <c r="CAD34" s="652"/>
      <c r="CAO34" s="652"/>
      <c r="CAZ34" s="652"/>
      <c r="CBK34" s="652"/>
      <c r="CBV34" s="652"/>
      <c r="CCG34" s="652"/>
      <c r="CCR34" s="652"/>
      <c r="CDC34" s="652"/>
      <c r="CDN34" s="652"/>
      <c r="CDY34" s="652"/>
      <c r="CEJ34" s="652"/>
      <c r="CEU34" s="652"/>
      <c r="CFF34" s="652"/>
      <c r="CFQ34" s="652"/>
      <c r="CGB34" s="652"/>
      <c r="CGM34" s="652"/>
      <c r="CGX34" s="652"/>
      <c r="CHI34" s="652"/>
      <c r="CHT34" s="652"/>
      <c r="CIE34" s="652"/>
      <c r="CIP34" s="652"/>
      <c r="CLZ34" s="652"/>
      <c r="CMK34" s="652"/>
      <c r="CMS34" s="652"/>
      <c r="CND34" s="652"/>
      <c r="CNL34" s="652"/>
      <c r="CNW34" s="652"/>
      <c r="COH34" s="652"/>
      <c r="COS34" s="652"/>
      <c r="CPD34" s="652"/>
      <c r="CPM34" s="652"/>
      <c r="CPP34" s="652"/>
    </row>
    <row r="35" spans="1503:2047 2058:2460" x14ac:dyDescent="0.25">
      <c r="BEU35" s="652"/>
      <c r="BFF35" s="652"/>
      <c r="BFQ35" s="652"/>
      <c r="BGB35" s="652"/>
      <c r="BGM35" s="652"/>
      <c r="BGX35" s="652"/>
      <c r="BHI35" s="652"/>
      <c r="BHT35" s="652"/>
      <c r="BIE35" s="652"/>
      <c r="BIP35" s="652"/>
      <c r="BJA35" s="652"/>
      <c r="BJL35" s="652"/>
      <c r="BJW35" s="652"/>
      <c r="BKH35" s="652"/>
      <c r="BKS35" s="652"/>
      <c r="BLD35" s="652"/>
      <c r="BLO35" s="652"/>
      <c r="BLZ35" s="652"/>
      <c r="BMK35" s="652"/>
      <c r="BMV35" s="652"/>
      <c r="BNG35" s="652"/>
      <c r="BNR35" s="652"/>
      <c r="BOC35" s="652"/>
      <c r="BON35" s="652"/>
      <c r="BOY35" s="652"/>
      <c r="BPJ35" s="652"/>
      <c r="BPU35" s="652"/>
      <c r="BQF35" s="652"/>
      <c r="BQQ35" s="652"/>
      <c r="BRB35" s="652"/>
      <c r="BRM35" s="652"/>
      <c r="BRX35" s="652"/>
      <c r="BSI35" s="652"/>
      <c r="BST35" s="652"/>
      <c r="BTE35" s="652"/>
      <c r="BTP35" s="652"/>
      <c r="BUA35" s="652"/>
      <c r="BUL35" s="652"/>
      <c r="BUW35" s="652"/>
      <c r="BVH35" s="652"/>
      <c r="BVS35" s="652"/>
      <c r="BWD35" s="652"/>
      <c r="BWO35" s="652"/>
      <c r="BWZ35" s="652"/>
      <c r="BXK35" s="652"/>
      <c r="BXV35" s="652"/>
      <c r="BYG35" s="652"/>
      <c r="BYL35" s="652"/>
      <c r="BYR35" s="652"/>
      <c r="BYW35" s="652"/>
      <c r="BZH35" s="652"/>
      <c r="BZS35" s="652"/>
      <c r="CAD35" s="652"/>
      <c r="CAO35" s="652"/>
      <c r="CAZ35" s="652"/>
      <c r="CBK35" s="652"/>
      <c r="CBV35" s="652"/>
      <c r="CCG35" s="652"/>
      <c r="CCR35" s="652"/>
      <c r="CDC35" s="652"/>
      <c r="CDN35" s="652"/>
      <c r="CDY35" s="652"/>
      <c r="CEJ35" s="652"/>
      <c r="CEU35" s="652"/>
      <c r="CFF35" s="652"/>
      <c r="CFQ35" s="652"/>
      <c r="CGB35" s="652"/>
      <c r="CGM35" s="652"/>
      <c r="CGX35" s="652"/>
      <c r="CHI35" s="652"/>
      <c r="CHT35" s="652"/>
      <c r="CIE35" s="652"/>
      <c r="CIP35" s="652"/>
      <c r="CLZ35" s="652"/>
      <c r="CMK35" s="652"/>
      <c r="CMS35" s="652"/>
      <c r="CND35" s="652"/>
      <c r="CNL35" s="652"/>
      <c r="CNW35" s="652"/>
      <c r="COH35" s="652"/>
      <c r="COS35" s="652"/>
      <c r="CPD35" s="652"/>
      <c r="CPM35" s="652"/>
      <c r="CPP35" s="652"/>
    </row>
    <row r="36" spans="1503:2047 2058:2460" x14ac:dyDescent="0.25">
      <c r="BEU36" s="652"/>
      <c r="BFF36" s="652"/>
      <c r="BFQ36" s="652"/>
      <c r="BGB36" s="652"/>
      <c r="BGM36" s="652"/>
      <c r="BGX36" s="652"/>
      <c r="BHI36" s="652"/>
      <c r="BHT36" s="652"/>
      <c r="BIE36" s="652"/>
      <c r="BIP36" s="652"/>
      <c r="BJA36" s="652"/>
      <c r="BJL36" s="652"/>
      <c r="BJW36" s="652"/>
      <c r="BKH36" s="652"/>
      <c r="BKS36" s="652"/>
      <c r="BLD36" s="652"/>
      <c r="BLO36" s="652"/>
      <c r="BLZ36" s="652"/>
      <c r="BMK36" s="652"/>
      <c r="BMV36" s="652"/>
      <c r="BNG36" s="652"/>
      <c r="BNR36" s="652"/>
      <c r="BOC36" s="652"/>
      <c r="BON36" s="652"/>
      <c r="BOY36" s="652"/>
      <c r="BPJ36" s="652"/>
      <c r="BPU36" s="652"/>
      <c r="BQF36" s="652"/>
      <c r="BQQ36" s="652"/>
      <c r="BRB36" s="652"/>
      <c r="BRM36" s="652"/>
      <c r="BRX36" s="652"/>
      <c r="BSI36" s="652"/>
      <c r="BST36" s="652"/>
      <c r="BTE36" s="652"/>
      <c r="BTP36" s="652"/>
      <c r="BUA36" s="652"/>
      <c r="BUL36" s="652"/>
      <c r="BUW36" s="652"/>
      <c r="BVH36" s="652"/>
      <c r="BVS36" s="652"/>
      <c r="BWD36" s="652"/>
      <c r="BWO36" s="652"/>
      <c r="BWZ36" s="652"/>
      <c r="BXK36" s="652"/>
      <c r="BXV36" s="652"/>
      <c r="BYG36" s="652"/>
      <c r="BYL36" s="652"/>
      <c r="BYR36" s="652"/>
      <c r="BYW36" s="652"/>
      <c r="BZH36" s="652"/>
      <c r="BZS36" s="652"/>
      <c r="CAD36" s="652"/>
      <c r="CAO36" s="652"/>
      <c r="CAZ36" s="652"/>
      <c r="CBK36" s="652"/>
      <c r="CBV36" s="652"/>
      <c r="CCG36" s="652"/>
      <c r="CCR36" s="652"/>
      <c r="CDC36" s="652"/>
      <c r="CDN36" s="652"/>
      <c r="CDY36" s="652"/>
      <c r="CEJ36" s="652"/>
      <c r="CEU36" s="652"/>
      <c r="CFF36" s="652"/>
      <c r="CFQ36" s="652"/>
      <c r="CGB36" s="652"/>
      <c r="CGM36" s="652"/>
      <c r="CGX36" s="652"/>
      <c r="CHI36" s="652"/>
      <c r="CHT36" s="652"/>
      <c r="CIE36" s="652"/>
      <c r="CIP36" s="652"/>
      <c r="CLZ36" s="652"/>
      <c r="CMK36" s="652"/>
      <c r="CMS36" s="652"/>
      <c r="CND36" s="652"/>
      <c r="CNL36" s="652"/>
      <c r="CNW36" s="652"/>
      <c r="COH36" s="652"/>
      <c r="COS36" s="652"/>
      <c r="CPD36" s="652"/>
      <c r="CPM36" s="652"/>
      <c r="CPP36" s="652"/>
    </row>
    <row r="37" spans="1503:2047 2058:2460" x14ac:dyDescent="0.25">
      <c r="BEU37" s="652"/>
      <c r="BFF37" s="652"/>
      <c r="BFQ37" s="652"/>
      <c r="BGB37" s="652"/>
      <c r="BGM37" s="652"/>
      <c r="BGX37" s="652"/>
      <c r="BHI37" s="652"/>
      <c r="BHT37" s="652"/>
      <c r="BIE37" s="652"/>
      <c r="BIP37" s="652"/>
      <c r="BJA37" s="652"/>
      <c r="BJL37" s="652"/>
      <c r="BJW37" s="652"/>
      <c r="BKH37" s="652"/>
      <c r="BKS37" s="652"/>
      <c r="BLD37" s="652"/>
      <c r="BLO37" s="652"/>
      <c r="BLZ37" s="652"/>
      <c r="BMK37" s="652"/>
      <c r="BMV37" s="652"/>
      <c r="BNG37" s="652"/>
      <c r="BNR37" s="652"/>
      <c r="BOC37" s="652"/>
      <c r="BON37" s="652"/>
      <c r="BOY37" s="652"/>
      <c r="BPJ37" s="652"/>
      <c r="BPU37" s="652"/>
      <c r="BQF37" s="652"/>
      <c r="BQQ37" s="652"/>
      <c r="BRB37" s="652"/>
      <c r="BRM37" s="652"/>
      <c r="BRX37" s="652"/>
      <c r="BSI37" s="652"/>
      <c r="BST37" s="652"/>
      <c r="BTE37" s="652"/>
      <c r="BTP37" s="652"/>
      <c r="BUA37" s="652"/>
      <c r="BUL37" s="652"/>
      <c r="BUW37" s="652"/>
      <c r="BVH37" s="652"/>
      <c r="BVS37" s="652"/>
      <c r="BWD37" s="652"/>
      <c r="BWO37" s="652"/>
      <c r="BWZ37" s="652"/>
      <c r="BXK37" s="652"/>
      <c r="BXV37" s="652"/>
      <c r="BYG37" s="652"/>
      <c r="BYL37" s="652"/>
      <c r="BYR37" s="652"/>
      <c r="BYW37" s="652"/>
      <c r="BZH37" s="652"/>
      <c r="BZS37" s="652"/>
      <c r="CAD37" s="652"/>
      <c r="CAO37" s="652"/>
      <c r="CAZ37" s="652"/>
      <c r="CBK37" s="652"/>
      <c r="CBV37" s="652"/>
      <c r="CCG37" s="652"/>
      <c r="CCR37" s="652"/>
      <c r="CDC37" s="652"/>
      <c r="CDN37" s="652"/>
      <c r="CDY37" s="652"/>
      <c r="CEJ37" s="652"/>
      <c r="CEU37" s="652"/>
      <c r="CFF37" s="652"/>
      <c r="CFQ37" s="652"/>
      <c r="CGB37" s="652"/>
      <c r="CGM37" s="652"/>
      <c r="CGX37" s="652"/>
      <c r="CHI37" s="652"/>
      <c r="CHT37" s="652"/>
      <c r="CIE37" s="652"/>
      <c r="CIP37" s="652"/>
      <c r="CLZ37" s="652"/>
      <c r="CMK37" s="652"/>
      <c r="CMS37" s="652"/>
      <c r="CND37" s="652"/>
      <c r="CNL37" s="652"/>
      <c r="CNW37" s="652"/>
      <c r="COH37" s="652"/>
      <c r="COS37" s="652"/>
      <c r="CPD37" s="652"/>
      <c r="CPM37" s="652"/>
      <c r="CPP37" s="652"/>
    </row>
    <row r="38" spans="1503:2047 2058:2460" x14ac:dyDescent="0.25">
      <c r="BEU38" s="652"/>
      <c r="BFF38" s="652"/>
      <c r="BFQ38" s="652"/>
      <c r="BGB38" s="652"/>
      <c r="BGM38" s="652"/>
      <c r="BGX38" s="652"/>
      <c r="BHI38" s="652"/>
      <c r="BHT38" s="652"/>
      <c r="BIE38" s="652"/>
      <c r="BIP38" s="652"/>
      <c r="BJA38" s="652"/>
      <c r="BJL38" s="652"/>
      <c r="BJW38" s="652"/>
      <c r="BKH38" s="652"/>
      <c r="BKS38" s="652"/>
      <c r="BLD38" s="652"/>
      <c r="BLO38" s="652"/>
      <c r="BLZ38" s="652"/>
      <c r="BMK38" s="652"/>
      <c r="BMV38" s="652"/>
      <c r="BNG38" s="652"/>
      <c r="BNR38" s="652"/>
      <c r="BOC38" s="652"/>
      <c r="BON38" s="652"/>
      <c r="BOY38" s="652"/>
      <c r="BPJ38" s="652"/>
      <c r="BPU38" s="652"/>
      <c r="BQF38" s="652"/>
      <c r="BQQ38" s="652"/>
      <c r="BRB38" s="652"/>
      <c r="BRM38" s="652"/>
      <c r="BRX38" s="652"/>
      <c r="BSI38" s="652"/>
      <c r="BST38" s="652"/>
      <c r="BTE38" s="652"/>
      <c r="BTP38" s="652"/>
      <c r="BUA38" s="652"/>
      <c r="BUL38" s="652"/>
      <c r="BUW38" s="652"/>
      <c r="BVH38" s="652"/>
      <c r="BVS38" s="652"/>
      <c r="BWD38" s="652"/>
      <c r="BWO38" s="652"/>
      <c r="BWZ38" s="652"/>
      <c r="BXK38" s="652"/>
      <c r="BXV38" s="652"/>
      <c r="BYG38" s="652"/>
      <c r="BYL38" s="652"/>
      <c r="BYR38" s="652"/>
      <c r="BYW38" s="652"/>
      <c r="BZH38" s="652"/>
      <c r="BZS38" s="652"/>
      <c r="CAD38" s="652"/>
      <c r="CAO38" s="652"/>
      <c r="CAZ38" s="652"/>
      <c r="CBK38" s="652"/>
      <c r="CBV38" s="652"/>
      <c r="CCG38" s="652"/>
      <c r="CCR38" s="652"/>
      <c r="CDC38" s="652"/>
      <c r="CDN38" s="652"/>
      <c r="CDY38" s="652"/>
      <c r="CEJ38" s="652"/>
      <c r="CEU38" s="652"/>
      <c r="CFF38" s="652"/>
      <c r="CFQ38" s="652"/>
      <c r="CGB38" s="652"/>
      <c r="CGM38" s="652"/>
      <c r="CGX38" s="652"/>
      <c r="CHI38" s="652"/>
      <c r="CHT38" s="652"/>
      <c r="CIE38" s="652"/>
      <c r="CIP38" s="652"/>
      <c r="CLZ38" s="652"/>
      <c r="CMK38" s="652"/>
      <c r="CMS38" s="652"/>
      <c r="CND38" s="652"/>
      <c r="CNL38" s="652"/>
      <c r="CNW38" s="652"/>
      <c r="COH38" s="652"/>
      <c r="COS38" s="652"/>
      <c r="CPD38" s="652"/>
      <c r="CPM38" s="652"/>
      <c r="CPP38" s="652"/>
    </row>
    <row r="39" spans="1503:2047 2058:2460" x14ac:dyDescent="0.25">
      <c r="BEU39" s="652"/>
      <c r="BFF39" s="652"/>
      <c r="BFQ39" s="652"/>
      <c r="BGB39" s="652"/>
      <c r="BGM39" s="652"/>
      <c r="BGX39" s="652"/>
      <c r="BHI39" s="652"/>
      <c r="BHT39" s="652"/>
      <c r="BIE39" s="652"/>
      <c r="BIP39" s="652"/>
      <c r="BJA39" s="652"/>
      <c r="BJL39" s="652"/>
      <c r="BJW39" s="652"/>
      <c r="BKH39" s="652"/>
      <c r="BKS39" s="652"/>
      <c r="BLD39" s="652"/>
      <c r="BLO39" s="652"/>
      <c r="BLZ39" s="652"/>
      <c r="BMK39" s="652"/>
      <c r="BMV39" s="652"/>
      <c r="BNG39" s="652"/>
      <c r="BNR39" s="652"/>
      <c r="BOC39" s="652"/>
      <c r="BON39" s="652"/>
      <c r="BOY39" s="652"/>
      <c r="BPJ39" s="652"/>
      <c r="BPU39" s="652"/>
      <c r="BQF39" s="652"/>
      <c r="BQQ39" s="652"/>
      <c r="BRB39" s="652"/>
      <c r="BRM39" s="652"/>
      <c r="BRX39" s="652"/>
      <c r="BSI39" s="652"/>
      <c r="BST39" s="652"/>
      <c r="BTE39" s="652"/>
      <c r="BTP39" s="652"/>
      <c r="BUA39" s="652"/>
      <c r="BUL39" s="652"/>
      <c r="BUW39" s="652"/>
      <c r="BVH39" s="652"/>
      <c r="BVS39" s="652"/>
      <c r="BWD39" s="652"/>
      <c r="BWO39" s="652"/>
      <c r="BWZ39" s="652"/>
      <c r="BXK39" s="652"/>
      <c r="BXV39" s="652"/>
      <c r="BYG39" s="652"/>
      <c r="BYL39" s="652"/>
      <c r="BYR39" s="652"/>
      <c r="BYW39" s="652"/>
      <c r="BZH39" s="652"/>
      <c r="BZS39" s="652"/>
      <c r="CAD39" s="652"/>
      <c r="CAO39" s="652"/>
      <c r="CAZ39" s="652"/>
      <c r="CBK39" s="652"/>
      <c r="CBV39" s="652"/>
      <c r="CCG39" s="652"/>
      <c r="CCR39" s="652"/>
      <c r="CDC39" s="652"/>
      <c r="CDN39" s="652"/>
      <c r="CDY39" s="652"/>
      <c r="CEJ39" s="652"/>
      <c r="CEU39" s="652"/>
      <c r="CFF39" s="652"/>
      <c r="CFQ39" s="652"/>
      <c r="CGB39" s="652"/>
      <c r="CGM39" s="652"/>
      <c r="CGX39" s="652"/>
      <c r="CHI39" s="652"/>
      <c r="CHT39" s="652"/>
      <c r="CIE39" s="652"/>
      <c r="CIP39" s="652"/>
      <c r="CLZ39" s="652"/>
      <c r="CMK39" s="652"/>
      <c r="CMS39" s="652"/>
      <c r="CND39" s="652"/>
      <c r="CNL39" s="652"/>
      <c r="CNW39" s="652"/>
      <c r="COH39" s="652"/>
      <c r="COS39" s="652"/>
      <c r="CPD39" s="652"/>
      <c r="CPM39" s="652"/>
      <c r="CPP39" s="652"/>
    </row>
    <row r="40" spans="1503:2047 2058:2460" x14ac:dyDescent="0.25">
      <c r="BEU40" s="652"/>
      <c r="BFF40" s="652"/>
      <c r="BFQ40" s="652"/>
      <c r="BGB40" s="652"/>
      <c r="BGM40" s="652"/>
      <c r="BGX40" s="652"/>
      <c r="BHI40" s="652"/>
      <c r="BHT40" s="652"/>
      <c r="BIE40" s="652"/>
      <c r="BIP40" s="652"/>
      <c r="BJA40" s="652"/>
      <c r="BJL40" s="652"/>
      <c r="BJW40" s="652"/>
      <c r="BKH40" s="652"/>
      <c r="BKS40" s="652"/>
      <c r="BLD40" s="652"/>
      <c r="BLO40" s="652"/>
      <c r="BLZ40" s="652"/>
      <c r="BMK40" s="652"/>
      <c r="BMV40" s="652"/>
      <c r="BNG40" s="652"/>
      <c r="BNR40" s="652"/>
      <c r="BOC40" s="652"/>
      <c r="BON40" s="652"/>
      <c r="BOY40" s="652"/>
      <c r="BPJ40" s="652"/>
      <c r="BPU40" s="652"/>
      <c r="BQF40" s="652"/>
      <c r="BQQ40" s="652"/>
      <c r="BRB40" s="652"/>
      <c r="BRM40" s="652"/>
      <c r="BRX40" s="652"/>
      <c r="BSI40" s="652"/>
      <c r="BST40" s="652"/>
      <c r="BTE40" s="652"/>
      <c r="BTP40" s="652"/>
      <c r="BUA40" s="652"/>
      <c r="BUL40" s="652"/>
      <c r="BUW40" s="652"/>
      <c r="BVH40" s="652"/>
      <c r="BVS40" s="652"/>
      <c r="BWD40" s="652"/>
      <c r="BWO40" s="652"/>
      <c r="BWZ40" s="652"/>
      <c r="BXK40" s="652"/>
      <c r="BXV40" s="652"/>
      <c r="BYG40" s="652"/>
      <c r="BYL40" s="652"/>
      <c r="BYR40" s="652"/>
      <c r="BYW40" s="652"/>
      <c r="BZH40" s="652"/>
      <c r="BZS40" s="652"/>
      <c r="CAD40" s="652"/>
      <c r="CAO40" s="652"/>
      <c r="CAZ40" s="652"/>
      <c r="CBK40" s="652"/>
      <c r="CBV40" s="652"/>
      <c r="CCG40" s="652"/>
      <c r="CCR40" s="652"/>
      <c r="CDC40" s="652"/>
      <c r="CDN40" s="652"/>
      <c r="CDY40" s="652"/>
      <c r="CEJ40" s="652"/>
      <c r="CEU40" s="652"/>
      <c r="CFF40" s="652"/>
      <c r="CFQ40" s="652"/>
      <c r="CGB40" s="652"/>
      <c r="CGM40" s="652"/>
      <c r="CGX40" s="652"/>
      <c r="CHI40" s="652"/>
      <c r="CHT40" s="652"/>
      <c r="CIE40" s="652"/>
      <c r="CIP40" s="652"/>
      <c r="CLZ40" s="652"/>
      <c r="CMK40" s="652"/>
      <c r="CMS40" s="652"/>
      <c r="CND40" s="652"/>
      <c r="CNL40" s="652"/>
      <c r="CNW40" s="652"/>
      <c r="COH40" s="652"/>
      <c r="COS40" s="652"/>
      <c r="CPD40" s="652"/>
      <c r="CPM40" s="652"/>
      <c r="CPP40" s="652"/>
    </row>
    <row r="41" spans="1503:2047 2058:2460" x14ac:dyDescent="0.25">
      <c r="BEU41" s="652"/>
      <c r="BFF41" s="652"/>
      <c r="BFQ41" s="652"/>
      <c r="BGB41" s="652"/>
      <c r="BGM41" s="652"/>
      <c r="BGX41" s="652"/>
      <c r="BHI41" s="652"/>
      <c r="BHT41" s="652"/>
      <c r="BIE41" s="652"/>
      <c r="BIP41" s="652"/>
      <c r="BJA41" s="652"/>
      <c r="BJL41" s="652"/>
      <c r="BJW41" s="652"/>
      <c r="BKH41" s="652"/>
      <c r="BKS41" s="652"/>
      <c r="BLD41" s="652"/>
      <c r="BLO41" s="652"/>
      <c r="BLZ41" s="652"/>
      <c r="BMK41" s="652"/>
      <c r="BMV41" s="652"/>
      <c r="BNG41" s="652"/>
      <c r="BNR41" s="652"/>
      <c r="BOC41" s="652"/>
      <c r="BON41" s="652"/>
      <c r="BOY41" s="652"/>
      <c r="BPJ41" s="652"/>
      <c r="BPU41" s="652"/>
      <c r="BQF41" s="652"/>
      <c r="BQQ41" s="652"/>
      <c r="BRB41" s="652"/>
      <c r="BRM41" s="652"/>
      <c r="BRX41" s="652"/>
      <c r="BSI41" s="652"/>
      <c r="BST41" s="652"/>
      <c r="BTE41" s="652"/>
      <c r="BTP41" s="652"/>
      <c r="BUA41" s="652"/>
      <c r="BUL41" s="652"/>
      <c r="BUW41" s="652"/>
      <c r="BVH41" s="652"/>
      <c r="BVS41" s="652"/>
      <c r="BWD41" s="652"/>
      <c r="BWO41" s="652"/>
      <c r="BWZ41" s="652"/>
      <c r="BXK41" s="652"/>
      <c r="BXV41" s="652"/>
      <c r="BYG41" s="652"/>
      <c r="BYL41" s="652"/>
      <c r="BYR41" s="652"/>
      <c r="BYW41" s="652"/>
      <c r="BZH41" s="652"/>
      <c r="BZS41" s="652"/>
      <c r="CAD41" s="652"/>
      <c r="CAO41" s="652"/>
      <c r="CAZ41" s="652"/>
      <c r="CBK41" s="652"/>
      <c r="CBV41" s="652"/>
      <c r="CCG41" s="652"/>
      <c r="CCR41" s="652"/>
      <c r="CDC41" s="652"/>
      <c r="CDN41" s="652"/>
      <c r="CDY41" s="652"/>
      <c r="CEJ41" s="652"/>
      <c r="CEU41" s="652"/>
      <c r="CFF41" s="652"/>
      <c r="CFQ41" s="652"/>
      <c r="CGB41" s="652"/>
      <c r="CGM41" s="652"/>
      <c r="CGX41" s="652"/>
      <c r="CHI41" s="652"/>
      <c r="CHT41" s="652"/>
      <c r="CIE41" s="652"/>
      <c r="CIP41" s="652"/>
      <c r="CLZ41" s="652"/>
      <c r="CMK41" s="652"/>
      <c r="CMS41" s="652"/>
      <c r="CND41" s="652"/>
      <c r="CNL41" s="652"/>
      <c r="CNW41" s="652"/>
      <c r="COH41" s="652"/>
      <c r="COS41" s="652"/>
      <c r="CPD41" s="652"/>
      <c r="CPM41" s="652"/>
      <c r="CPP41" s="652"/>
    </row>
    <row r="42" spans="1503:2047 2058:2460" x14ac:dyDescent="0.25">
      <c r="BEU42" s="652"/>
      <c r="BFF42" s="652"/>
      <c r="BFQ42" s="652"/>
      <c r="BGB42" s="652"/>
      <c r="BGM42" s="652"/>
      <c r="BGX42" s="652"/>
      <c r="BHI42" s="652"/>
      <c r="BHT42" s="652"/>
      <c r="BIE42" s="652"/>
      <c r="BIP42" s="652"/>
      <c r="BJA42" s="652"/>
      <c r="BJL42" s="652"/>
      <c r="BJW42" s="652"/>
      <c r="BKH42" s="652"/>
      <c r="BKS42" s="652"/>
      <c r="BLD42" s="652"/>
      <c r="BLO42" s="652"/>
      <c r="BLZ42" s="652"/>
      <c r="BMK42" s="652"/>
      <c r="BMV42" s="652"/>
      <c r="BNG42" s="652"/>
      <c r="BNR42" s="652"/>
      <c r="BOC42" s="652"/>
      <c r="BON42" s="652"/>
      <c r="BOY42" s="652"/>
      <c r="BPJ42" s="652"/>
      <c r="BPU42" s="652"/>
      <c r="BQF42" s="652"/>
      <c r="BQQ42" s="652"/>
      <c r="BRB42" s="652"/>
      <c r="BRM42" s="652"/>
      <c r="BRX42" s="652"/>
      <c r="BSI42" s="652"/>
      <c r="BST42" s="652"/>
      <c r="BTE42" s="652"/>
      <c r="BTP42" s="652"/>
      <c r="BUA42" s="652"/>
      <c r="BUL42" s="652"/>
      <c r="BUW42" s="652"/>
      <c r="BVH42" s="652"/>
      <c r="BVS42" s="652"/>
      <c r="BWD42" s="652"/>
      <c r="BWO42" s="652"/>
      <c r="BWZ42" s="652"/>
      <c r="BXK42" s="652"/>
      <c r="BXV42" s="652"/>
      <c r="BYG42" s="652"/>
      <c r="BYL42" s="652"/>
      <c r="BYR42" s="652"/>
      <c r="BYW42" s="652"/>
      <c r="BZH42" s="652"/>
      <c r="BZS42" s="652"/>
      <c r="CAD42" s="652"/>
      <c r="CAO42" s="652"/>
      <c r="CAZ42" s="652"/>
      <c r="CBK42" s="652"/>
      <c r="CBV42" s="652"/>
      <c r="CCG42" s="652"/>
      <c r="CCR42" s="652"/>
      <c r="CDC42" s="652"/>
      <c r="CDN42" s="652"/>
      <c r="CDY42" s="652"/>
      <c r="CEJ42" s="652"/>
      <c r="CEU42" s="652"/>
      <c r="CFF42" s="652"/>
      <c r="CFQ42" s="652"/>
      <c r="CGB42" s="652"/>
      <c r="CGM42" s="652"/>
      <c r="CGX42" s="652"/>
      <c r="CHI42" s="652"/>
      <c r="CHT42" s="652"/>
      <c r="CIE42" s="652"/>
      <c r="CIP42" s="652"/>
      <c r="CLZ42" s="652"/>
      <c r="CMK42" s="652"/>
      <c r="CMS42" s="652"/>
      <c r="CND42" s="652"/>
      <c r="CNL42" s="652"/>
      <c r="CNW42" s="652"/>
      <c r="COH42" s="652"/>
      <c r="COS42" s="652"/>
      <c r="CPD42" s="652"/>
      <c r="CPM42" s="652"/>
      <c r="CPP42" s="652"/>
    </row>
    <row r="43" spans="1503:2047 2058:2460" x14ac:dyDescent="0.25">
      <c r="BEU43" s="652"/>
      <c r="BFF43" s="652"/>
      <c r="BFQ43" s="652"/>
      <c r="BGB43" s="652"/>
      <c r="BGM43" s="652"/>
      <c r="BGX43" s="652"/>
      <c r="BHI43" s="652"/>
      <c r="BHT43" s="652"/>
      <c r="BIE43" s="652"/>
      <c r="BIP43" s="652"/>
      <c r="BJA43" s="652"/>
      <c r="BJL43" s="652"/>
      <c r="BJW43" s="652"/>
      <c r="BKH43" s="652"/>
      <c r="BKS43" s="652"/>
      <c r="BLD43" s="652"/>
      <c r="BLO43" s="652"/>
      <c r="BLZ43" s="652"/>
      <c r="BMK43" s="652"/>
      <c r="BMV43" s="652"/>
      <c r="BNG43" s="652"/>
      <c r="BNR43" s="652"/>
      <c r="BOC43" s="652"/>
      <c r="BON43" s="652"/>
      <c r="BOY43" s="652"/>
      <c r="BPJ43" s="652"/>
      <c r="BPU43" s="652"/>
      <c r="BQF43" s="652"/>
      <c r="BQQ43" s="652"/>
      <c r="BRB43" s="652"/>
      <c r="BRM43" s="652"/>
      <c r="BRX43" s="652"/>
      <c r="BSI43" s="652"/>
      <c r="BST43" s="652"/>
      <c r="BTE43" s="652"/>
      <c r="BTP43" s="652"/>
      <c r="BUA43" s="652"/>
      <c r="BUL43" s="652"/>
      <c r="BUW43" s="652"/>
      <c r="BVH43" s="652"/>
      <c r="BVS43" s="652"/>
      <c r="BWD43" s="652"/>
      <c r="BWO43" s="652"/>
      <c r="BWZ43" s="652"/>
      <c r="BXK43" s="652"/>
      <c r="BXV43" s="652"/>
      <c r="BYG43" s="652"/>
      <c r="BYL43" s="652"/>
      <c r="BYR43" s="652"/>
      <c r="BYW43" s="652"/>
      <c r="BZH43" s="652"/>
      <c r="BZS43" s="652"/>
      <c r="CAD43" s="652"/>
      <c r="CAO43" s="652"/>
      <c r="CAZ43" s="652"/>
      <c r="CBK43" s="652"/>
      <c r="CBV43" s="652"/>
      <c r="CCG43" s="652"/>
      <c r="CCR43" s="652"/>
      <c r="CDC43" s="652"/>
      <c r="CDN43" s="652"/>
      <c r="CDY43" s="652"/>
      <c r="CEJ43" s="652"/>
      <c r="CEU43" s="652"/>
      <c r="CFF43" s="652"/>
      <c r="CFQ43" s="652"/>
      <c r="CGB43" s="652"/>
      <c r="CGM43" s="652"/>
      <c r="CGX43" s="652"/>
      <c r="CHI43" s="652"/>
      <c r="CHT43" s="652"/>
      <c r="CIE43" s="652"/>
      <c r="CIP43" s="652"/>
      <c r="CLZ43" s="652"/>
      <c r="CMK43" s="652"/>
      <c r="CMS43" s="652"/>
      <c r="CND43" s="652"/>
      <c r="CNL43" s="652"/>
      <c r="CNW43" s="652"/>
      <c r="COH43" s="652"/>
      <c r="COS43" s="652"/>
      <c r="CPD43" s="652"/>
      <c r="CPM43" s="652"/>
      <c r="CPP43" s="652"/>
    </row>
    <row r="44" spans="1503:2047 2058:2460" x14ac:dyDescent="0.25">
      <c r="BEU44" s="652"/>
      <c r="BFF44" s="652"/>
      <c r="BFQ44" s="652"/>
      <c r="BGB44" s="652"/>
      <c r="BGM44" s="652"/>
      <c r="BGX44" s="652"/>
      <c r="BHI44" s="652"/>
      <c r="BHT44" s="652"/>
      <c r="BIE44" s="652"/>
      <c r="BIP44" s="652"/>
      <c r="BJA44" s="652"/>
      <c r="BJL44" s="652"/>
      <c r="BJW44" s="652"/>
      <c r="BKH44" s="652"/>
      <c r="BKS44" s="652"/>
      <c r="BLD44" s="652"/>
      <c r="BLO44" s="652"/>
      <c r="BLZ44" s="652"/>
      <c r="BMK44" s="652"/>
      <c r="BMV44" s="652"/>
      <c r="BNG44" s="652"/>
      <c r="BNR44" s="652"/>
      <c r="BOC44" s="652"/>
      <c r="BON44" s="652"/>
      <c r="BOY44" s="652"/>
      <c r="BPJ44" s="652"/>
      <c r="BPU44" s="652"/>
      <c r="BQF44" s="652"/>
      <c r="BQQ44" s="652"/>
      <c r="BRB44" s="652"/>
      <c r="BRM44" s="652"/>
      <c r="BRX44" s="652"/>
      <c r="BSI44" s="652"/>
      <c r="BST44" s="652"/>
      <c r="BTE44" s="652"/>
      <c r="BTP44" s="652"/>
      <c r="BUA44" s="652"/>
      <c r="BUL44" s="652"/>
      <c r="BUW44" s="652"/>
      <c r="BVH44" s="652"/>
      <c r="BVS44" s="652"/>
      <c r="BWD44" s="652"/>
      <c r="BWO44" s="652"/>
      <c r="BWZ44" s="652"/>
      <c r="BXK44" s="652"/>
      <c r="BXV44" s="652"/>
      <c r="BYG44" s="652"/>
      <c r="BYL44" s="652"/>
      <c r="BYR44" s="652"/>
      <c r="BYW44" s="652"/>
      <c r="BZH44" s="652"/>
      <c r="BZS44" s="652"/>
      <c r="CAD44" s="652"/>
      <c r="CAO44" s="652"/>
      <c r="CAZ44" s="652"/>
      <c r="CBK44" s="652"/>
      <c r="CBV44" s="652"/>
      <c r="CCG44" s="652"/>
      <c r="CCR44" s="652"/>
      <c r="CDC44" s="652"/>
      <c r="CDN44" s="652"/>
      <c r="CDY44" s="652"/>
      <c r="CEJ44" s="652"/>
      <c r="CEU44" s="652"/>
      <c r="CFF44" s="652"/>
      <c r="CFQ44" s="652"/>
      <c r="CGB44" s="652"/>
      <c r="CGM44" s="652"/>
      <c r="CGX44" s="652"/>
      <c r="CHI44" s="652"/>
      <c r="CHT44" s="652"/>
      <c r="CIE44" s="652"/>
      <c r="CIP44" s="652"/>
      <c r="CLZ44" s="652"/>
      <c r="CMK44" s="652"/>
      <c r="CMS44" s="652"/>
      <c r="CND44" s="652"/>
      <c r="CNL44" s="652"/>
      <c r="CNW44" s="652"/>
      <c r="COH44" s="652"/>
      <c r="COS44" s="652"/>
      <c r="CPD44" s="652"/>
      <c r="CPM44" s="652"/>
      <c r="CPP44" s="652"/>
    </row>
    <row r="45" spans="1503:2047 2058:2460" x14ac:dyDescent="0.25">
      <c r="BEU45" s="652"/>
      <c r="BFF45" s="652"/>
      <c r="BFQ45" s="652"/>
      <c r="BGB45" s="652"/>
      <c r="BGM45" s="652"/>
      <c r="BGX45" s="652"/>
      <c r="BHI45" s="652"/>
      <c r="BHT45" s="652"/>
      <c r="BIE45" s="652"/>
      <c r="BIP45" s="652"/>
      <c r="BJA45" s="652"/>
      <c r="BJL45" s="652"/>
      <c r="BJW45" s="652"/>
      <c r="BKH45" s="652"/>
      <c r="BKS45" s="652"/>
      <c r="BLD45" s="652"/>
      <c r="BLO45" s="652"/>
      <c r="BLZ45" s="652"/>
      <c r="BMK45" s="652"/>
      <c r="BMV45" s="652"/>
      <c r="BNG45" s="652"/>
      <c r="BNR45" s="652"/>
      <c r="BOC45" s="652"/>
      <c r="BON45" s="652"/>
      <c r="BOY45" s="652"/>
      <c r="BPJ45" s="652"/>
      <c r="BPU45" s="652"/>
      <c r="BQF45" s="652"/>
      <c r="BQQ45" s="652"/>
      <c r="BRB45" s="652"/>
      <c r="BRM45" s="652"/>
      <c r="BRX45" s="652"/>
      <c r="BSI45" s="652"/>
      <c r="BST45" s="652"/>
      <c r="BTE45" s="652"/>
      <c r="BTP45" s="652"/>
      <c r="BUA45" s="652"/>
      <c r="BUL45" s="652"/>
      <c r="BUW45" s="652"/>
      <c r="BVH45" s="652"/>
      <c r="BVS45" s="652"/>
      <c r="BWD45" s="652"/>
      <c r="BWO45" s="652"/>
      <c r="BWZ45" s="652"/>
      <c r="BXK45" s="652"/>
      <c r="BXV45" s="652"/>
      <c r="BYG45" s="652"/>
      <c r="BYL45" s="652"/>
      <c r="BYR45" s="652"/>
      <c r="BYW45" s="652"/>
      <c r="BZH45" s="652"/>
      <c r="BZS45" s="652"/>
      <c r="CAD45" s="652"/>
      <c r="CAO45" s="652"/>
      <c r="CAZ45" s="652"/>
      <c r="CBK45" s="652"/>
      <c r="CBV45" s="652"/>
      <c r="CCG45" s="652"/>
      <c r="CCR45" s="652"/>
      <c r="CDC45" s="652"/>
      <c r="CDN45" s="652"/>
      <c r="CDY45" s="652"/>
      <c r="CEJ45" s="652"/>
      <c r="CEU45" s="652"/>
      <c r="CFF45" s="652"/>
      <c r="CFQ45" s="652"/>
      <c r="CGB45" s="652"/>
      <c r="CGM45" s="652"/>
      <c r="CGX45" s="652"/>
      <c r="CHI45" s="652"/>
      <c r="CHT45" s="652"/>
      <c r="CIE45" s="652"/>
      <c r="CIP45" s="652"/>
      <c r="CLZ45" s="652"/>
      <c r="CMK45" s="652"/>
      <c r="CMS45" s="652"/>
      <c r="CND45" s="652"/>
      <c r="CNL45" s="652"/>
      <c r="CNW45" s="652"/>
      <c r="COH45" s="652"/>
      <c r="COS45" s="652"/>
      <c r="CPD45" s="652"/>
      <c r="CPM45" s="652"/>
      <c r="CPP45" s="652"/>
    </row>
    <row r="46" spans="1503:2047 2058:2460" x14ac:dyDescent="0.25">
      <c r="BEU46" s="652"/>
      <c r="BFF46" s="652"/>
      <c r="BFQ46" s="652"/>
      <c r="BGB46" s="652"/>
      <c r="BGM46" s="652"/>
      <c r="BGX46" s="652"/>
      <c r="BHI46" s="652"/>
      <c r="BHT46" s="652"/>
      <c r="BIE46" s="652"/>
      <c r="BIP46" s="652"/>
      <c r="BJA46" s="652"/>
      <c r="BJL46" s="652"/>
      <c r="BJW46" s="652"/>
      <c r="BKH46" s="652"/>
      <c r="BKS46" s="652"/>
      <c r="BLD46" s="652"/>
      <c r="BLO46" s="652"/>
      <c r="BLZ46" s="652"/>
      <c r="BMK46" s="652"/>
      <c r="BMV46" s="652"/>
      <c r="BNG46" s="652"/>
      <c r="BNR46" s="652"/>
      <c r="BOC46" s="652"/>
      <c r="BON46" s="652"/>
      <c r="BOY46" s="652"/>
      <c r="BPJ46" s="652"/>
      <c r="BPU46" s="652"/>
      <c r="BQF46" s="652"/>
      <c r="BQQ46" s="652"/>
      <c r="BRB46" s="652"/>
      <c r="BRM46" s="652"/>
      <c r="BRX46" s="652"/>
      <c r="BSI46" s="652"/>
      <c r="BST46" s="652"/>
      <c r="BTE46" s="652"/>
      <c r="BTP46" s="652"/>
      <c r="BUA46" s="652"/>
      <c r="BUL46" s="652"/>
      <c r="BUW46" s="652"/>
      <c r="BVH46" s="652"/>
      <c r="BVS46" s="652"/>
      <c r="BWD46" s="652"/>
      <c r="BWO46" s="652"/>
      <c r="BWZ46" s="652"/>
      <c r="BXK46" s="652"/>
      <c r="BXV46" s="652"/>
      <c r="BYG46" s="652"/>
      <c r="BYL46" s="652"/>
      <c r="BYR46" s="652"/>
      <c r="BYW46" s="652"/>
      <c r="BZH46" s="652"/>
      <c r="BZS46" s="652"/>
      <c r="CAD46" s="652"/>
      <c r="CAO46" s="652"/>
      <c r="CAZ46" s="652"/>
      <c r="CBK46" s="652"/>
      <c r="CBV46" s="652"/>
      <c r="CCG46" s="652"/>
      <c r="CCR46" s="652"/>
      <c r="CDC46" s="652"/>
      <c r="CDN46" s="652"/>
      <c r="CDY46" s="652"/>
      <c r="CEJ46" s="652"/>
      <c r="CEU46" s="652"/>
      <c r="CFF46" s="652"/>
      <c r="CFQ46" s="652"/>
      <c r="CGB46" s="652"/>
      <c r="CGM46" s="652"/>
      <c r="CGX46" s="652"/>
      <c r="CHI46" s="652"/>
      <c r="CHT46" s="652"/>
      <c r="CIE46" s="652"/>
      <c r="CIP46" s="652"/>
      <c r="CLZ46" s="652"/>
      <c r="CMK46" s="652"/>
      <c r="CMS46" s="652"/>
      <c r="CND46" s="652"/>
      <c r="CNL46" s="652"/>
      <c r="CNW46" s="652"/>
      <c r="COH46" s="652"/>
      <c r="COS46" s="652"/>
      <c r="CPD46" s="652"/>
      <c r="CPM46" s="652"/>
      <c r="CPP46" s="652"/>
    </row>
    <row r="47" spans="1503:2047 2058:2460" x14ac:dyDescent="0.25">
      <c r="BEU47" s="652"/>
      <c r="BFF47" s="652"/>
      <c r="BFQ47" s="652"/>
      <c r="BGB47" s="652"/>
      <c r="BGM47" s="652"/>
      <c r="BGX47" s="652"/>
      <c r="BHI47" s="652"/>
      <c r="BHT47" s="652"/>
      <c r="BIE47" s="652"/>
      <c r="BIP47" s="652"/>
      <c r="BJA47" s="652"/>
      <c r="BJL47" s="652"/>
      <c r="BJW47" s="652"/>
      <c r="BKH47" s="652"/>
      <c r="BKS47" s="652"/>
      <c r="BLD47" s="652"/>
      <c r="BLO47" s="652"/>
      <c r="BLZ47" s="652"/>
      <c r="BMK47" s="652"/>
      <c r="BMV47" s="652"/>
      <c r="BNG47" s="652"/>
      <c r="BNR47" s="652"/>
      <c r="BOC47" s="652"/>
      <c r="BON47" s="652"/>
      <c r="BOY47" s="652"/>
      <c r="BPJ47" s="652"/>
      <c r="BPU47" s="652"/>
      <c r="BQF47" s="652"/>
      <c r="BQQ47" s="652"/>
      <c r="BRB47" s="652"/>
      <c r="BRM47" s="652"/>
      <c r="BRX47" s="652"/>
      <c r="BSI47" s="652"/>
      <c r="BST47" s="652"/>
      <c r="BTE47" s="652"/>
      <c r="BTP47" s="652"/>
      <c r="BUA47" s="652"/>
      <c r="BUL47" s="652"/>
      <c r="BUW47" s="652"/>
      <c r="BVH47" s="652"/>
      <c r="BVS47" s="652"/>
      <c r="BWD47" s="652"/>
      <c r="BWO47" s="652"/>
      <c r="BWZ47" s="652"/>
      <c r="BXK47" s="652"/>
      <c r="BXV47" s="652"/>
      <c r="BYG47" s="652"/>
      <c r="BYL47" s="652"/>
      <c r="BYR47" s="652"/>
      <c r="BYW47" s="652"/>
      <c r="BZH47" s="652"/>
      <c r="BZS47" s="652"/>
      <c r="CAD47" s="652"/>
      <c r="CAO47" s="652"/>
      <c r="CAZ47" s="652"/>
      <c r="CBK47" s="652"/>
      <c r="CBV47" s="652"/>
      <c r="CCG47" s="652"/>
      <c r="CCR47" s="652"/>
      <c r="CDC47" s="652"/>
      <c r="CDN47" s="652"/>
      <c r="CDY47" s="652"/>
      <c r="CEJ47" s="652"/>
      <c r="CEU47" s="652"/>
      <c r="CFF47" s="652"/>
      <c r="CFQ47" s="652"/>
      <c r="CGB47" s="652"/>
      <c r="CGM47" s="652"/>
      <c r="CGX47" s="652"/>
      <c r="CHI47" s="652"/>
      <c r="CHT47" s="652"/>
      <c r="CIE47" s="652"/>
      <c r="CIP47" s="652"/>
      <c r="CLZ47" s="652"/>
      <c r="CMK47" s="652"/>
      <c r="CMS47" s="652"/>
      <c r="CND47" s="652"/>
      <c r="CNL47" s="652"/>
      <c r="CNW47" s="652"/>
      <c r="COH47" s="652"/>
      <c r="COS47" s="652"/>
      <c r="CPD47" s="652"/>
      <c r="CPM47" s="652"/>
      <c r="CPP47" s="652"/>
    </row>
    <row r="48" spans="1503:2047 2058:2460" x14ac:dyDescent="0.25">
      <c r="BEU48" s="652"/>
      <c r="BFF48" s="652"/>
      <c r="BFQ48" s="652"/>
      <c r="BGB48" s="652"/>
      <c r="BGM48" s="652"/>
      <c r="BGX48" s="652"/>
      <c r="BHI48" s="652"/>
      <c r="BHT48" s="652"/>
      <c r="BIE48" s="652"/>
      <c r="BIP48" s="652"/>
      <c r="BJA48" s="652"/>
      <c r="BJL48" s="652"/>
      <c r="BJW48" s="652"/>
      <c r="BKH48" s="652"/>
      <c r="BKS48" s="652"/>
      <c r="BLD48" s="652"/>
      <c r="BLO48" s="652"/>
      <c r="BLZ48" s="652"/>
      <c r="BMK48" s="652"/>
      <c r="BMV48" s="652"/>
      <c r="BNG48" s="652"/>
      <c r="BNR48" s="652"/>
      <c r="BOC48" s="652"/>
      <c r="BON48" s="652"/>
      <c r="BOY48" s="652"/>
      <c r="BPJ48" s="652"/>
      <c r="BPU48" s="652"/>
      <c r="BQF48" s="652"/>
      <c r="BQQ48" s="652"/>
      <c r="BRB48" s="652"/>
      <c r="BRM48" s="652"/>
      <c r="BRX48" s="652"/>
      <c r="BSI48" s="652"/>
      <c r="BST48" s="652"/>
      <c r="BTE48" s="652"/>
      <c r="BTP48" s="652"/>
      <c r="BUA48" s="652"/>
      <c r="BUL48" s="652"/>
      <c r="BUW48" s="652"/>
      <c r="BVH48" s="652"/>
      <c r="BVS48" s="652"/>
      <c r="BWD48" s="652"/>
      <c r="BWO48" s="652"/>
      <c r="BWZ48" s="652"/>
      <c r="BXK48" s="652"/>
      <c r="BXV48" s="652"/>
      <c r="BYG48" s="652"/>
      <c r="BYL48" s="652"/>
      <c r="BYR48" s="652"/>
      <c r="BYW48" s="652"/>
      <c r="BZH48" s="652"/>
      <c r="BZS48" s="652"/>
      <c r="CAD48" s="652"/>
      <c r="CAO48" s="652"/>
      <c r="CAZ48" s="652"/>
      <c r="CBK48" s="652"/>
      <c r="CBV48" s="652"/>
      <c r="CCG48" s="652"/>
      <c r="CCR48" s="652"/>
      <c r="CDC48" s="652"/>
      <c r="CDN48" s="652"/>
      <c r="CDY48" s="652"/>
      <c r="CEJ48" s="652"/>
      <c r="CEU48" s="652"/>
      <c r="CFF48" s="652"/>
      <c r="CFQ48" s="652"/>
      <c r="CGB48" s="652"/>
      <c r="CGM48" s="652"/>
      <c r="CGX48" s="652"/>
      <c r="CHI48" s="652"/>
      <c r="CHT48" s="652"/>
      <c r="CIE48" s="652"/>
      <c r="CIP48" s="652"/>
      <c r="CLZ48" s="652"/>
      <c r="CMK48" s="652"/>
      <c r="CMS48" s="652"/>
      <c r="CND48" s="652"/>
      <c r="CNL48" s="652"/>
      <c r="CNW48" s="652"/>
      <c r="COH48" s="652"/>
      <c r="COS48" s="652"/>
      <c r="CPD48" s="652"/>
      <c r="CPM48" s="652"/>
      <c r="CPP48" s="652"/>
    </row>
    <row r="49" spans="1503:2047 2058:2460" x14ac:dyDescent="0.25">
      <c r="BEU49" s="652"/>
      <c r="BFF49" s="652"/>
      <c r="BFQ49" s="652"/>
      <c r="BGB49" s="652"/>
      <c r="BGM49" s="652"/>
      <c r="BGX49" s="652"/>
      <c r="BHI49" s="652"/>
      <c r="BHT49" s="652"/>
      <c r="BIE49" s="652"/>
      <c r="BIP49" s="652"/>
      <c r="BJA49" s="652"/>
      <c r="BJL49" s="652"/>
      <c r="BJW49" s="652"/>
      <c r="BKH49" s="652"/>
      <c r="BKS49" s="652"/>
      <c r="BLD49" s="652"/>
      <c r="BLO49" s="652"/>
      <c r="BLZ49" s="652"/>
      <c r="BMK49" s="652"/>
      <c r="BMV49" s="652"/>
      <c r="BNG49" s="652"/>
      <c r="BNR49" s="652"/>
      <c r="BOC49" s="652"/>
      <c r="BON49" s="652"/>
      <c r="BOY49" s="652"/>
      <c r="BPJ49" s="652"/>
      <c r="BPU49" s="652"/>
      <c r="BQF49" s="652"/>
      <c r="BQQ49" s="652"/>
      <c r="BRB49" s="652"/>
      <c r="BRM49" s="652"/>
      <c r="BRX49" s="652"/>
      <c r="BSI49" s="652"/>
      <c r="BST49" s="652"/>
      <c r="BTE49" s="652"/>
      <c r="BTP49" s="652"/>
      <c r="BUA49" s="652"/>
      <c r="BUL49" s="652"/>
      <c r="BUW49" s="652"/>
      <c r="BVH49" s="652"/>
      <c r="BVS49" s="652"/>
      <c r="BWD49" s="652"/>
      <c r="BWO49" s="652"/>
      <c r="BWZ49" s="652"/>
      <c r="BXK49" s="652"/>
      <c r="BXV49" s="652"/>
      <c r="BYG49" s="652"/>
      <c r="BYL49" s="652"/>
      <c r="BYR49" s="652"/>
      <c r="BYW49" s="652"/>
      <c r="BZH49" s="652"/>
      <c r="BZS49" s="652"/>
      <c r="CAD49" s="652"/>
      <c r="CAO49" s="652"/>
      <c r="CAZ49" s="652"/>
      <c r="CBK49" s="652"/>
      <c r="CBV49" s="652"/>
      <c r="CCG49" s="652"/>
      <c r="CCR49" s="652"/>
      <c r="CDC49" s="652"/>
      <c r="CDN49" s="652"/>
      <c r="CDY49" s="652"/>
      <c r="CEJ49" s="652"/>
      <c r="CEU49" s="652"/>
      <c r="CFF49" s="652"/>
      <c r="CFQ49" s="652"/>
      <c r="CGB49" s="652"/>
      <c r="CGM49" s="652"/>
      <c r="CGX49" s="652"/>
      <c r="CHI49" s="652"/>
      <c r="CHT49" s="652"/>
      <c r="CIE49" s="652"/>
      <c r="CIP49" s="652"/>
      <c r="CLZ49" s="652"/>
      <c r="CMK49" s="652"/>
      <c r="CMS49" s="652"/>
      <c r="CND49" s="652"/>
      <c r="CNL49" s="652"/>
      <c r="CNW49" s="652"/>
      <c r="COH49" s="652"/>
      <c r="COS49" s="652"/>
      <c r="CPD49" s="652"/>
      <c r="CPM49" s="652"/>
      <c r="CPP49" s="652"/>
    </row>
    <row r="50" spans="1503:2047 2058:2460" x14ac:dyDescent="0.25">
      <c r="BEU50" s="652"/>
      <c r="BFF50" s="652"/>
      <c r="BFQ50" s="652"/>
      <c r="BGB50" s="652"/>
      <c r="BGM50" s="652"/>
      <c r="BGX50" s="652"/>
      <c r="BHI50" s="652"/>
      <c r="BHT50" s="652"/>
      <c r="BIE50" s="652"/>
      <c r="BIP50" s="652"/>
      <c r="BJA50" s="652"/>
      <c r="BJL50" s="652"/>
      <c r="BJW50" s="652"/>
      <c r="BKH50" s="652"/>
      <c r="BKS50" s="652"/>
      <c r="BLD50" s="652"/>
      <c r="BLO50" s="652"/>
      <c r="BLZ50" s="652"/>
      <c r="BMK50" s="652"/>
      <c r="BMV50" s="652"/>
      <c r="BNG50" s="652"/>
      <c r="BNR50" s="652"/>
      <c r="BOC50" s="652"/>
      <c r="BON50" s="652"/>
      <c r="BOY50" s="652"/>
      <c r="BPJ50" s="652"/>
      <c r="BPU50" s="652"/>
      <c r="BQF50" s="652"/>
      <c r="BQQ50" s="652"/>
      <c r="BRB50" s="652"/>
      <c r="BRM50" s="652"/>
      <c r="BRX50" s="652"/>
      <c r="BSI50" s="652"/>
      <c r="BST50" s="652"/>
      <c r="BTE50" s="652"/>
      <c r="BTP50" s="652"/>
      <c r="BUA50" s="652"/>
      <c r="BUL50" s="652"/>
      <c r="BUW50" s="652"/>
      <c r="BVH50" s="652"/>
      <c r="BVS50" s="652"/>
      <c r="BWD50" s="652"/>
      <c r="BWO50" s="652"/>
      <c r="BWZ50" s="652"/>
      <c r="BXK50" s="652"/>
      <c r="BXV50" s="652"/>
      <c r="BYG50" s="652"/>
      <c r="BYL50" s="652"/>
      <c r="BYR50" s="652"/>
      <c r="BYW50" s="652"/>
      <c r="BZH50" s="652"/>
      <c r="BZS50" s="652"/>
      <c r="CAD50" s="652"/>
      <c r="CAO50" s="652"/>
      <c r="CAZ50" s="652"/>
      <c r="CBK50" s="652"/>
      <c r="CBV50" s="652"/>
      <c r="CCG50" s="652"/>
      <c r="CCR50" s="652"/>
      <c r="CDC50" s="652"/>
      <c r="CDN50" s="652"/>
      <c r="CDY50" s="652"/>
      <c r="CEJ50" s="652"/>
      <c r="CEU50" s="652"/>
      <c r="CFF50" s="652"/>
      <c r="CFQ50" s="652"/>
      <c r="CGB50" s="652"/>
      <c r="CGM50" s="652"/>
      <c r="CGX50" s="652"/>
      <c r="CHI50" s="652"/>
      <c r="CHT50" s="652"/>
      <c r="CIE50" s="652"/>
      <c r="CIP50" s="652"/>
      <c r="CLZ50" s="652"/>
      <c r="CMK50" s="652"/>
      <c r="CMS50" s="652"/>
      <c r="CND50" s="652"/>
      <c r="CNL50" s="652"/>
      <c r="CNW50" s="652"/>
      <c r="COH50" s="652"/>
      <c r="COS50" s="652"/>
      <c r="CPD50" s="652"/>
      <c r="CPM50" s="652"/>
      <c r="CPP50" s="652"/>
    </row>
    <row r="51" spans="1503:2047 2058:2460" x14ac:dyDescent="0.25">
      <c r="BEU51" s="652"/>
      <c r="BFF51" s="652"/>
      <c r="BFQ51" s="652"/>
      <c r="BGB51" s="652"/>
      <c r="BGM51" s="652"/>
      <c r="BGX51" s="652"/>
      <c r="BHI51" s="652"/>
      <c r="BHT51" s="652"/>
      <c r="BIE51" s="652"/>
      <c r="BIP51" s="652"/>
      <c r="BJA51" s="652"/>
      <c r="BJL51" s="652"/>
      <c r="BJW51" s="652"/>
      <c r="BKH51" s="652"/>
      <c r="BKS51" s="652"/>
      <c r="BLD51" s="652"/>
      <c r="BLO51" s="652"/>
      <c r="BLZ51" s="652"/>
      <c r="BMK51" s="652"/>
      <c r="BMV51" s="652"/>
      <c r="BNG51" s="652"/>
      <c r="BNR51" s="652"/>
      <c r="BOC51" s="652"/>
      <c r="BON51" s="652"/>
      <c r="BOY51" s="652"/>
      <c r="BPJ51" s="652"/>
      <c r="BPU51" s="652"/>
      <c r="BQF51" s="652"/>
      <c r="BQQ51" s="652"/>
      <c r="BRB51" s="652"/>
      <c r="BRM51" s="652"/>
      <c r="BRX51" s="652"/>
      <c r="BSI51" s="652"/>
      <c r="BST51" s="652"/>
      <c r="BTE51" s="652"/>
      <c r="BTP51" s="652"/>
      <c r="BUA51" s="652"/>
      <c r="BUL51" s="652"/>
      <c r="BUW51" s="652"/>
      <c r="BVH51" s="652"/>
      <c r="BVS51" s="652"/>
      <c r="BWD51" s="652"/>
      <c r="BWO51" s="652"/>
      <c r="BWZ51" s="652"/>
      <c r="BXK51" s="652"/>
      <c r="BXV51" s="652"/>
      <c r="BYG51" s="652"/>
      <c r="BYL51" s="652"/>
      <c r="BYR51" s="652"/>
      <c r="BYW51" s="652"/>
      <c r="BZH51" s="652"/>
      <c r="BZS51" s="652"/>
      <c r="CAD51" s="652"/>
      <c r="CAO51" s="652"/>
      <c r="CAZ51" s="652"/>
      <c r="CBK51" s="652"/>
      <c r="CBV51" s="652"/>
      <c r="CCG51" s="652"/>
      <c r="CCR51" s="652"/>
      <c r="CDC51" s="652"/>
      <c r="CDN51" s="652"/>
      <c r="CDY51" s="652"/>
      <c r="CEJ51" s="652"/>
      <c r="CEU51" s="652"/>
      <c r="CFF51" s="652"/>
      <c r="CFQ51" s="652"/>
      <c r="CGB51" s="652"/>
      <c r="CGM51" s="652"/>
      <c r="CGX51" s="652"/>
      <c r="CHI51" s="652"/>
      <c r="CHT51" s="652"/>
      <c r="CIE51" s="652"/>
      <c r="CIP51" s="652"/>
      <c r="CLZ51" s="652"/>
      <c r="CMK51" s="652"/>
      <c r="CMS51" s="652"/>
      <c r="CND51" s="652"/>
      <c r="CNL51" s="652"/>
      <c r="CNW51" s="652"/>
      <c r="COH51" s="652"/>
      <c r="COS51" s="652"/>
      <c r="CPD51" s="652"/>
      <c r="CPM51" s="652"/>
      <c r="CPP51" s="652"/>
    </row>
    <row r="52" spans="1503:2047 2058:2460" x14ac:dyDescent="0.25">
      <c r="BEU52" s="652"/>
      <c r="BFF52" s="652"/>
      <c r="BFQ52" s="652"/>
      <c r="BGB52" s="652"/>
      <c r="BGM52" s="652"/>
      <c r="BGX52" s="652"/>
      <c r="BHI52" s="652"/>
      <c r="BHT52" s="652"/>
      <c r="BIE52" s="652"/>
      <c r="BIP52" s="652"/>
      <c r="BJA52" s="652"/>
      <c r="BJL52" s="652"/>
      <c r="BJW52" s="652"/>
      <c r="BKH52" s="652"/>
      <c r="BKS52" s="652"/>
      <c r="BLD52" s="652"/>
      <c r="BLO52" s="652"/>
      <c r="BLZ52" s="652"/>
      <c r="BMK52" s="652"/>
      <c r="BMV52" s="652"/>
      <c r="BNG52" s="652"/>
      <c r="BNR52" s="652"/>
      <c r="BOC52" s="652"/>
      <c r="BON52" s="652"/>
      <c r="BOY52" s="652"/>
      <c r="BPJ52" s="652"/>
      <c r="BPU52" s="652"/>
      <c r="BQF52" s="652"/>
      <c r="BQQ52" s="652"/>
      <c r="BRB52" s="652"/>
      <c r="BRM52" s="652"/>
      <c r="BRX52" s="652"/>
      <c r="BSI52" s="652"/>
      <c r="BST52" s="652"/>
      <c r="BTE52" s="652"/>
      <c r="BTP52" s="652"/>
      <c r="BUA52" s="652"/>
      <c r="BUL52" s="652"/>
      <c r="BUW52" s="652"/>
      <c r="BVH52" s="652"/>
      <c r="BVS52" s="652"/>
      <c r="BWD52" s="652"/>
      <c r="BWO52" s="652"/>
      <c r="BWZ52" s="652"/>
      <c r="BXK52" s="652"/>
      <c r="BXV52" s="652"/>
      <c r="BYG52" s="652"/>
      <c r="BYL52" s="652"/>
      <c r="BYR52" s="652"/>
      <c r="BYW52" s="652"/>
      <c r="BZH52" s="652"/>
      <c r="BZS52" s="652"/>
      <c r="CAD52" s="652"/>
      <c r="CAO52" s="652"/>
      <c r="CAZ52" s="652"/>
      <c r="CBK52" s="652"/>
      <c r="CBV52" s="652"/>
      <c r="CCG52" s="652"/>
      <c r="CCR52" s="652"/>
      <c r="CDC52" s="652"/>
      <c r="CDN52" s="652"/>
      <c r="CDY52" s="652"/>
      <c r="CEJ52" s="652"/>
      <c r="CEU52" s="652"/>
      <c r="CFF52" s="652"/>
      <c r="CFQ52" s="652"/>
      <c r="CGB52" s="652"/>
      <c r="CGM52" s="652"/>
      <c r="CGX52" s="652"/>
      <c r="CHI52" s="652"/>
      <c r="CHT52" s="652"/>
      <c r="CIE52" s="652"/>
      <c r="CIP52" s="652"/>
      <c r="CLZ52" s="652"/>
      <c r="CMK52" s="652"/>
      <c r="CMS52" s="652"/>
      <c r="CND52" s="652"/>
      <c r="CNL52" s="652"/>
      <c r="CNW52" s="652"/>
      <c r="COH52" s="652"/>
      <c r="COS52" s="652"/>
      <c r="CPD52" s="652"/>
      <c r="CPM52" s="652"/>
      <c r="CPP52" s="652"/>
    </row>
    <row r="53" spans="1503:2047 2058:2460" x14ac:dyDescent="0.25">
      <c r="BEU53" s="652"/>
      <c r="BFF53" s="652"/>
      <c r="BFQ53" s="652"/>
      <c r="BGB53" s="652"/>
      <c r="BGM53" s="652"/>
      <c r="BGX53" s="652"/>
      <c r="BHI53" s="652"/>
      <c r="BHT53" s="652"/>
      <c r="BIE53" s="652"/>
      <c r="BIP53" s="652"/>
      <c r="BJA53" s="652"/>
      <c r="BJL53" s="652"/>
      <c r="BJW53" s="652"/>
      <c r="BKH53" s="652"/>
      <c r="BKS53" s="652"/>
      <c r="BLD53" s="652"/>
      <c r="BLO53" s="652"/>
      <c r="BLZ53" s="652"/>
      <c r="BMK53" s="652"/>
      <c r="BMV53" s="652"/>
      <c r="BNG53" s="652"/>
      <c r="BNR53" s="652"/>
      <c r="BOC53" s="652"/>
      <c r="BON53" s="652"/>
      <c r="BOY53" s="652"/>
      <c r="BPJ53" s="652"/>
      <c r="BPU53" s="652"/>
      <c r="BQF53" s="652"/>
      <c r="BQQ53" s="652"/>
      <c r="BRB53" s="652"/>
      <c r="BRM53" s="652"/>
      <c r="BRX53" s="652"/>
      <c r="BSI53" s="652"/>
      <c r="BST53" s="652"/>
      <c r="BTE53" s="652"/>
      <c r="BTP53" s="652"/>
      <c r="BUA53" s="652"/>
      <c r="BUL53" s="652"/>
      <c r="BUW53" s="652"/>
      <c r="BVH53" s="652"/>
      <c r="BVS53" s="652"/>
      <c r="BWD53" s="652"/>
      <c r="BWO53" s="652"/>
      <c r="BWZ53" s="652"/>
      <c r="BXK53" s="652"/>
      <c r="BXV53" s="652"/>
      <c r="BYG53" s="652"/>
      <c r="BYL53" s="652"/>
      <c r="BYR53" s="652"/>
      <c r="BYW53" s="652"/>
      <c r="BZH53" s="652"/>
      <c r="BZS53" s="652"/>
      <c r="CAD53" s="652"/>
      <c r="CAO53" s="652"/>
      <c r="CAZ53" s="652"/>
      <c r="CBK53" s="652"/>
      <c r="CBV53" s="652"/>
      <c r="CCG53" s="652"/>
      <c r="CCR53" s="652"/>
      <c r="CDC53" s="652"/>
      <c r="CDN53" s="652"/>
      <c r="CDY53" s="652"/>
      <c r="CEJ53" s="652"/>
      <c r="CEU53" s="652"/>
      <c r="CFF53" s="652"/>
      <c r="CFQ53" s="652"/>
      <c r="CGB53" s="652"/>
      <c r="CGM53" s="652"/>
      <c r="CGX53" s="652"/>
      <c r="CHI53" s="652"/>
      <c r="CHT53" s="652"/>
      <c r="CIE53" s="652"/>
      <c r="CIP53" s="652"/>
      <c r="CLZ53" s="652"/>
      <c r="CMK53" s="652"/>
      <c r="CMS53" s="652"/>
      <c r="CND53" s="652"/>
      <c r="CNL53" s="652"/>
      <c r="CNW53" s="652"/>
      <c r="COH53" s="652"/>
      <c r="COS53" s="652"/>
      <c r="CPD53" s="652"/>
      <c r="CPM53" s="652"/>
      <c r="CPP53" s="652"/>
    </row>
    <row r="54" spans="1503:2047 2058:2460" x14ac:dyDescent="0.25">
      <c r="BEU54" s="652"/>
      <c r="BFF54" s="652"/>
      <c r="BFQ54" s="652"/>
      <c r="BGB54" s="652"/>
      <c r="BGM54" s="652"/>
      <c r="BGX54" s="652"/>
      <c r="BHI54" s="652"/>
      <c r="BHT54" s="652"/>
      <c r="BIE54" s="652"/>
      <c r="BIP54" s="652"/>
      <c r="BJA54" s="652"/>
      <c r="BJL54" s="652"/>
      <c r="BJW54" s="652"/>
      <c r="BKH54" s="652"/>
      <c r="BKS54" s="652"/>
      <c r="BLD54" s="652"/>
      <c r="BLO54" s="652"/>
      <c r="BLZ54" s="652"/>
      <c r="BMK54" s="652"/>
      <c r="BMV54" s="652"/>
      <c r="BNG54" s="652"/>
      <c r="BNR54" s="652"/>
      <c r="BOC54" s="652"/>
      <c r="BON54" s="652"/>
      <c r="BOY54" s="652"/>
      <c r="BPJ54" s="652"/>
      <c r="BPU54" s="652"/>
      <c r="BQF54" s="652"/>
      <c r="BQQ54" s="652"/>
      <c r="BRB54" s="652"/>
      <c r="BRM54" s="652"/>
      <c r="BRX54" s="652"/>
      <c r="BSI54" s="652"/>
      <c r="BST54" s="652"/>
      <c r="BTE54" s="652"/>
      <c r="BTP54" s="652"/>
      <c r="BUA54" s="652"/>
      <c r="BUL54" s="652"/>
      <c r="BUW54" s="652"/>
      <c r="BVH54" s="652"/>
      <c r="BVS54" s="652"/>
      <c r="BWD54" s="652"/>
      <c r="BWO54" s="652"/>
      <c r="BWZ54" s="652"/>
      <c r="BXK54" s="652"/>
      <c r="BXV54" s="652"/>
      <c r="BYG54" s="652"/>
      <c r="BYL54" s="652"/>
      <c r="BYR54" s="652"/>
      <c r="BYW54" s="652"/>
      <c r="BZH54" s="652"/>
      <c r="BZS54" s="652"/>
      <c r="CAD54" s="652"/>
      <c r="CAO54" s="652"/>
      <c r="CAZ54" s="652"/>
      <c r="CBK54" s="652"/>
      <c r="CBV54" s="652"/>
      <c r="CCG54" s="652"/>
      <c r="CCR54" s="652"/>
      <c r="CDC54" s="652"/>
      <c r="CDN54" s="652"/>
      <c r="CDY54" s="652"/>
      <c r="CEJ54" s="652"/>
      <c r="CEU54" s="652"/>
      <c r="CFF54" s="652"/>
      <c r="CFQ54" s="652"/>
      <c r="CGB54" s="652"/>
      <c r="CGM54" s="652"/>
      <c r="CGX54" s="652"/>
      <c r="CHI54" s="652"/>
      <c r="CHT54" s="652"/>
      <c r="CIE54" s="652"/>
      <c r="CIP54" s="652"/>
      <c r="CLZ54" s="652"/>
      <c r="CMK54" s="652"/>
      <c r="CMS54" s="652"/>
      <c r="CND54" s="652"/>
      <c r="CNL54" s="652"/>
      <c r="CNW54" s="652"/>
      <c r="COH54" s="652"/>
      <c r="COS54" s="652"/>
      <c r="CPD54" s="652"/>
      <c r="CPM54" s="652"/>
      <c r="CPP54" s="652"/>
    </row>
    <row r="55" spans="1503:2047 2058:2460" x14ac:dyDescent="0.25">
      <c r="BEU55" s="652"/>
      <c r="BFF55" s="652"/>
      <c r="BFQ55" s="652"/>
      <c r="BGB55" s="652"/>
      <c r="BGM55" s="652"/>
      <c r="BGX55" s="652"/>
      <c r="BHI55" s="652"/>
      <c r="BHT55" s="652"/>
      <c r="BIE55" s="652"/>
      <c r="BIP55" s="652"/>
      <c r="BJA55" s="652"/>
      <c r="BJL55" s="652"/>
      <c r="BJW55" s="652"/>
      <c r="BKH55" s="652"/>
      <c r="BKS55" s="652"/>
      <c r="BLD55" s="652"/>
      <c r="BLO55" s="652"/>
      <c r="BLZ55" s="652"/>
      <c r="BMK55" s="652"/>
      <c r="BMV55" s="652"/>
      <c r="BNG55" s="652"/>
      <c r="BNR55" s="652"/>
      <c r="BOC55" s="652"/>
      <c r="BON55" s="652"/>
      <c r="BOY55" s="652"/>
      <c r="BPJ55" s="652"/>
      <c r="BPU55" s="652"/>
      <c r="BQF55" s="652"/>
      <c r="BQQ55" s="652"/>
      <c r="BRB55" s="652"/>
      <c r="BRM55" s="652"/>
      <c r="BRX55" s="652"/>
      <c r="BSI55" s="652"/>
      <c r="BST55" s="652"/>
      <c r="BTE55" s="652"/>
      <c r="BTP55" s="652"/>
      <c r="BUA55" s="652"/>
      <c r="BUL55" s="652"/>
      <c r="BUW55" s="652"/>
      <c r="BVH55" s="652"/>
      <c r="BVS55" s="652"/>
      <c r="BWD55" s="652"/>
      <c r="BWO55" s="652"/>
      <c r="BWZ55" s="652"/>
      <c r="BXK55" s="652"/>
      <c r="BXV55" s="652"/>
      <c r="BYG55" s="652"/>
      <c r="BYL55" s="652"/>
      <c r="BYR55" s="652"/>
      <c r="BYW55" s="652"/>
      <c r="BZH55" s="652"/>
      <c r="BZS55" s="652"/>
      <c r="CAD55" s="652"/>
      <c r="CAO55" s="652"/>
      <c r="CAZ55" s="652"/>
      <c r="CBK55" s="652"/>
      <c r="CBV55" s="652"/>
      <c r="CCG55" s="652"/>
      <c r="CCR55" s="652"/>
      <c r="CDC55" s="652"/>
      <c r="CDN55" s="652"/>
      <c r="CDY55" s="652"/>
      <c r="CEJ55" s="652"/>
      <c r="CEU55" s="652"/>
      <c r="CFF55" s="652"/>
      <c r="CFQ55" s="652"/>
      <c r="CGB55" s="652"/>
      <c r="CGM55" s="652"/>
      <c r="CGX55" s="652"/>
      <c r="CHI55" s="652"/>
      <c r="CHT55" s="652"/>
      <c r="CIE55" s="652"/>
      <c r="CIP55" s="652"/>
      <c r="CLZ55" s="652"/>
      <c r="CMK55" s="652"/>
      <c r="CMS55" s="652"/>
      <c r="CND55" s="652"/>
      <c r="CNL55" s="652"/>
      <c r="CNW55" s="652"/>
      <c r="COH55" s="652"/>
      <c r="COS55" s="652"/>
      <c r="CPD55" s="652"/>
      <c r="CPP55" s="652"/>
    </row>
    <row r="56" spans="1503:2047 2058:2460" x14ac:dyDescent="0.25">
      <c r="BEU56" s="652"/>
      <c r="BFF56" s="652"/>
      <c r="BFQ56" s="652"/>
      <c r="BGB56" s="652"/>
      <c r="BGM56" s="652"/>
      <c r="BGX56" s="652"/>
      <c r="BHI56" s="652"/>
      <c r="BHT56" s="652"/>
      <c r="BIE56" s="652"/>
      <c r="BIP56" s="652"/>
      <c r="BJA56" s="652"/>
      <c r="BJL56" s="652"/>
      <c r="BJW56" s="652"/>
      <c r="BKH56" s="652"/>
      <c r="BKS56" s="652"/>
      <c r="BLD56" s="652"/>
      <c r="BLO56" s="652"/>
      <c r="BLZ56" s="652"/>
      <c r="BMK56" s="652"/>
      <c r="BMV56" s="652"/>
      <c r="BNG56" s="652"/>
      <c r="BNR56" s="652"/>
      <c r="BOC56" s="652"/>
      <c r="BON56" s="652"/>
      <c r="BOY56" s="652"/>
      <c r="BPJ56" s="652"/>
      <c r="BPU56" s="652"/>
      <c r="BQF56" s="652"/>
      <c r="BQQ56" s="652"/>
      <c r="BRB56" s="652"/>
      <c r="BRM56" s="652"/>
      <c r="BRX56" s="652"/>
      <c r="BSI56" s="652"/>
      <c r="BST56" s="652"/>
      <c r="BTE56" s="652"/>
      <c r="BTP56" s="652"/>
      <c r="BUA56" s="652"/>
      <c r="BUL56" s="652"/>
      <c r="BUW56" s="652"/>
      <c r="BVH56" s="652"/>
      <c r="BVS56" s="652"/>
      <c r="BWD56" s="652"/>
      <c r="BWO56" s="652"/>
      <c r="BWZ56" s="652"/>
      <c r="BXK56" s="652"/>
      <c r="BXV56" s="652"/>
      <c r="BYG56" s="652"/>
      <c r="BYL56" s="652"/>
      <c r="BYR56" s="652"/>
      <c r="BYW56" s="652"/>
      <c r="BZH56" s="652"/>
      <c r="BZS56" s="652"/>
      <c r="CAD56" s="652"/>
      <c r="CAO56" s="652"/>
      <c r="CAZ56" s="652"/>
      <c r="CBK56" s="652"/>
      <c r="CBV56" s="652"/>
      <c r="CCG56" s="652"/>
      <c r="CCR56" s="652"/>
      <c r="CDC56" s="652"/>
      <c r="CDN56" s="652"/>
      <c r="CDY56" s="652"/>
      <c r="CEJ56" s="652"/>
      <c r="CEU56" s="652"/>
      <c r="CFF56" s="652"/>
      <c r="CFQ56" s="652"/>
      <c r="CGB56" s="652"/>
      <c r="CGM56" s="652"/>
      <c r="CGX56" s="652"/>
      <c r="CHI56" s="652"/>
      <c r="CHT56" s="652"/>
      <c r="CIE56" s="652"/>
      <c r="CIP56" s="652"/>
      <c r="CLZ56" s="652"/>
      <c r="CMK56" s="652"/>
      <c r="CMS56" s="652"/>
      <c r="CND56" s="652"/>
      <c r="CNL56" s="652"/>
      <c r="CNW56" s="652"/>
      <c r="COH56" s="652"/>
      <c r="COS56" s="652"/>
      <c r="CPD56" s="652"/>
      <c r="CPP56" s="652"/>
    </row>
    <row r="57" spans="1503:2047 2058:2460" x14ac:dyDescent="0.25">
      <c r="BEU57" s="652"/>
      <c r="BFF57" s="652"/>
      <c r="BFQ57" s="652"/>
      <c r="BGB57" s="652"/>
      <c r="BGM57" s="652"/>
      <c r="BGX57" s="652"/>
      <c r="BHI57" s="652"/>
      <c r="BHT57" s="652"/>
      <c r="BIE57" s="652"/>
      <c r="BIP57" s="652"/>
      <c r="BJA57" s="652"/>
      <c r="BJL57" s="652"/>
      <c r="BJW57" s="652"/>
      <c r="BKH57" s="652"/>
      <c r="BKS57" s="652"/>
      <c r="BLD57" s="652"/>
      <c r="BLO57" s="652"/>
      <c r="BLZ57" s="652"/>
      <c r="BMK57" s="652"/>
      <c r="BMV57" s="652"/>
      <c r="BNG57" s="652"/>
      <c r="BNR57" s="652"/>
      <c r="BOC57" s="652"/>
      <c r="BON57" s="652"/>
      <c r="BOY57" s="652"/>
      <c r="BPJ57" s="652"/>
      <c r="BPU57" s="652"/>
      <c r="BQF57" s="652"/>
      <c r="BQQ57" s="652"/>
      <c r="BRB57" s="652"/>
      <c r="BRM57" s="652"/>
      <c r="BRX57" s="652"/>
      <c r="BSI57" s="652"/>
      <c r="BST57" s="652"/>
      <c r="BTE57" s="652"/>
      <c r="BTP57" s="652"/>
      <c r="BUA57" s="652"/>
      <c r="BUL57" s="652"/>
      <c r="BUW57" s="652"/>
      <c r="BVH57" s="652"/>
      <c r="BVS57" s="652"/>
      <c r="BWD57" s="652"/>
      <c r="BWO57" s="652"/>
      <c r="BWZ57" s="652"/>
      <c r="BXK57" s="652"/>
      <c r="BXV57" s="652"/>
      <c r="BYG57" s="652"/>
      <c r="BYL57" s="652"/>
      <c r="BYR57" s="652"/>
      <c r="BYW57" s="652"/>
      <c r="BZH57" s="652"/>
      <c r="BZS57" s="652"/>
      <c r="CAD57" s="652"/>
      <c r="CAO57" s="652"/>
      <c r="CAZ57" s="652"/>
      <c r="CBK57" s="652"/>
      <c r="CBV57" s="652"/>
      <c r="CCG57" s="652"/>
      <c r="CCR57" s="652"/>
      <c r="CDC57" s="652"/>
      <c r="CDN57" s="652"/>
      <c r="CDY57" s="652"/>
      <c r="CEJ57" s="652"/>
      <c r="CEU57" s="652"/>
      <c r="CFF57" s="652"/>
      <c r="CFQ57" s="652"/>
      <c r="CGB57" s="652"/>
      <c r="CGM57" s="652"/>
      <c r="CGX57" s="652"/>
      <c r="CHI57" s="652"/>
      <c r="CHT57" s="652"/>
      <c r="CIE57" s="652"/>
      <c r="CIP57" s="652"/>
      <c r="CLZ57" s="652"/>
      <c r="CMK57" s="652"/>
      <c r="CMS57" s="652"/>
      <c r="CND57" s="652"/>
      <c r="CNL57" s="652"/>
      <c r="CNW57" s="652"/>
      <c r="COH57" s="652"/>
      <c r="COS57" s="652"/>
      <c r="CPD57" s="652"/>
      <c r="CPP57" s="652"/>
    </row>
    <row r="58" spans="1503:2047 2058:2460" x14ac:dyDescent="0.25">
      <c r="BEU58" s="652"/>
      <c r="BFF58" s="652"/>
      <c r="BFQ58" s="652"/>
      <c r="BGB58" s="652"/>
      <c r="BGM58" s="652"/>
      <c r="BGX58" s="652"/>
      <c r="BHI58" s="652"/>
      <c r="BHT58" s="652"/>
      <c r="BIE58" s="652"/>
      <c r="BIP58" s="652"/>
      <c r="BJA58" s="652"/>
      <c r="BJL58" s="652"/>
      <c r="BJW58" s="652"/>
      <c r="BKH58" s="652"/>
      <c r="BKS58" s="652"/>
      <c r="BLD58" s="652"/>
      <c r="BLO58" s="652"/>
      <c r="BLZ58" s="652"/>
      <c r="BMK58" s="652"/>
      <c r="BMV58" s="652"/>
      <c r="BNG58" s="652"/>
      <c r="BNR58" s="652"/>
      <c r="BOC58" s="652"/>
      <c r="BON58" s="652"/>
      <c r="BOY58" s="652"/>
      <c r="BPJ58" s="652"/>
      <c r="BPU58" s="652"/>
      <c r="BQF58" s="652"/>
      <c r="BQQ58" s="652"/>
      <c r="BRB58" s="652"/>
      <c r="BRM58" s="652"/>
      <c r="BRX58" s="652"/>
      <c r="BSI58" s="652"/>
      <c r="BST58" s="652"/>
      <c r="BTE58" s="652"/>
      <c r="BTP58" s="652"/>
      <c r="BUA58" s="652"/>
      <c r="BUL58" s="652"/>
      <c r="BUW58" s="652"/>
      <c r="BVH58" s="652"/>
      <c r="BVS58" s="652"/>
      <c r="BWD58" s="652"/>
      <c r="BWO58" s="652"/>
      <c r="BWZ58" s="652"/>
      <c r="BXK58" s="652"/>
      <c r="BXV58" s="652"/>
      <c r="BYG58" s="652"/>
      <c r="BYL58" s="652"/>
      <c r="BYR58" s="652"/>
      <c r="BYW58" s="652"/>
      <c r="BZH58" s="652"/>
      <c r="BZS58" s="652"/>
      <c r="CAD58" s="652"/>
      <c r="CAO58" s="652"/>
      <c r="CAZ58" s="652"/>
      <c r="CBK58" s="652"/>
      <c r="CBV58" s="652"/>
      <c r="CCG58" s="652"/>
      <c r="CCR58" s="652"/>
      <c r="CDC58" s="652"/>
      <c r="CDN58" s="652"/>
      <c r="CDY58" s="652"/>
      <c r="CEJ58" s="652"/>
      <c r="CEU58" s="652"/>
      <c r="CFF58" s="652"/>
      <c r="CFQ58" s="652"/>
      <c r="CGB58" s="652"/>
      <c r="CGM58" s="652"/>
      <c r="CGX58" s="652"/>
      <c r="CHI58" s="652"/>
      <c r="CHT58" s="652"/>
      <c r="CIE58" s="652"/>
      <c r="CIP58" s="652"/>
      <c r="CLZ58" s="652"/>
      <c r="CMK58" s="652"/>
      <c r="CMS58" s="652"/>
      <c r="CND58" s="652"/>
      <c r="CNL58" s="652"/>
      <c r="CNW58" s="652"/>
      <c r="COH58" s="652"/>
      <c r="COS58" s="652"/>
      <c r="CPD58" s="652"/>
      <c r="CPP58" s="652"/>
    </row>
    <row r="59" spans="1503:2047 2058:2460" x14ac:dyDescent="0.25">
      <c r="BEU59" s="652"/>
      <c r="BFF59" s="652"/>
      <c r="BFQ59" s="652"/>
      <c r="BGB59" s="652"/>
      <c r="BGM59" s="652"/>
      <c r="BGX59" s="652"/>
      <c r="BHI59" s="652"/>
      <c r="BHT59" s="652"/>
      <c r="BIE59" s="652"/>
      <c r="BIP59" s="652"/>
      <c r="BJA59" s="652"/>
      <c r="BJL59" s="652"/>
      <c r="BJW59" s="652"/>
      <c r="BKH59" s="652"/>
      <c r="BKS59" s="652"/>
      <c r="BLD59" s="652"/>
      <c r="BLO59" s="652"/>
      <c r="BLZ59" s="652"/>
      <c r="BMK59" s="652"/>
      <c r="BMV59" s="652"/>
      <c r="BNG59" s="652"/>
      <c r="BNR59" s="652"/>
      <c r="BOC59" s="652"/>
      <c r="BON59" s="652"/>
      <c r="BOY59" s="652"/>
      <c r="BPJ59" s="652"/>
      <c r="BPU59" s="652"/>
      <c r="BQF59" s="652"/>
      <c r="BQQ59" s="652"/>
      <c r="BRB59" s="652"/>
      <c r="BRM59" s="652"/>
      <c r="BRX59" s="652"/>
      <c r="BSI59" s="652"/>
      <c r="BST59" s="652"/>
      <c r="BTE59" s="652"/>
      <c r="BTP59" s="652"/>
      <c r="BUA59" s="652"/>
      <c r="BUL59" s="652"/>
      <c r="BUW59" s="652"/>
      <c r="BVH59" s="652"/>
      <c r="BVS59" s="652"/>
      <c r="BWD59" s="652"/>
      <c r="BWO59" s="652"/>
      <c r="BWZ59" s="652"/>
      <c r="BXK59" s="652"/>
      <c r="BXV59" s="652"/>
      <c r="BYG59" s="652"/>
      <c r="BYL59" s="652"/>
      <c r="BYR59" s="652"/>
      <c r="BYW59" s="652"/>
      <c r="BZH59" s="652"/>
      <c r="BZS59" s="652"/>
      <c r="CAD59" s="652"/>
      <c r="CAO59" s="652"/>
      <c r="CAZ59" s="652"/>
      <c r="CBK59" s="652"/>
      <c r="CBV59" s="652"/>
      <c r="CCG59" s="652"/>
      <c r="CCR59" s="652"/>
      <c r="CDC59" s="652"/>
      <c r="CDN59" s="652"/>
      <c r="CDY59" s="652"/>
      <c r="CEJ59" s="652"/>
      <c r="CEU59" s="652"/>
      <c r="CFF59" s="652"/>
      <c r="CFQ59" s="652"/>
      <c r="CGB59" s="652"/>
      <c r="CGM59" s="652"/>
      <c r="CGX59" s="652"/>
      <c r="CHI59" s="652"/>
      <c r="CHT59" s="652"/>
      <c r="CIE59" s="652"/>
      <c r="CIP59" s="652"/>
      <c r="CLZ59" s="652"/>
      <c r="CMK59" s="652"/>
      <c r="CMS59" s="652"/>
      <c r="CND59" s="652"/>
      <c r="CNL59" s="652"/>
      <c r="CNW59" s="652"/>
      <c r="COH59" s="652"/>
      <c r="COS59" s="652"/>
      <c r="CPD59" s="652"/>
      <c r="CPP59" s="652"/>
    </row>
    <row r="60" spans="1503:2047 2058:2460" x14ac:dyDescent="0.25">
      <c r="BEU60" s="652"/>
      <c r="BFF60" s="652"/>
      <c r="BFQ60" s="652"/>
      <c r="BGB60" s="652"/>
      <c r="BGM60" s="652"/>
      <c r="BGX60" s="652"/>
      <c r="BHI60" s="652"/>
      <c r="BHT60" s="652"/>
      <c r="BIE60" s="652"/>
      <c r="BIP60" s="652"/>
      <c r="BJA60" s="652"/>
      <c r="BJL60" s="652"/>
      <c r="BJW60" s="652"/>
      <c r="BKH60" s="652"/>
      <c r="BKS60" s="652"/>
      <c r="BLD60" s="652"/>
      <c r="BLO60" s="652"/>
      <c r="BLZ60" s="652"/>
      <c r="BMK60" s="652"/>
      <c r="BMV60" s="652"/>
      <c r="BNG60" s="652"/>
      <c r="BNR60" s="652"/>
      <c r="BOC60" s="652"/>
      <c r="BON60" s="652"/>
      <c r="BOY60" s="652"/>
      <c r="BPJ60" s="652"/>
      <c r="BPU60" s="652"/>
      <c r="BQF60" s="652"/>
      <c r="BQQ60" s="652"/>
      <c r="BRB60" s="652"/>
      <c r="BRM60" s="652"/>
      <c r="BRX60" s="652"/>
      <c r="BSI60" s="652"/>
      <c r="BST60" s="652"/>
      <c r="BTE60" s="652"/>
      <c r="BTP60" s="652"/>
      <c r="BUA60" s="652"/>
      <c r="BUL60" s="652"/>
      <c r="BUW60" s="652"/>
      <c r="BVH60" s="652"/>
      <c r="BVS60" s="652"/>
      <c r="BWD60" s="652"/>
      <c r="BWO60" s="652"/>
      <c r="BWZ60" s="652"/>
      <c r="BXK60" s="652"/>
      <c r="BXV60" s="652"/>
      <c r="BYG60" s="652"/>
      <c r="BYL60" s="652"/>
      <c r="BYR60" s="652"/>
      <c r="BYW60" s="652"/>
      <c r="BZH60" s="652"/>
      <c r="BZS60" s="652"/>
      <c r="CAD60" s="652"/>
      <c r="CAO60" s="652"/>
      <c r="CAZ60" s="652"/>
      <c r="CBK60" s="652"/>
      <c r="CBV60" s="652"/>
      <c r="CCG60" s="652"/>
      <c r="CCR60" s="652"/>
      <c r="CDC60" s="652"/>
      <c r="CDN60" s="652"/>
      <c r="CDY60" s="652"/>
      <c r="CEJ60" s="652"/>
      <c r="CEU60" s="652"/>
      <c r="CFF60" s="652"/>
      <c r="CFQ60" s="652"/>
      <c r="CGB60" s="652"/>
      <c r="CGM60" s="652"/>
      <c r="CGX60" s="652"/>
      <c r="CHI60" s="652"/>
      <c r="CHT60" s="652"/>
      <c r="CIE60" s="652"/>
      <c r="CIP60" s="652"/>
      <c r="CLZ60" s="652"/>
      <c r="CMK60" s="652"/>
      <c r="CMS60" s="652"/>
      <c r="CND60" s="652"/>
      <c r="CNL60" s="652"/>
      <c r="CNW60" s="652"/>
      <c r="COH60" s="652"/>
      <c r="COS60" s="652"/>
      <c r="CPD60" s="652"/>
      <c r="CPP60" s="652"/>
    </row>
    <row r="61" spans="1503:2047 2058:2460" x14ac:dyDescent="0.25">
      <c r="BEU61" s="652"/>
      <c r="BFF61" s="652"/>
      <c r="BFQ61" s="652"/>
      <c r="BGB61" s="652"/>
      <c r="BGM61" s="652"/>
      <c r="BGX61" s="652"/>
      <c r="BHI61" s="652"/>
      <c r="BHT61" s="652"/>
      <c r="BIE61" s="652"/>
      <c r="BIP61" s="652"/>
      <c r="BJA61" s="652"/>
      <c r="BJL61" s="652"/>
      <c r="BJW61" s="652"/>
      <c r="BKH61" s="652"/>
      <c r="BKS61" s="652"/>
      <c r="BLD61" s="652"/>
      <c r="BLO61" s="652"/>
      <c r="BLZ61" s="652"/>
      <c r="BMK61" s="652"/>
      <c r="BMV61" s="652"/>
      <c r="BNG61" s="652"/>
      <c r="BNR61" s="652"/>
      <c r="BOC61" s="652"/>
      <c r="BON61" s="652"/>
      <c r="BOY61" s="652"/>
      <c r="BPJ61" s="652"/>
      <c r="BPU61" s="652"/>
      <c r="BQF61" s="652"/>
      <c r="BQQ61" s="652"/>
      <c r="BRB61" s="652"/>
      <c r="BRM61" s="652"/>
      <c r="BRX61" s="652"/>
      <c r="BSI61" s="652"/>
      <c r="BST61" s="652"/>
      <c r="BTE61" s="652"/>
      <c r="BTP61" s="652"/>
      <c r="BUA61" s="652"/>
      <c r="BUL61" s="652"/>
      <c r="BUW61" s="652"/>
      <c r="BVH61" s="652"/>
      <c r="BVS61" s="652"/>
      <c r="BWD61" s="652"/>
      <c r="BWO61" s="652"/>
      <c r="BWZ61" s="652"/>
      <c r="BXK61" s="652"/>
      <c r="BXV61" s="652"/>
      <c r="BYG61" s="652"/>
      <c r="BYL61" s="652"/>
      <c r="BYR61" s="652"/>
      <c r="BYW61" s="652"/>
      <c r="BZH61" s="652"/>
      <c r="BZS61" s="652"/>
      <c r="CAD61" s="652"/>
      <c r="CAO61" s="652"/>
      <c r="CAZ61" s="652"/>
      <c r="CBK61" s="652"/>
      <c r="CBV61" s="652"/>
      <c r="CCG61" s="652"/>
      <c r="CCR61" s="652"/>
      <c r="CDC61" s="652"/>
      <c r="CDN61" s="652"/>
      <c r="CDY61" s="652"/>
      <c r="CEJ61" s="652"/>
      <c r="CEU61" s="652"/>
      <c r="CFF61" s="652"/>
      <c r="CFQ61" s="652"/>
      <c r="CGB61" s="652"/>
      <c r="CGM61" s="652"/>
      <c r="CGX61" s="652"/>
      <c r="CHI61" s="652"/>
      <c r="CHT61" s="652"/>
      <c r="CIE61" s="652"/>
      <c r="CIP61" s="652"/>
      <c r="CLZ61" s="652"/>
      <c r="CMK61" s="652"/>
      <c r="CMS61" s="652"/>
      <c r="CND61" s="652"/>
      <c r="CNL61" s="652"/>
      <c r="CNW61" s="652"/>
      <c r="COH61" s="652"/>
      <c r="COS61" s="652"/>
      <c r="CPD61" s="652"/>
      <c r="CPP61" s="652"/>
    </row>
    <row r="62" spans="1503:2047 2058:2460" x14ac:dyDescent="0.25">
      <c r="BEU62" s="652"/>
      <c r="BFF62" s="652"/>
      <c r="BFQ62" s="652"/>
      <c r="BGB62" s="652"/>
      <c r="BGM62" s="652"/>
      <c r="BGX62" s="652"/>
      <c r="BHI62" s="652"/>
      <c r="BHT62" s="652"/>
      <c r="BIE62" s="652"/>
      <c r="BIP62" s="652"/>
      <c r="BJA62" s="652"/>
      <c r="BJL62" s="652"/>
      <c r="BJW62" s="652"/>
      <c r="BKH62" s="652"/>
      <c r="BKS62" s="652"/>
      <c r="BLD62" s="652"/>
      <c r="BLO62" s="652"/>
      <c r="BLZ62" s="652"/>
      <c r="BMK62" s="652"/>
      <c r="BMV62" s="652"/>
      <c r="BNG62" s="652"/>
      <c r="BNR62" s="652"/>
      <c r="BOC62" s="652"/>
      <c r="BON62" s="652"/>
      <c r="BOY62" s="652"/>
      <c r="BPJ62" s="652"/>
      <c r="BPU62" s="652"/>
      <c r="BQF62" s="652"/>
      <c r="BQQ62" s="652"/>
      <c r="BRB62" s="652"/>
      <c r="BRM62" s="652"/>
      <c r="BRX62" s="652"/>
      <c r="BSI62" s="652"/>
      <c r="BST62" s="652"/>
      <c r="BTE62" s="652"/>
      <c r="BTP62" s="652"/>
      <c r="BUA62" s="652"/>
      <c r="BUL62" s="652"/>
      <c r="BUW62" s="652"/>
      <c r="BVH62" s="652"/>
      <c r="BVS62" s="652"/>
      <c r="BWD62" s="652"/>
      <c r="BWO62" s="652"/>
      <c r="BWZ62" s="652"/>
      <c r="BXK62" s="652"/>
      <c r="BXV62" s="652"/>
      <c r="BYG62" s="652"/>
      <c r="BYL62" s="652"/>
      <c r="BYR62" s="652"/>
      <c r="BYW62" s="652"/>
      <c r="BZH62" s="652"/>
      <c r="BZS62" s="652"/>
      <c r="CAD62" s="652"/>
      <c r="CAO62" s="652"/>
      <c r="CAZ62" s="652"/>
      <c r="CBK62" s="652"/>
      <c r="CBV62" s="652"/>
      <c r="CCG62" s="652"/>
      <c r="CCR62" s="652"/>
      <c r="CDC62" s="652"/>
      <c r="CDN62" s="652"/>
      <c r="CDY62" s="652"/>
      <c r="CEJ62" s="652"/>
      <c r="CEU62" s="652"/>
      <c r="CFF62" s="652"/>
      <c r="CFQ62" s="652"/>
      <c r="CGB62" s="652"/>
      <c r="CGM62" s="652"/>
      <c r="CGX62" s="652"/>
      <c r="CHI62" s="652"/>
      <c r="CHT62" s="652"/>
      <c r="CIE62" s="652"/>
      <c r="CIP62" s="652"/>
      <c r="CLZ62" s="652"/>
      <c r="CMK62" s="652"/>
      <c r="CMS62" s="652"/>
      <c r="CND62" s="652"/>
      <c r="CNL62" s="652"/>
      <c r="CNW62" s="652"/>
      <c r="COH62" s="652"/>
      <c r="COS62" s="652"/>
      <c r="CPD62" s="652"/>
      <c r="CPP62" s="652"/>
    </row>
    <row r="63" spans="1503:2047 2058:2460" x14ac:dyDescent="0.25">
      <c r="BEU63" s="652"/>
      <c r="BFF63" s="652"/>
      <c r="BFQ63" s="652"/>
      <c r="BGB63" s="652"/>
      <c r="BGM63" s="652"/>
      <c r="BGX63" s="652"/>
      <c r="BHI63" s="652"/>
      <c r="BHT63" s="652"/>
      <c r="BIE63" s="652"/>
      <c r="BIP63" s="652"/>
      <c r="BJA63" s="652"/>
      <c r="BJL63" s="652"/>
      <c r="BJW63" s="652"/>
      <c r="BKH63" s="652"/>
      <c r="BKS63" s="652"/>
      <c r="BLD63" s="652"/>
      <c r="BLO63" s="652"/>
      <c r="BLZ63" s="652"/>
      <c r="BMK63" s="652"/>
      <c r="BMV63" s="652"/>
      <c r="BNG63" s="652"/>
      <c r="BNR63" s="652"/>
      <c r="BOC63" s="652"/>
      <c r="BON63" s="652"/>
      <c r="BOY63" s="652"/>
      <c r="BPJ63" s="652"/>
      <c r="BPU63" s="652"/>
      <c r="BQF63" s="652"/>
      <c r="BQQ63" s="652"/>
      <c r="BRB63" s="652"/>
      <c r="BRM63" s="652"/>
      <c r="BRX63" s="652"/>
      <c r="BSI63" s="652"/>
      <c r="BST63" s="652"/>
      <c r="BTE63" s="652"/>
      <c r="BTP63" s="652"/>
      <c r="BUA63" s="652"/>
      <c r="BUL63" s="652"/>
      <c r="BUW63" s="652"/>
      <c r="BVH63" s="652"/>
      <c r="BVS63" s="652"/>
      <c r="BWD63" s="652"/>
      <c r="BWO63" s="652"/>
      <c r="BWZ63" s="652"/>
      <c r="BXK63" s="652"/>
      <c r="BXV63" s="652"/>
      <c r="BYG63" s="652"/>
      <c r="BYL63" s="652"/>
      <c r="BYR63" s="652"/>
      <c r="BYW63" s="652"/>
      <c r="BZH63" s="652"/>
      <c r="BZS63" s="652"/>
      <c r="CAD63" s="652"/>
      <c r="CAO63" s="652"/>
      <c r="CAZ63" s="652"/>
      <c r="CBK63" s="652"/>
      <c r="CBV63" s="652"/>
      <c r="CCG63" s="652"/>
      <c r="CCR63" s="652"/>
      <c r="CDC63" s="652"/>
      <c r="CDN63" s="652"/>
      <c r="CDY63" s="652"/>
      <c r="CEJ63" s="652"/>
      <c r="CEU63" s="652"/>
      <c r="CFF63" s="652"/>
      <c r="CFQ63" s="652"/>
      <c r="CGB63" s="652"/>
      <c r="CGM63" s="652"/>
      <c r="CGX63" s="652"/>
      <c r="CHI63" s="652"/>
      <c r="CHT63" s="652"/>
      <c r="CIE63" s="652"/>
      <c r="CIP63" s="652"/>
      <c r="CLZ63" s="652"/>
      <c r="CMK63" s="652"/>
      <c r="CMS63" s="652"/>
      <c r="CND63" s="652"/>
      <c r="CNL63" s="652"/>
      <c r="CNW63" s="652"/>
      <c r="COH63" s="652"/>
      <c r="COS63" s="652"/>
      <c r="CPD63" s="652"/>
      <c r="CPP63" s="652"/>
    </row>
    <row r="64" spans="1503:2047 2058:2460" x14ac:dyDescent="0.25">
      <c r="BEU64" s="652"/>
      <c r="BFF64" s="652"/>
      <c r="BFQ64" s="652"/>
      <c r="BGB64" s="652"/>
      <c r="BGM64" s="652"/>
      <c r="BGX64" s="652"/>
      <c r="BHI64" s="652"/>
      <c r="BHT64" s="652"/>
      <c r="BIE64" s="652"/>
      <c r="BIP64" s="652"/>
      <c r="BJA64" s="652"/>
      <c r="BJL64" s="652"/>
      <c r="BJW64" s="652"/>
      <c r="BKH64" s="652"/>
      <c r="BKS64" s="652"/>
      <c r="BLD64" s="652"/>
      <c r="BLO64" s="652"/>
      <c r="BLZ64" s="652"/>
      <c r="BMK64" s="652"/>
      <c r="BMV64" s="652"/>
      <c r="BNG64" s="652"/>
      <c r="BNR64" s="652"/>
      <c r="BOC64" s="652"/>
      <c r="BON64" s="652"/>
      <c r="BOY64" s="652"/>
      <c r="BPJ64" s="652"/>
      <c r="BPU64" s="652"/>
      <c r="BQF64" s="652"/>
      <c r="BQQ64" s="652"/>
      <c r="BRB64" s="652"/>
      <c r="BRM64" s="652"/>
      <c r="BRX64" s="652"/>
      <c r="BSI64" s="652"/>
      <c r="BST64" s="652"/>
      <c r="BTE64" s="652"/>
      <c r="BTP64" s="652"/>
      <c r="BUA64" s="652"/>
      <c r="BUL64" s="652"/>
      <c r="BUW64" s="652"/>
      <c r="BVH64" s="652"/>
      <c r="BVS64" s="652"/>
      <c r="BWD64" s="652"/>
      <c r="BWO64" s="652"/>
      <c r="BWZ64" s="652"/>
      <c r="BXK64" s="652"/>
      <c r="BXV64" s="652"/>
      <c r="BYG64" s="652"/>
      <c r="BYL64" s="652"/>
      <c r="BYR64" s="652"/>
      <c r="BYW64" s="652"/>
      <c r="BZH64" s="652"/>
      <c r="BZS64" s="652"/>
      <c r="CAD64" s="652"/>
      <c r="CAO64" s="652"/>
      <c r="CAZ64" s="652"/>
      <c r="CBK64" s="652"/>
      <c r="CBV64" s="652"/>
      <c r="CCG64" s="652"/>
      <c r="CCR64" s="652"/>
      <c r="CDC64" s="652"/>
      <c r="CDN64" s="652"/>
      <c r="CDY64" s="652"/>
      <c r="CEJ64" s="652"/>
      <c r="CEU64" s="652"/>
      <c r="CFF64" s="652"/>
      <c r="CFQ64" s="652"/>
      <c r="CGB64" s="652"/>
      <c r="CGM64" s="652"/>
      <c r="CGX64" s="652"/>
      <c r="CHI64" s="652"/>
      <c r="CHT64" s="652"/>
      <c r="CIE64" s="652"/>
      <c r="CIP64" s="652"/>
      <c r="CLZ64" s="652"/>
      <c r="CMK64" s="652"/>
      <c r="CMS64" s="652"/>
      <c r="CND64" s="652"/>
      <c r="CNL64" s="652"/>
      <c r="CNW64" s="652"/>
      <c r="COH64" s="652"/>
      <c r="COS64" s="652"/>
      <c r="CPD64" s="652"/>
      <c r="CPP64" s="652"/>
    </row>
    <row r="65" spans="1503:2047 2058:2460" x14ac:dyDescent="0.25">
      <c r="BEU65" s="652"/>
      <c r="BFF65" s="652"/>
      <c r="BFQ65" s="652"/>
      <c r="BGB65" s="652"/>
      <c r="BGM65" s="652"/>
      <c r="BGX65" s="652"/>
      <c r="BHI65" s="652"/>
      <c r="BHT65" s="652"/>
      <c r="BIE65" s="652"/>
      <c r="BIP65" s="652"/>
      <c r="BJA65" s="652"/>
      <c r="BJL65" s="652"/>
      <c r="BJW65" s="652"/>
      <c r="BKH65" s="652"/>
      <c r="BKS65" s="652"/>
      <c r="BLD65" s="652"/>
      <c r="BLO65" s="652"/>
      <c r="BLZ65" s="652"/>
      <c r="BMK65" s="652"/>
      <c r="BMV65" s="652"/>
      <c r="BNG65" s="652"/>
      <c r="BNR65" s="652"/>
      <c r="BOC65" s="652"/>
      <c r="BON65" s="652"/>
      <c r="BOY65" s="652"/>
      <c r="BPJ65" s="652"/>
      <c r="BPU65" s="652"/>
      <c r="BQF65" s="652"/>
      <c r="BQQ65" s="652"/>
      <c r="BRB65" s="652"/>
      <c r="BRM65" s="652"/>
      <c r="BRX65" s="652"/>
      <c r="BSI65" s="652"/>
      <c r="BST65" s="652"/>
      <c r="BTE65" s="652"/>
      <c r="BTP65" s="652"/>
      <c r="BUA65" s="652"/>
      <c r="BUL65" s="652"/>
      <c r="BUW65" s="652"/>
      <c r="BVH65" s="652"/>
      <c r="BVS65" s="652"/>
      <c r="BWD65" s="652"/>
      <c r="BWO65" s="652"/>
      <c r="BWZ65" s="652"/>
      <c r="BXK65" s="652"/>
      <c r="BXV65" s="652"/>
      <c r="BYG65" s="652"/>
      <c r="BYL65" s="652"/>
      <c r="BYR65" s="652"/>
      <c r="BYW65" s="652"/>
      <c r="BZH65" s="652"/>
      <c r="BZS65" s="652"/>
      <c r="CAD65" s="652"/>
      <c r="CAO65" s="652"/>
      <c r="CAZ65" s="652"/>
      <c r="CBK65" s="652"/>
      <c r="CBV65" s="652"/>
      <c r="CCG65" s="652"/>
      <c r="CCR65" s="652"/>
      <c r="CDC65" s="652"/>
      <c r="CDN65" s="652"/>
      <c r="CDY65" s="652"/>
      <c r="CEJ65" s="652"/>
      <c r="CEU65" s="652"/>
      <c r="CFF65" s="652"/>
      <c r="CFQ65" s="652"/>
      <c r="CGB65" s="652"/>
      <c r="CGM65" s="652"/>
      <c r="CGX65" s="652"/>
      <c r="CHI65" s="652"/>
      <c r="CHT65" s="652"/>
      <c r="CIE65" s="652"/>
      <c r="CIP65" s="652"/>
      <c r="CLZ65" s="652"/>
      <c r="CMK65" s="652"/>
      <c r="CMS65" s="652"/>
      <c r="CND65" s="652"/>
      <c r="CNL65" s="652"/>
      <c r="CNW65" s="652"/>
      <c r="COH65" s="652"/>
      <c r="COS65" s="652"/>
      <c r="CPD65" s="652"/>
      <c r="CPP65" s="65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2:CU179"/>
  <sheetViews>
    <sheetView showGridLines="0" zoomScale="70" zoomScaleNormal="70" workbookViewId="0">
      <selection activeCell="B158" sqref="B158:Q178"/>
    </sheetView>
  </sheetViews>
  <sheetFormatPr baseColWidth="10" defaultColWidth="9.1796875" defaultRowHeight="12.5" x14ac:dyDescent="0.25"/>
  <cols>
    <col min="1" max="1" width="1.453125" customWidth="1"/>
    <col min="2" max="2" width="7.26953125" customWidth="1"/>
    <col min="3" max="3" width="21.08984375" customWidth="1"/>
    <col min="4" max="4" width="8.90625" bestFit="1" customWidth="1"/>
    <col min="5" max="5" width="11.7265625" customWidth="1"/>
    <col min="6" max="6" width="8.90625" bestFit="1" customWidth="1"/>
    <col min="7" max="7" width="8.1796875" customWidth="1"/>
    <col min="8" max="8" width="8.90625" bestFit="1" customWidth="1"/>
    <col min="9" max="9" width="10.1796875" bestFit="1" customWidth="1"/>
    <col min="10" max="10" width="9.7265625" customWidth="1"/>
    <col min="11" max="11" width="9.90625" bestFit="1" customWidth="1"/>
    <col min="12" max="12" width="8.90625" bestFit="1" customWidth="1"/>
    <col min="13" max="13" width="10.1796875" bestFit="1" customWidth="1"/>
    <col min="14" max="14" width="9.81640625" bestFit="1" customWidth="1"/>
    <col min="15" max="15" width="8.453125" bestFit="1" customWidth="1"/>
    <col min="16" max="16" width="11.453125" bestFit="1" customWidth="1"/>
    <col min="17" max="17" width="10.08984375" bestFit="1" customWidth="1"/>
    <col min="18" max="18" width="2.453125" customWidth="1"/>
    <col min="19" max="19" width="7" customWidth="1"/>
    <col min="20" max="20" width="20.90625" customWidth="1"/>
    <col min="21" max="21" width="7.36328125" bestFit="1" customWidth="1"/>
    <col min="22" max="22" width="8.90625" bestFit="1" customWidth="1"/>
    <col min="23" max="23" width="7.36328125" bestFit="1" customWidth="1"/>
    <col min="24" max="24" width="8.1796875" hidden="1" customWidth="1"/>
    <col min="25" max="25" width="7.36328125" bestFit="1" customWidth="1"/>
    <col min="26" max="26" width="8.90625" bestFit="1" customWidth="1"/>
    <col min="27" max="27" width="9.7265625" hidden="1" customWidth="1"/>
    <col min="28" max="28" width="9.81640625" bestFit="1" customWidth="1"/>
    <col min="29" max="29" width="7.36328125" bestFit="1" customWidth="1"/>
    <col min="30" max="30" width="8.90625" bestFit="1" customWidth="1"/>
    <col min="31" max="31" width="9.81640625" bestFit="1" customWidth="1"/>
    <col min="32" max="32" width="8.453125" bestFit="1" customWidth="1"/>
    <col min="33" max="33" width="11.453125" bestFit="1" customWidth="1"/>
    <col min="34" max="34" width="10.08984375" bestFit="1" customWidth="1"/>
    <col min="35" max="35" width="3.1796875" customWidth="1"/>
    <col min="36" max="36" width="7.36328125" customWidth="1"/>
    <col min="37" max="37" width="21.36328125" customWidth="1"/>
    <col min="38" max="38" width="7.36328125" bestFit="1" customWidth="1"/>
    <col min="39" max="39" width="8.90625" bestFit="1" customWidth="1"/>
    <col min="40" max="40" width="7.36328125" bestFit="1" customWidth="1"/>
    <col min="41" max="41" width="7.90625" hidden="1" customWidth="1"/>
    <col min="42" max="42" width="7.36328125" bestFit="1" customWidth="1"/>
    <col min="43" max="43" width="8.90625" bestFit="1" customWidth="1"/>
    <col min="44" max="44" width="9.453125" hidden="1" customWidth="1"/>
    <col min="45" max="45" width="9.54296875" bestFit="1" customWidth="1"/>
    <col min="46" max="46" width="7.36328125" bestFit="1" customWidth="1"/>
    <col min="47" max="47" width="8.90625" bestFit="1" customWidth="1"/>
    <col min="48" max="48" width="9.453125" bestFit="1" customWidth="1"/>
    <col min="49" max="49" width="8.08984375" bestFit="1" customWidth="1"/>
    <col min="50" max="50" width="10.81640625" bestFit="1" customWidth="1"/>
    <col min="51" max="51" width="9.453125" bestFit="1" customWidth="1"/>
    <col min="52" max="52" width="1.90625" customWidth="1"/>
    <col min="53" max="53" width="7.54296875" customWidth="1"/>
    <col min="54" max="54" width="21.1796875" customWidth="1"/>
    <col min="55" max="55" width="7.36328125" bestFit="1" customWidth="1"/>
    <col min="56" max="56" width="8.90625" bestFit="1" customWidth="1"/>
    <col min="57" max="57" width="7.36328125" bestFit="1" customWidth="1"/>
    <col min="58" max="58" width="7.90625" hidden="1" customWidth="1"/>
    <col min="59" max="59" width="7.36328125" bestFit="1" customWidth="1"/>
    <col min="60" max="60" width="8.90625" bestFit="1" customWidth="1"/>
    <col min="61" max="61" width="9.453125" hidden="1" customWidth="1"/>
    <col min="62" max="62" width="9.54296875" bestFit="1" customWidth="1"/>
    <col min="63" max="63" width="7.36328125" bestFit="1" customWidth="1"/>
    <col min="64" max="64" width="8.90625" bestFit="1" customWidth="1"/>
    <col min="65" max="65" width="9.453125" bestFit="1" customWidth="1"/>
    <col min="66" max="66" width="8.08984375" bestFit="1" customWidth="1"/>
    <col min="67" max="67" width="10.81640625" bestFit="1" customWidth="1"/>
    <col min="68" max="68" width="9.453125" bestFit="1" customWidth="1"/>
    <col min="69" max="69" width="2.36328125" customWidth="1"/>
    <col min="70" max="70" width="7.453125" customWidth="1"/>
    <col min="71" max="71" width="21.36328125" customWidth="1"/>
    <col min="72" max="72" width="7.36328125" bestFit="1" customWidth="1"/>
    <col min="73" max="73" width="8.90625" bestFit="1" customWidth="1"/>
    <col min="74" max="74" width="7.36328125" bestFit="1" customWidth="1"/>
    <col min="75" max="75" width="7.90625" hidden="1" customWidth="1"/>
    <col min="76" max="76" width="7.36328125" bestFit="1" customWidth="1"/>
    <col min="77" max="77" width="8.90625" bestFit="1" customWidth="1"/>
    <col min="78" max="78" width="9.453125" hidden="1" customWidth="1"/>
    <col min="79" max="79" width="9.54296875" bestFit="1" customWidth="1"/>
    <col min="80" max="80" width="7.36328125" bestFit="1" customWidth="1"/>
    <col min="81" max="81" width="8.90625" bestFit="1" customWidth="1"/>
    <col min="82" max="82" width="9.453125" bestFit="1" customWidth="1"/>
    <col min="83" max="83" width="8.08984375" bestFit="1" customWidth="1"/>
    <col min="84" max="84" width="10.81640625" bestFit="1" customWidth="1"/>
    <col min="85" max="85" width="9.453125" bestFit="1" customWidth="1"/>
    <col min="86" max="86" width="3.08984375" customWidth="1"/>
    <col min="87" max="87" width="7.54296875" customWidth="1"/>
    <col min="88" max="88" width="21.1796875" customWidth="1"/>
    <col min="89" max="89" width="7.36328125" bestFit="1" customWidth="1"/>
    <col min="90" max="90" width="8.90625" bestFit="1" customWidth="1"/>
    <col min="91" max="92" width="7.36328125" bestFit="1" customWidth="1"/>
    <col min="93" max="93" width="8.90625" bestFit="1" customWidth="1"/>
    <col min="94" max="94" width="9.54296875" bestFit="1" customWidth="1"/>
    <col min="95" max="95" width="4.54296875" bestFit="1" customWidth="1"/>
    <col min="96" max="96" width="7.7265625" bestFit="1" customWidth="1"/>
    <col min="97" max="97" width="9.453125" bestFit="1" customWidth="1"/>
    <col min="98" max="98" width="8.08984375" bestFit="1" customWidth="1"/>
    <col min="99" max="99" width="10.81640625" bestFit="1" customWidth="1"/>
    <col min="100" max="100" width="9.453125" bestFit="1" customWidth="1"/>
  </cols>
  <sheetData>
    <row r="2" spans="2:17" ht="13" x14ac:dyDescent="0.3">
      <c r="B2" s="111" t="s">
        <v>252</v>
      </c>
    </row>
    <row r="3" spans="2:17" s="258" customFormat="1" ht="13" x14ac:dyDescent="0.3">
      <c r="B3" s="255">
        <v>600</v>
      </c>
    </row>
    <row r="5" spans="2:17" s="111" customFormat="1" ht="13" x14ac:dyDescent="0.3">
      <c r="B5" s="595" t="s">
        <v>164</v>
      </c>
      <c r="C5" s="596" t="s">
        <v>165</v>
      </c>
      <c r="D5" s="596" t="s">
        <v>0</v>
      </c>
      <c r="E5" s="596" t="s">
        <v>8</v>
      </c>
      <c r="F5" s="596" t="s">
        <v>221</v>
      </c>
      <c r="G5" s="596" t="s">
        <v>222</v>
      </c>
      <c r="H5" s="596" t="s">
        <v>223</v>
      </c>
      <c r="I5" s="596" t="s">
        <v>224</v>
      </c>
      <c r="J5" s="596" t="s">
        <v>225</v>
      </c>
      <c r="K5" s="596" t="s">
        <v>226</v>
      </c>
      <c r="L5" s="596" t="s">
        <v>4</v>
      </c>
      <c r="M5" s="596" t="s">
        <v>227</v>
      </c>
      <c r="N5" s="596" t="s">
        <v>228</v>
      </c>
      <c r="O5" s="596" t="s">
        <v>229</v>
      </c>
      <c r="P5" s="596" t="s">
        <v>230</v>
      </c>
      <c r="Q5" s="597" t="s">
        <v>231</v>
      </c>
    </row>
    <row r="6" spans="2:17" x14ac:dyDescent="0.25">
      <c r="B6" s="598" t="s">
        <v>181</v>
      </c>
      <c r="C6" s="599" t="s">
        <v>181</v>
      </c>
      <c r="D6" s="599"/>
      <c r="E6" s="599"/>
      <c r="F6" s="599"/>
      <c r="G6" s="599"/>
      <c r="H6" s="599"/>
      <c r="I6" s="599"/>
      <c r="J6" s="599"/>
      <c r="K6" s="599"/>
      <c r="L6" s="599"/>
      <c r="M6" s="599"/>
      <c r="N6" s="599"/>
      <c r="O6" s="599"/>
      <c r="P6" s="599"/>
      <c r="Q6" s="600"/>
    </row>
    <row r="7" spans="2:17" x14ac:dyDescent="0.25">
      <c r="B7" s="598"/>
      <c r="C7" s="599"/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  <c r="O7" s="599"/>
      <c r="P7" s="599"/>
      <c r="Q7" s="600"/>
    </row>
    <row r="8" spans="2:17" x14ac:dyDescent="0.25">
      <c r="B8" s="658">
        <v>30</v>
      </c>
      <c r="C8" s="659" t="s">
        <v>232</v>
      </c>
      <c r="D8" s="660">
        <v>0</v>
      </c>
      <c r="E8" s="660">
        <v>6634686.0099999998</v>
      </c>
      <c r="F8" s="660">
        <v>2011524.17</v>
      </c>
      <c r="G8" s="659">
        <v>1</v>
      </c>
      <c r="H8" s="660">
        <v>2011524.17</v>
      </c>
      <c r="I8" s="660">
        <v>11208514.77</v>
      </c>
      <c r="J8" s="659">
        <v>1</v>
      </c>
      <c r="K8" s="660">
        <v>11208514.77</v>
      </c>
      <c r="L8" s="660">
        <v>1870704</v>
      </c>
      <c r="M8" s="660">
        <v>10948381</v>
      </c>
      <c r="N8" s="660">
        <v>-2011524.17</v>
      </c>
      <c r="O8" s="660">
        <v>-4573828.76</v>
      </c>
      <c r="P8" s="660">
        <v>-1870704</v>
      </c>
      <c r="Q8" s="661">
        <v>-4313694.99</v>
      </c>
    </row>
    <row r="9" spans="2:17" x14ac:dyDescent="0.25">
      <c r="B9" s="658">
        <v>40</v>
      </c>
      <c r="C9" s="659" t="s">
        <v>233</v>
      </c>
      <c r="D9" s="660">
        <v>0</v>
      </c>
      <c r="E9" s="660">
        <v>439666.46</v>
      </c>
      <c r="F9" s="660">
        <v>178823.75</v>
      </c>
      <c r="G9" s="659">
        <v>1</v>
      </c>
      <c r="H9" s="660">
        <v>178823.75</v>
      </c>
      <c r="I9" s="660">
        <v>502564.57</v>
      </c>
      <c r="J9" s="659">
        <v>1</v>
      </c>
      <c r="K9" s="660">
        <v>502564.57</v>
      </c>
      <c r="L9" s="660">
        <v>0</v>
      </c>
      <c r="M9" s="660">
        <v>0</v>
      </c>
      <c r="N9" s="660">
        <v>-178823.75</v>
      </c>
      <c r="O9" s="660">
        <v>-62898.11</v>
      </c>
      <c r="P9" s="660">
        <v>0</v>
      </c>
      <c r="Q9" s="661">
        <v>439666.46</v>
      </c>
    </row>
    <row r="10" spans="2:17" s="111" customFormat="1" ht="13" x14ac:dyDescent="0.3">
      <c r="B10" s="662">
        <v>50</v>
      </c>
      <c r="C10" s="663" t="s">
        <v>234</v>
      </c>
      <c r="D10" s="664">
        <v>0</v>
      </c>
      <c r="E10" s="664">
        <v>6195019.5499999998</v>
      </c>
      <c r="F10" s="664">
        <v>1832700.42</v>
      </c>
      <c r="G10" s="663">
        <v>1</v>
      </c>
      <c r="H10" s="664">
        <v>1832700.42</v>
      </c>
      <c r="I10" s="664">
        <v>10705950.199999999</v>
      </c>
      <c r="J10" s="663">
        <v>1</v>
      </c>
      <c r="K10" s="664">
        <v>10705950.199999999</v>
      </c>
      <c r="L10" s="664">
        <v>1870704</v>
      </c>
      <c r="M10" s="664">
        <v>10948381</v>
      </c>
      <c r="N10" s="664">
        <v>-1832700.42</v>
      </c>
      <c r="O10" s="664">
        <v>-4510930.6500000004</v>
      </c>
      <c r="P10" s="664">
        <v>-1870704</v>
      </c>
      <c r="Q10" s="665">
        <v>-4753361.45</v>
      </c>
    </row>
    <row r="11" spans="2:17" x14ac:dyDescent="0.25">
      <c r="B11" s="658">
        <v>60</v>
      </c>
      <c r="C11" s="659" t="s">
        <v>235</v>
      </c>
      <c r="D11" s="660">
        <v>0</v>
      </c>
      <c r="E11" s="660">
        <v>2292957.94</v>
      </c>
      <c r="F11" s="660">
        <v>715897.9</v>
      </c>
      <c r="G11" s="659">
        <v>1</v>
      </c>
      <c r="H11" s="660">
        <v>715897.9</v>
      </c>
      <c r="I11" s="660">
        <v>4024759.83</v>
      </c>
      <c r="J11" s="659">
        <v>1</v>
      </c>
      <c r="K11" s="660">
        <v>4024759.83</v>
      </c>
      <c r="L11" s="660">
        <v>707126</v>
      </c>
      <c r="M11" s="660">
        <v>4138488</v>
      </c>
      <c r="N11" s="660">
        <v>-715897.9</v>
      </c>
      <c r="O11" s="660">
        <v>-1731801.89</v>
      </c>
      <c r="P11" s="660">
        <v>-707126</v>
      </c>
      <c r="Q11" s="661">
        <v>-1845530.06</v>
      </c>
    </row>
    <row r="12" spans="2:17" x14ac:dyDescent="0.25">
      <c r="B12" s="658">
        <v>65</v>
      </c>
      <c r="C12" s="659" t="s">
        <v>236</v>
      </c>
      <c r="D12" s="660">
        <v>0</v>
      </c>
      <c r="E12" s="660">
        <v>0</v>
      </c>
      <c r="F12" s="660">
        <v>0</v>
      </c>
      <c r="G12" s="659">
        <v>1</v>
      </c>
      <c r="H12" s="660">
        <v>0</v>
      </c>
      <c r="I12" s="660">
        <v>0</v>
      </c>
      <c r="J12" s="659">
        <v>1</v>
      </c>
      <c r="K12" s="660">
        <v>0</v>
      </c>
      <c r="L12" s="660">
        <v>0</v>
      </c>
      <c r="M12" s="660">
        <v>0</v>
      </c>
      <c r="N12" s="660">
        <v>0</v>
      </c>
      <c r="O12" s="660">
        <v>0</v>
      </c>
      <c r="P12" s="660">
        <v>0</v>
      </c>
      <c r="Q12" s="661">
        <v>0</v>
      </c>
    </row>
    <row r="13" spans="2:17" s="111" customFormat="1" ht="13" x14ac:dyDescent="0.3">
      <c r="B13" s="662">
        <v>70</v>
      </c>
      <c r="C13" s="663" t="s">
        <v>237</v>
      </c>
      <c r="D13" s="664">
        <v>0</v>
      </c>
      <c r="E13" s="664">
        <v>3902061.61</v>
      </c>
      <c r="F13" s="664">
        <v>1116802.52</v>
      </c>
      <c r="G13" s="663">
        <v>1</v>
      </c>
      <c r="H13" s="664">
        <v>1116802.52</v>
      </c>
      <c r="I13" s="664">
        <v>6681190.3700000001</v>
      </c>
      <c r="J13" s="663">
        <v>1</v>
      </c>
      <c r="K13" s="664">
        <v>6681190.3700000001</v>
      </c>
      <c r="L13" s="664">
        <v>1163578</v>
      </c>
      <c r="M13" s="664">
        <v>6809893</v>
      </c>
      <c r="N13" s="664">
        <v>-1116802.52</v>
      </c>
      <c r="O13" s="664">
        <v>-2779128.76</v>
      </c>
      <c r="P13" s="664">
        <v>-1163578</v>
      </c>
      <c r="Q13" s="665">
        <v>-2907831.39</v>
      </c>
    </row>
    <row r="14" spans="2:17" x14ac:dyDescent="0.25">
      <c r="B14" s="658">
        <v>80</v>
      </c>
      <c r="C14" s="659" t="s">
        <v>238</v>
      </c>
      <c r="D14" s="660">
        <v>366.57</v>
      </c>
      <c r="E14" s="660">
        <v>3280507.34</v>
      </c>
      <c r="F14" s="660">
        <v>1032092.92</v>
      </c>
      <c r="G14" s="659">
        <v>1</v>
      </c>
      <c r="H14" s="660">
        <v>1032092.92</v>
      </c>
      <c r="I14" s="660">
        <v>5831038.2699999996</v>
      </c>
      <c r="J14" s="659">
        <v>1</v>
      </c>
      <c r="K14" s="660">
        <v>5831038.2699999996</v>
      </c>
      <c r="L14" s="660">
        <v>1022513</v>
      </c>
      <c r="M14" s="660">
        <v>5957594</v>
      </c>
      <c r="N14" s="660">
        <v>-1031726.35</v>
      </c>
      <c r="O14" s="660">
        <v>-2550530.9300000002</v>
      </c>
      <c r="P14" s="660">
        <v>-1022146.43</v>
      </c>
      <c r="Q14" s="661">
        <v>-2677086.66</v>
      </c>
    </row>
    <row r="15" spans="2:17" x14ac:dyDescent="0.25">
      <c r="B15" s="658">
        <v>90</v>
      </c>
      <c r="C15" s="659" t="s">
        <v>239</v>
      </c>
      <c r="D15" s="660">
        <v>8584.14</v>
      </c>
      <c r="E15" s="660">
        <v>425409.72</v>
      </c>
      <c r="F15" s="660">
        <v>113269.26</v>
      </c>
      <c r="G15" s="659">
        <v>1</v>
      </c>
      <c r="H15" s="660">
        <v>113269.26</v>
      </c>
      <c r="I15" s="660">
        <v>663520.38</v>
      </c>
      <c r="J15" s="659">
        <v>1</v>
      </c>
      <c r="K15" s="660">
        <v>663520.38</v>
      </c>
      <c r="L15" s="660">
        <v>113269</v>
      </c>
      <c r="M15" s="660">
        <v>663519</v>
      </c>
      <c r="N15" s="660">
        <v>-104685.12</v>
      </c>
      <c r="O15" s="660">
        <v>-238110.66</v>
      </c>
      <c r="P15" s="660">
        <v>-104684.86</v>
      </c>
      <c r="Q15" s="661">
        <v>-238109.28</v>
      </c>
    </row>
    <row r="16" spans="2:17" x14ac:dyDescent="0.25">
      <c r="B16" s="658">
        <v>100</v>
      </c>
      <c r="C16" s="659" t="s">
        <v>240</v>
      </c>
      <c r="D16" s="660">
        <v>0</v>
      </c>
      <c r="E16" s="660">
        <v>61529.2</v>
      </c>
      <c r="F16" s="660">
        <v>15382.3</v>
      </c>
      <c r="G16" s="659">
        <v>1</v>
      </c>
      <c r="H16" s="660">
        <v>15382.3</v>
      </c>
      <c r="I16" s="660">
        <v>92293.8</v>
      </c>
      <c r="J16" s="659">
        <v>1</v>
      </c>
      <c r="K16" s="660">
        <v>92293.8</v>
      </c>
      <c r="L16" s="660">
        <v>14307</v>
      </c>
      <c r="M16" s="660">
        <v>85842</v>
      </c>
      <c r="N16" s="660">
        <v>-15382.3</v>
      </c>
      <c r="O16" s="660">
        <v>-30764.6</v>
      </c>
      <c r="P16" s="660">
        <v>-14307</v>
      </c>
      <c r="Q16" s="661">
        <v>-24312.799999999999</v>
      </c>
    </row>
    <row r="17" spans="2:17" s="111" customFormat="1" ht="13" x14ac:dyDescent="0.3">
      <c r="B17" s="662">
        <v>110</v>
      </c>
      <c r="C17" s="663" t="s">
        <v>241</v>
      </c>
      <c r="D17" s="664">
        <v>8950.7099999999991</v>
      </c>
      <c r="E17" s="664">
        <v>3767446.26</v>
      </c>
      <c r="F17" s="664">
        <v>1160744.48</v>
      </c>
      <c r="G17" s="663">
        <v>1</v>
      </c>
      <c r="H17" s="664">
        <v>1160744.48</v>
      </c>
      <c r="I17" s="664">
        <v>6586852.4500000002</v>
      </c>
      <c r="J17" s="663">
        <v>1</v>
      </c>
      <c r="K17" s="664">
        <v>6586852.4500000002</v>
      </c>
      <c r="L17" s="664">
        <v>1150089</v>
      </c>
      <c r="M17" s="664">
        <v>6706955</v>
      </c>
      <c r="N17" s="664">
        <v>-1151793.77</v>
      </c>
      <c r="O17" s="664">
        <v>-2819406.19</v>
      </c>
      <c r="P17" s="664">
        <v>-1141138.29</v>
      </c>
      <c r="Q17" s="665">
        <v>-2939508.74</v>
      </c>
    </row>
    <row r="18" spans="2:17" s="111" customFormat="1" ht="13" x14ac:dyDescent="0.3">
      <c r="B18" s="662">
        <v>120</v>
      </c>
      <c r="C18" s="663" t="s">
        <v>242</v>
      </c>
      <c r="D18" s="664">
        <v>-8950.7099999999991</v>
      </c>
      <c r="E18" s="664">
        <v>134615.35</v>
      </c>
      <c r="F18" s="664">
        <v>-43941.96</v>
      </c>
      <c r="G18" s="663">
        <v>1</v>
      </c>
      <c r="H18" s="664">
        <v>-43941.96</v>
      </c>
      <c r="I18" s="664">
        <v>94337.919999999998</v>
      </c>
      <c r="J18" s="663">
        <v>1</v>
      </c>
      <c r="K18" s="664">
        <v>94337.919999999998</v>
      </c>
      <c r="L18" s="664">
        <v>13489</v>
      </c>
      <c r="M18" s="664">
        <v>102938</v>
      </c>
      <c r="N18" s="664">
        <v>34991.25</v>
      </c>
      <c r="O18" s="664">
        <v>40277.43</v>
      </c>
      <c r="P18" s="664">
        <v>-22439.71</v>
      </c>
      <c r="Q18" s="665">
        <v>31677.35</v>
      </c>
    </row>
    <row r="19" spans="2:17" x14ac:dyDescent="0.25">
      <c r="B19" s="658">
        <v>130</v>
      </c>
      <c r="C19" s="659"/>
      <c r="D19" s="659">
        <v>0</v>
      </c>
      <c r="E19" s="659">
        <v>0</v>
      </c>
      <c r="F19" s="659">
        <v>0</v>
      </c>
      <c r="G19" s="659">
        <v>1</v>
      </c>
      <c r="H19" s="659">
        <v>0</v>
      </c>
      <c r="I19" s="659">
        <v>0</v>
      </c>
      <c r="J19" s="659">
        <v>1</v>
      </c>
      <c r="K19" s="659">
        <v>0</v>
      </c>
      <c r="L19" s="659">
        <v>0</v>
      </c>
      <c r="M19" s="659">
        <v>0</v>
      </c>
      <c r="N19" s="659">
        <v>0</v>
      </c>
      <c r="O19" s="659">
        <v>0</v>
      </c>
      <c r="P19" s="659">
        <v>0</v>
      </c>
      <c r="Q19" s="666">
        <v>0</v>
      </c>
    </row>
    <row r="20" spans="2:17" x14ac:dyDescent="0.25">
      <c r="B20" s="658">
        <v>135</v>
      </c>
      <c r="C20" s="659" t="s">
        <v>243</v>
      </c>
      <c r="D20" s="660">
        <v>-4279.1400000000003</v>
      </c>
      <c r="E20" s="660">
        <v>-150842.14000000001</v>
      </c>
      <c r="F20" s="660">
        <v>-43179.97</v>
      </c>
      <c r="G20" s="659">
        <v>1</v>
      </c>
      <c r="H20" s="660">
        <v>-43179.97</v>
      </c>
      <c r="I20" s="660">
        <v>-287565.69</v>
      </c>
      <c r="J20" s="659">
        <v>1</v>
      </c>
      <c r="K20" s="660">
        <v>-287565.69</v>
      </c>
      <c r="L20" s="660">
        <v>-51380</v>
      </c>
      <c r="M20" s="660">
        <v>-308280</v>
      </c>
      <c r="N20" s="660">
        <v>38900.83</v>
      </c>
      <c r="O20" s="660">
        <v>136723.54999999999</v>
      </c>
      <c r="P20" s="660">
        <v>47100.86</v>
      </c>
      <c r="Q20" s="661">
        <v>157437.85999999999</v>
      </c>
    </row>
    <row r="21" spans="2:17" x14ac:dyDescent="0.25">
      <c r="B21" s="658">
        <v>140</v>
      </c>
      <c r="C21" s="659" t="s">
        <v>244</v>
      </c>
      <c r="D21" s="660">
        <v>0</v>
      </c>
      <c r="E21" s="660">
        <v>118642.76</v>
      </c>
      <c r="F21" s="660">
        <v>30658.71</v>
      </c>
      <c r="G21" s="659">
        <v>1</v>
      </c>
      <c r="H21" s="660">
        <v>30658.71</v>
      </c>
      <c r="I21" s="660">
        <v>179943.15</v>
      </c>
      <c r="J21" s="659">
        <v>1</v>
      </c>
      <c r="K21" s="660">
        <v>179943.15</v>
      </c>
      <c r="L21" s="660">
        <v>30858</v>
      </c>
      <c r="M21" s="660">
        <v>187265</v>
      </c>
      <c r="N21" s="660">
        <v>-30658.71</v>
      </c>
      <c r="O21" s="660">
        <v>-61300.39</v>
      </c>
      <c r="P21" s="660">
        <v>-30858</v>
      </c>
      <c r="Q21" s="661">
        <v>-68622.240000000005</v>
      </c>
    </row>
    <row r="22" spans="2:17" x14ac:dyDescent="0.25">
      <c r="B22" s="658">
        <v>150</v>
      </c>
      <c r="C22" s="659" t="s">
        <v>245</v>
      </c>
      <c r="D22" s="659">
        <v>0</v>
      </c>
      <c r="E22" s="659">
        <v>0</v>
      </c>
      <c r="F22" s="659">
        <v>0</v>
      </c>
      <c r="G22" s="659">
        <v>1</v>
      </c>
      <c r="H22" s="659">
        <v>0</v>
      </c>
      <c r="I22" s="659">
        <v>0</v>
      </c>
      <c r="J22" s="659">
        <v>1</v>
      </c>
      <c r="K22" s="659">
        <v>0</v>
      </c>
      <c r="L22" s="659">
        <v>0</v>
      </c>
      <c r="M22" s="659">
        <v>0</v>
      </c>
      <c r="N22" s="659">
        <v>0</v>
      </c>
      <c r="O22" s="659">
        <v>0</v>
      </c>
      <c r="P22" s="659">
        <v>0</v>
      </c>
      <c r="Q22" s="666">
        <v>0</v>
      </c>
    </row>
    <row r="23" spans="2:17" x14ac:dyDescent="0.25">
      <c r="B23" s="658">
        <v>155</v>
      </c>
      <c r="C23" s="659"/>
      <c r="D23" s="659">
        <v>0</v>
      </c>
      <c r="E23" s="659">
        <v>0</v>
      </c>
      <c r="F23" s="659">
        <v>0</v>
      </c>
      <c r="G23" s="659">
        <v>1</v>
      </c>
      <c r="H23" s="659">
        <v>0</v>
      </c>
      <c r="I23" s="659">
        <v>0</v>
      </c>
      <c r="J23" s="659">
        <v>1</v>
      </c>
      <c r="K23" s="659">
        <v>0</v>
      </c>
      <c r="L23" s="659">
        <v>0</v>
      </c>
      <c r="M23" s="659">
        <v>0</v>
      </c>
      <c r="N23" s="659">
        <v>0</v>
      </c>
      <c r="O23" s="659">
        <v>0</v>
      </c>
      <c r="P23" s="659">
        <v>0</v>
      </c>
      <c r="Q23" s="666">
        <v>0</v>
      </c>
    </row>
    <row r="24" spans="2:17" x14ac:dyDescent="0.25">
      <c r="B24" s="658">
        <v>160</v>
      </c>
      <c r="C24" s="659" t="s">
        <v>246</v>
      </c>
      <c r="D24" s="660">
        <v>-4279.1400000000003</v>
      </c>
      <c r="E24" s="660">
        <v>-32199.38</v>
      </c>
      <c r="F24" s="660">
        <v>-12521.26</v>
      </c>
      <c r="G24" s="659">
        <v>1</v>
      </c>
      <c r="H24" s="660">
        <v>-12521.26</v>
      </c>
      <c r="I24" s="660">
        <v>-107622.54</v>
      </c>
      <c r="J24" s="659">
        <v>1</v>
      </c>
      <c r="K24" s="660">
        <v>-107622.54</v>
      </c>
      <c r="L24" s="660">
        <v>-20522</v>
      </c>
      <c r="M24" s="660">
        <v>-121015</v>
      </c>
      <c r="N24" s="660">
        <v>8242.1200000000008</v>
      </c>
      <c r="O24" s="660">
        <v>75423.16</v>
      </c>
      <c r="P24" s="660">
        <v>16242.86</v>
      </c>
      <c r="Q24" s="661">
        <v>88815.62</v>
      </c>
    </row>
    <row r="25" spans="2:17" s="111" customFormat="1" ht="13" x14ac:dyDescent="0.3">
      <c r="B25" s="662">
        <v>170</v>
      </c>
      <c r="C25" s="663" t="s">
        <v>247</v>
      </c>
      <c r="D25" s="664">
        <v>-4671.57</v>
      </c>
      <c r="E25" s="664">
        <v>166814.73000000001</v>
      </c>
      <c r="F25" s="664">
        <v>-31420.7</v>
      </c>
      <c r="G25" s="663">
        <v>1</v>
      </c>
      <c r="H25" s="664">
        <v>-31420.7</v>
      </c>
      <c r="I25" s="664">
        <v>201960.46</v>
      </c>
      <c r="J25" s="663">
        <v>1</v>
      </c>
      <c r="K25" s="664">
        <v>201960.46</v>
      </c>
      <c r="L25" s="664">
        <v>34011</v>
      </c>
      <c r="M25" s="664">
        <v>223953</v>
      </c>
      <c r="N25" s="664">
        <v>26749.13</v>
      </c>
      <c r="O25" s="664">
        <v>-35145.730000000003</v>
      </c>
      <c r="P25" s="664">
        <v>-38682.57</v>
      </c>
      <c r="Q25" s="665">
        <v>-57138.27</v>
      </c>
    </row>
    <row r="26" spans="2:17" x14ac:dyDescent="0.25">
      <c r="B26" s="658">
        <v>180</v>
      </c>
      <c r="C26" s="659" t="s">
        <v>248</v>
      </c>
      <c r="D26" s="660">
        <v>0</v>
      </c>
      <c r="E26" s="660">
        <v>12436.39</v>
      </c>
      <c r="F26" s="660">
        <v>4167</v>
      </c>
      <c r="G26" s="659">
        <v>1</v>
      </c>
      <c r="H26" s="660">
        <v>4167</v>
      </c>
      <c r="I26" s="660">
        <v>24624.720000000001</v>
      </c>
      <c r="J26" s="659">
        <v>1</v>
      </c>
      <c r="K26" s="660">
        <v>24624.720000000001</v>
      </c>
      <c r="L26" s="659">
        <v>0</v>
      </c>
      <c r="M26" s="659">
        <v>0</v>
      </c>
      <c r="N26" s="660">
        <v>-4167</v>
      </c>
      <c r="O26" s="660">
        <v>-12188.33</v>
      </c>
      <c r="P26" s="660">
        <v>0</v>
      </c>
      <c r="Q26" s="661">
        <v>12436.39</v>
      </c>
    </row>
    <row r="27" spans="2:17" x14ac:dyDescent="0.25">
      <c r="B27" s="658">
        <v>190</v>
      </c>
      <c r="C27" s="659" t="s">
        <v>249</v>
      </c>
      <c r="D27" s="659">
        <v>0</v>
      </c>
      <c r="E27" s="659">
        <v>0</v>
      </c>
      <c r="F27" s="659">
        <v>0</v>
      </c>
      <c r="G27" s="659">
        <v>1</v>
      </c>
      <c r="H27" s="659">
        <v>0</v>
      </c>
      <c r="I27" s="659">
        <v>0</v>
      </c>
      <c r="J27" s="659">
        <v>1</v>
      </c>
      <c r="K27" s="659">
        <v>0</v>
      </c>
      <c r="L27" s="659">
        <v>0</v>
      </c>
      <c r="M27" s="659">
        <v>0</v>
      </c>
      <c r="N27" s="659">
        <v>0</v>
      </c>
      <c r="O27" s="659">
        <v>0</v>
      </c>
      <c r="P27" s="659">
        <v>0</v>
      </c>
      <c r="Q27" s="666">
        <v>0</v>
      </c>
    </row>
    <row r="28" spans="2:17" s="111" customFormat="1" ht="13" x14ac:dyDescent="0.3">
      <c r="B28" s="662">
        <v>200</v>
      </c>
      <c r="C28" s="663" t="s">
        <v>250</v>
      </c>
      <c r="D28" s="664">
        <v>-4671.57</v>
      </c>
      <c r="E28" s="664">
        <v>154378.34</v>
      </c>
      <c r="F28" s="664">
        <v>-35587.699999999997</v>
      </c>
      <c r="G28" s="663">
        <v>1</v>
      </c>
      <c r="H28" s="664">
        <v>-35587.699999999997</v>
      </c>
      <c r="I28" s="664">
        <v>177335.74</v>
      </c>
      <c r="J28" s="663">
        <v>1</v>
      </c>
      <c r="K28" s="664">
        <v>177335.74</v>
      </c>
      <c r="L28" s="664">
        <v>34011</v>
      </c>
      <c r="M28" s="664">
        <v>223953</v>
      </c>
      <c r="N28" s="664">
        <v>30916.13</v>
      </c>
      <c r="O28" s="664">
        <v>-22957.4</v>
      </c>
      <c r="P28" s="664">
        <v>-38682.57</v>
      </c>
      <c r="Q28" s="665">
        <v>-69574.66</v>
      </c>
    </row>
    <row r="29" spans="2:17" s="111" customFormat="1" ht="13" x14ac:dyDescent="0.3">
      <c r="B29" s="667">
        <v>210</v>
      </c>
      <c r="C29" s="668" t="s">
        <v>251</v>
      </c>
      <c r="D29" s="669">
        <v>-8950.7099999999991</v>
      </c>
      <c r="E29" s="669">
        <v>196144.55</v>
      </c>
      <c r="F29" s="669">
        <v>-28559.66</v>
      </c>
      <c r="G29" s="668">
        <v>1</v>
      </c>
      <c r="H29" s="669">
        <v>-28559.66</v>
      </c>
      <c r="I29" s="669">
        <v>186631.72</v>
      </c>
      <c r="J29" s="668">
        <v>1</v>
      </c>
      <c r="K29" s="669">
        <v>186631.72</v>
      </c>
      <c r="L29" s="669">
        <v>27796</v>
      </c>
      <c r="M29" s="669">
        <v>188780</v>
      </c>
      <c r="N29" s="669">
        <v>19608.95</v>
      </c>
      <c r="O29" s="669">
        <v>9512.83</v>
      </c>
      <c r="P29" s="669">
        <v>-36746.71</v>
      </c>
      <c r="Q29" s="670">
        <v>7364.55</v>
      </c>
    </row>
    <row r="32" spans="2:17" ht="13" x14ac:dyDescent="0.3">
      <c r="B32" s="111" t="s">
        <v>32</v>
      </c>
    </row>
    <row r="33" spans="2:99" ht="13" x14ac:dyDescent="0.3">
      <c r="B33" s="255">
        <v>600</v>
      </c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CM33" s="258"/>
      <c r="CN33" s="258"/>
      <c r="CO33" s="258"/>
      <c r="CP33" s="258"/>
      <c r="CQ33" s="258"/>
      <c r="CR33" s="258"/>
      <c r="CS33" s="258"/>
      <c r="CT33" s="258"/>
      <c r="CU33" s="258"/>
    </row>
    <row r="35" spans="2:99" ht="13" x14ac:dyDescent="0.3">
      <c r="B35" s="595" t="s">
        <v>164</v>
      </c>
      <c r="C35" s="596" t="s">
        <v>165</v>
      </c>
      <c r="D35" s="596" t="s">
        <v>0</v>
      </c>
      <c r="E35" s="596" t="s">
        <v>8</v>
      </c>
      <c r="F35" s="596" t="s">
        <v>221</v>
      </c>
      <c r="G35" s="596" t="s">
        <v>222</v>
      </c>
      <c r="H35" s="596" t="s">
        <v>223</v>
      </c>
      <c r="I35" s="596" t="s">
        <v>224</v>
      </c>
      <c r="J35" s="596" t="s">
        <v>225</v>
      </c>
      <c r="K35" s="596" t="s">
        <v>226</v>
      </c>
      <c r="L35" s="596" t="s">
        <v>4</v>
      </c>
      <c r="M35" s="596" t="s">
        <v>227</v>
      </c>
      <c r="N35" s="596" t="s">
        <v>228</v>
      </c>
      <c r="O35" s="596" t="s">
        <v>229</v>
      </c>
      <c r="P35" s="596" t="s">
        <v>230</v>
      </c>
      <c r="Q35" s="597" t="s">
        <v>231</v>
      </c>
      <c r="R35" s="111"/>
      <c r="CM35" s="111"/>
      <c r="CN35" s="111"/>
      <c r="CO35" s="111"/>
      <c r="CP35" s="111"/>
      <c r="CQ35" s="111"/>
      <c r="CR35" s="111"/>
      <c r="CS35" s="111"/>
      <c r="CT35" s="111"/>
      <c r="CU35" s="111"/>
    </row>
    <row r="36" spans="2:99" x14ac:dyDescent="0.25">
      <c r="B36" s="598" t="s">
        <v>181</v>
      </c>
      <c r="C36" s="599" t="s">
        <v>181</v>
      </c>
      <c r="D36" s="599"/>
      <c r="E36" s="599"/>
      <c r="F36" s="599"/>
      <c r="G36" s="599"/>
      <c r="H36" s="599"/>
      <c r="I36" s="599"/>
      <c r="J36" s="599"/>
      <c r="K36" s="599"/>
      <c r="L36" s="599"/>
      <c r="M36" s="599"/>
      <c r="N36" s="599"/>
      <c r="O36" s="599"/>
      <c r="P36" s="599"/>
      <c r="Q36" s="600"/>
    </row>
    <row r="37" spans="2:99" x14ac:dyDescent="0.25">
      <c r="B37" s="598"/>
      <c r="C37" s="599"/>
      <c r="D37" s="599"/>
      <c r="E37" s="599"/>
      <c r="F37" s="599"/>
      <c r="G37" s="599"/>
      <c r="H37" s="599"/>
      <c r="I37" s="599"/>
      <c r="J37" s="599"/>
      <c r="K37" s="599"/>
      <c r="L37" s="599"/>
      <c r="M37" s="599"/>
      <c r="N37" s="599"/>
      <c r="O37" s="599"/>
      <c r="P37" s="599"/>
      <c r="Q37" s="600"/>
    </row>
    <row r="38" spans="2:99" x14ac:dyDescent="0.25">
      <c r="B38" s="658">
        <v>30</v>
      </c>
      <c r="C38" s="659" t="s">
        <v>232</v>
      </c>
      <c r="D38" s="660">
        <v>294158.59999999998</v>
      </c>
      <c r="E38" s="660">
        <v>1806375.33</v>
      </c>
      <c r="F38" s="660">
        <v>301012.43</v>
      </c>
      <c r="G38" s="659">
        <v>1</v>
      </c>
      <c r="H38" s="660">
        <v>301012.43</v>
      </c>
      <c r="I38" s="660">
        <v>1826189.2</v>
      </c>
      <c r="J38" s="659">
        <v>1</v>
      </c>
      <c r="K38" s="660">
        <v>1826189.2</v>
      </c>
      <c r="L38" s="660">
        <v>300294</v>
      </c>
      <c r="M38" s="660">
        <v>1836338</v>
      </c>
      <c r="N38" s="660">
        <v>-6853.83</v>
      </c>
      <c r="O38" s="660">
        <v>-19813.87</v>
      </c>
      <c r="P38" s="660">
        <v>-6135.4</v>
      </c>
      <c r="Q38" s="661">
        <v>-29962.67</v>
      </c>
    </row>
    <row r="39" spans="2:99" x14ac:dyDescent="0.25">
      <c r="B39" s="658">
        <v>40</v>
      </c>
      <c r="C39" s="659" t="s">
        <v>233</v>
      </c>
      <c r="D39" s="660">
        <v>3170.27</v>
      </c>
      <c r="E39" s="660">
        <v>25712.11</v>
      </c>
      <c r="F39" s="660">
        <v>6468.3</v>
      </c>
      <c r="G39" s="659">
        <v>1</v>
      </c>
      <c r="H39" s="660">
        <v>6468.3</v>
      </c>
      <c r="I39" s="660">
        <v>46229.9</v>
      </c>
      <c r="J39" s="659">
        <v>1</v>
      </c>
      <c r="K39" s="660">
        <v>46229.9</v>
      </c>
      <c r="L39" s="660">
        <v>0</v>
      </c>
      <c r="M39" s="660">
        <v>0</v>
      </c>
      <c r="N39" s="660">
        <v>-3298.03</v>
      </c>
      <c r="O39" s="660">
        <v>-20517.79</v>
      </c>
      <c r="P39" s="660">
        <v>3170.27</v>
      </c>
      <c r="Q39" s="661">
        <v>25712.11</v>
      </c>
    </row>
    <row r="40" spans="2:99" ht="13" x14ac:dyDescent="0.3">
      <c r="B40" s="662">
        <v>50</v>
      </c>
      <c r="C40" s="663" t="s">
        <v>234</v>
      </c>
      <c r="D40" s="664">
        <v>290988.33</v>
      </c>
      <c r="E40" s="664">
        <v>1780663.22</v>
      </c>
      <c r="F40" s="664">
        <v>294544.13</v>
      </c>
      <c r="G40" s="663">
        <v>1</v>
      </c>
      <c r="H40" s="664">
        <v>294544.13</v>
      </c>
      <c r="I40" s="664">
        <v>1779959.3</v>
      </c>
      <c r="J40" s="663">
        <v>1</v>
      </c>
      <c r="K40" s="664">
        <v>1779959.3</v>
      </c>
      <c r="L40" s="664">
        <v>300294</v>
      </c>
      <c r="M40" s="664">
        <v>1836338</v>
      </c>
      <c r="N40" s="664">
        <v>-3555.8</v>
      </c>
      <c r="O40" s="664">
        <v>703.92</v>
      </c>
      <c r="P40" s="664">
        <v>-9305.67</v>
      </c>
      <c r="Q40" s="665">
        <v>-55674.78</v>
      </c>
      <c r="R40" s="111"/>
      <c r="CM40" s="111"/>
      <c r="CN40" s="111"/>
      <c r="CO40" s="111"/>
      <c r="CP40" s="111"/>
      <c r="CQ40" s="111"/>
      <c r="CR40" s="111"/>
      <c r="CS40" s="111"/>
      <c r="CT40" s="111"/>
      <c r="CU40" s="111"/>
    </row>
    <row r="41" spans="2:99" x14ac:dyDescent="0.25">
      <c r="B41" s="658">
        <v>60</v>
      </c>
      <c r="C41" s="659" t="s">
        <v>235</v>
      </c>
      <c r="D41" s="660">
        <v>95113.59</v>
      </c>
      <c r="E41" s="660">
        <v>594144.12</v>
      </c>
      <c r="F41" s="660">
        <v>105384.75</v>
      </c>
      <c r="G41" s="659">
        <v>1</v>
      </c>
      <c r="H41" s="660">
        <v>105384.75</v>
      </c>
      <c r="I41" s="660">
        <v>637771.68999999994</v>
      </c>
      <c r="J41" s="659">
        <v>1</v>
      </c>
      <c r="K41" s="660">
        <v>637771.68999999994</v>
      </c>
      <c r="L41" s="660">
        <v>106755</v>
      </c>
      <c r="M41" s="660">
        <v>652818</v>
      </c>
      <c r="N41" s="660">
        <v>-10271.16</v>
      </c>
      <c r="O41" s="660">
        <v>-43627.57</v>
      </c>
      <c r="P41" s="660">
        <v>-11641.41</v>
      </c>
      <c r="Q41" s="661">
        <v>-58673.88</v>
      </c>
    </row>
    <row r="42" spans="2:99" x14ac:dyDescent="0.25">
      <c r="B42" s="658">
        <v>65</v>
      </c>
      <c r="C42" s="659" t="s">
        <v>236</v>
      </c>
      <c r="D42" s="660">
        <v>0</v>
      </c>
      <c r="E42" s="660">
        <v>0</v>
      </c>
      <c r="F42" s="660">
        <v>0</v>
      </c>
      <c r="G42" s="659">
        <v>1</v>
      </c>
      <c r="H42" s="660">
        <v>0</v>
      </c>
      <c r="I42" s="660">
        <v>0</v>
      </c>
      <c r="J42" s="659">
        <v>1</v>
      </c>
      <c r="K42" s="660">
        <v>0</v>
      </c>
      <c r="L42" s="660">
        <v>0</v>
      </c>
      <c r="M42" s="660">
        <v>0</v>
      </c>
      <c r="N42" s="660">
        <v>0</v>
      </c>
      <c r="O42" s="660">
        <v>0</v>
      </c>
      <c r="P42" s="660">
        <v>0</v>
      </c>
      <c r="Q42" s="661">
        <v>0</v>
      </c>
    </row>
    <row r="43" spans="2:99" ht="13" x14ac:dyDescent="0.3">
      <c r="B43" s="662">
        <v>70</v>
      </c>
      <c r="C43" s="663" t="s">
        <v>237</v>
      </c>
      <c r="D43" s="664">
        <v>195874.74</v>
      </c>
      <c r="E43" s="664">
        <v>1186519.1000000001</v>
      </c>
      <c r="F43" s="664">
        <v>189159.38</v>
      </c>
      <c r="G43" s="663">
        <v>1</v>
      </c>
      <c r="H43" s="664">
        <v>189159.38</v>
      </c>
      <c r="I43" s="664">
        <v>1142187.6100000001</v>
      </c>
      <c r="J43" s="663">
        <v>1</v>
      </c>
      <c r="K43" s="664">
        <v>1142187.6100000001</v>
      </c>
      <c r="L43" s="664">
        <v>193539</v>
      </c>
      <c r="M43" s="664">
        <v>1183520</v>
      </c>
      <c r="N43" s="664">
        <v>6715.36</v>
      </c>
      <c r="O43" s="664">
        <v>44331.49</v>
      </c>
      <c r="P43" s="664">
        <v>2335.7399999999998</v>
      </c>
      <c r="Q43" s="665">
        <v>2999.1</v>
      </c>
      <c r="R43" s="111"/>
      <c r="CM43" s="111"/>
      <c r="CN43" s="111"/>
      <c r="CO43" s="111"/>
      <c r="CP43" s="111"/>
      <c r="CQ43" s="111"/>
      <c r="CR43" s="111"/>
      <c r="CS43" s="111"/>
      <c r="CT43" s="111"/>
      <c r="CU43" s="111"/>
    </row>
    <row r="44" spans="2:99" x14ac:dyDescent="0.25">
      <c r="B44" s="658">
        <v>80</v>
      </c>
      <c r="C44" s="659" t="s">
        <v>238</v>
      </c>
      <c r="D44" s="660">
        <v>190693.68</v>
      </c>
      <c r="E44" s="660">
        <v>1131370.02</v>
      </c>
      <c r="F44" s="660">
        <v>200700.61</v>
      </c>
      <c r="G44" s="659">
        <v>1</v>
      </c>
      <c r="H44" s="660">
        <v>200700.61</v>
      </c>
      <c r="I44" s="660">
        <v>1205867.97</v>
      </c>
      <c r="J44" s="659">
        <v>1</v>
      </c>
      <c r="K44" s="660">
        <v>1205867.97</v>
      </c>
      <c r="L44" s="660">
        <v>202387</v>
      </c>
      <c r="M44" s="660">
        <v>1224047</v>
      </c>
      <c r="N44" s="660">
        <v>-10006.93</v>
      </c>
      <c r="O44" s="660">
        <v>-74497.95</v>
      </c>
      <c r="P44" s="660">
        <v>-11693.32</v>
      </c>
      <c r="Q44" s="661">
        <v>-92676.98</v>
      </c>
    </row>
    <row r="45" spans="2:99" x14ac:dyDescent="0.25">
      <c r="B45" s="658">
        <v>90</v>
      </c>
      <c r="C45" s="659" t="s">
        <v>239</v>
      </c>
      <c r="D45" s="660">
        <v>8875.65</v>
      </c>
      <c r="E45" s="660">
        <v>67551.039999999994</v>
      </c>
      <c r="F45" s="660">
        <v>15256.39</v>
      </c>
      <c r="G45" s="659">
        <v>1</v>
      </c>
      <c r="H45" s="660">
        <v>15256.39</v>
      </c>
      <c r="I45" s="660">
        <v>87670.01</v>
      </c>
      <c r="J45" s="659">
        <v>1</v>
      </c>
      <c r="K45" s="660">
        <v>87670.01</v>
      </c>
      <c r="L45" s="660">
        <v>13423</v>
      </c>
      <c r="M45" s="660">
        <v>84003</v>
      </c>
      <c r="N45" s="660">
        <v>-6380.74</v>
      </c>
      <c r="O45" s="660">
        <v>-20118.97</v>
      </c>
      <c r="P45" s="660">
        <v>-4547.3500000000004</v>
      </c>
      <c r="Q45" s="661">
        <v>-16451.96</v>
      </c>
    </row>
    <row r="46" spans="2:99" x14ac:dyDescent="0.25">
      <c r="B46" s="658">
        <v>100</v>
      </c>
      <c r="C46" s="659" t="s">
        <v>240</v>
      </c>
      <c r="D46" s="660">
        <v>1863.32</v>
      </c>
      <c r="E46" s="660">
        <v>10423.64</v>
      </c>
      <c r="F46" s="660">
        <v>1863.32</v>
      </c>
      <c r="G46" s="659">
        <v>1</v>
      </c>
      <c r="H46" s="660">
        <v>1863.32</v>
      </c>
      <c r="I46" s="660">
        <v>11179.92</v>
      </c>
      <c r="J46" s="659">
        <v>1</v>
      </c>
      <c r="K46" s="660">
        <v>11179.92</v>
      </c>
      <c r="L46" s="660">
        <v>0</v>
      </c>
      <c r="M46" s="660">
        <v>0</v>
      </c>
      <c r="N46" s="659">
        <v>0</v>
      </c>
      <c r="O46" s="659">
        <v>-756.28</v>
      </c>
      <c r="P46" s="660">
        <v>1863.32</v>
      </c>
      <c r="Q46" s="661">
        <v>10423.64</v>
      </c>
    </row>
    <row r="47" spans="2:99" ht="13" x14ac:dyDescent="0.3">
      <c r="B47" s="662">
        <v>110</v>
      </c>
      <c r="C47" s="663" t="s">
        <v>241</v>
      </c>
      <c r="D47" s="664">
        <v>201432.65</v>
      </c>
      <c r="E47" s="664">
        <v>1209344.7</v>
      </c>
      <c r="F47" s="664">
        <v>217820.32</v>
      </c>
      <c r="G47" s="663">
        <v>1</v>
      </c>
      <c r="H47" s="664">
        <v>217820.32</v>
      </c>
      <c r="I47" s="664">
        <v>1304717.8999999999</v>
      </c>
      <c r="J47" s="663">
        <v>1</v>
      </c>
      <c r="K47" s="664">
        <v>1304717.8999999999</v>
      </c>
      <c r="L47" s="664">
        <v>215810</v>
      </c>
      <c r="M47" s="664">
        <v>1308050</v>
      </c>
      <c r="N47" s="664">
        <v>-16387.669999999998</v>
      </c>
      <c r="O47" s="664">
        <v>-95373.2</v>
      </c>
      <c r="P47" s="664">
        <v>-14377.35</v>
      </c>
      <c r="Q47" s="665">
        <v>-98705.3</v>
      </c>
      <c r="R47" s="111"/>
      <c r="CM47" s="111"/>
      <c r="CN47" s="111"/>
      <c r="CO47" s="111"/>
      <c r="CP47" s="111"/>
      <c r="CQ47" s="111"/>
      <c r="CR47" s="111"/>
      <c r="CS47" s="111"/>
      <c r="CT47" s="111"/>
      <c r="CU47" s="111"/>
    </row>
    <row r="48" spans="2:99" ht="13" x14ac:dyDescent="0.3">
      <c r="B48" s="662">
        <v>120</v>
      </c>
      <c r="C48" s="663" t="s">
        <v>242</v>
      </c>
      <c r="D48" s="664">
        <v>-5557.91</v>
      </c>
      <c r="E48" s="664">
        <v>-22825.599999999999</v>
      </c>
      <c r="F48" s="664">
        <v>-28660.94</v>
      </c>
      <c r="G48" s="663">
        <v>1</v>
      </c>
      <c r="H48" s="664">
        <v>-28660.94</v>
      </c>
      <c r="I48" s="664">
        <v>-162530.29</v>
      </c>
      <c r="J48" s="663">
        <v>1</v>
      </c>
      <c r="K48" s="664">
        <v>-162530.29</v>
      </c>
      <c r="L48" s="664">
        <v>-22271</v>
      </c>
      <c r="M48" s="664">
        <v>-124530</v>
      </c>
      <c r="N48" s="664">
        <v>23103.03</v>
      </c>
      <c r="O48" s="664">
        <v>139704.69</v>
      </c>
      <c r="P48" s="664">
        <v>16713.09</v>
      </c>
      <c r="Q48" s="665">
        <v>101704.4</v>
      </c>
      <c r="R48" s="111"/>
      <c r="CM48" s="111"/>
      <c r="CN48" s="111"/>
      <c r="CO48" s="111"/>
      <c r="CP48" s="111"/>
      <c r="CQ48" s="111"/>
      <c r="CR48" s="111"/>
      <c r="CS48" s="111"/>
      <c r="CT48" s="111"/>
      <c r="CU48" s="111"/>
    </row>
    <row r="49" spans="2:99" x14ac:dyDescent="0.25">
      <c r="B49" s="658">
        <v>130</v>
      </c>
      <c r="C49" s="659"/>
      <c r="D49" s="659">
        <v>0</v>
      </c>
      <c r="E49" s="659">
        <v>0</v>
      </c>
      <c r="F49" s="659">
        <v>0</v>
      </c>
      <c r="G49" s="659">
        <v>1</v>
      </c>
      <c r="H49" s="659">
        <v>0</v>
      </c>
      <c r="I49" s="659">
        <v>0</v>
      </c>
      <c r="J49" s="659">
        <v>1</v>
      </c>
      <c r="K49" s="659">
        <v>0</v>
      </c>
      <c r="L49" s="659">
        <v>0</v>
      </c>
      <c r="M49" s="659">
        <v>0</v>
      </c>
      <c r="N49" s="659">
        <v>0</v>
      </c>
      <c r="O49" s="659">
        <v>0</v>
      </c>
      <c r="P49" s="659">
        <v>0</v>
      </c>
      <c r="Q49" s="666">
        <v>0</v>
      </c>
    </row>
    <row r="50" spans="2:99" x14ac:dyDescent="0.25">
      <c r="B50" s="658">
        <v>135</v>
      </c>
      <c r="C50" s="659" t="s">
        <v>243</v>
      </c>
      <c r="D50" s="660">
        <v>-1780.21</v>
      </c>
      <c r="E50" s="660">
        <v>-9394.6200000000008</v>
      </c>
      <c r="F50" s="660">
        <v>-3497.12</v>
      </c>
      <c r="G50" s="659">
        <v>1</v>
      </c>
      <c r="H50" s="660">
        <v>-3497.12</v>
      </c>
      <c r="I50" s="660">
        <v>-7418.96</v>
      </c>
      <c r="J50" s="659">
        <v>1</v>
      </c>
      <c r="K50" s="660">
        <v>-7418.96</v>
      </c>
      <c r="L50" s="660">
        <v>-1550</v>
      </c>
      <c r="M50" s="660">
        <v>-9300</v>
      </c>
      <c r="N50" s="660">
        <v>1716.91</v>
      </c>
      <c r="O50" s="660">
        <v>-1975.66</v>
      </c>
      <c r="P50" s="660">
        <v>-230.21</v>
      </c>
      <c r="Q50" s="661">
        <v>-94.62</v>
      </c>
    </row>
    <row r="51" spans="2:99" x14ac:dyDescent="0.25">
      <c r="B51" s="658">
        <v>140</v>
      </c>
      <c r="C51" s="659" t="s">
        <v>244</v>
      </c>
      <c r="D51" s="660">
        <v>0</v>
      </c>
      <c r="E51" s="660">
        <v>4088.67</v>
      </c>
      <c r="F51" s="660">
        <v>1051.82</v>
      </c>
      <c r="G51" s="659">
        <v>1</v>
      </c>
      <c r="H51" s="660">
        <v>1051.82</v>
      </c>
      <c r="I51" s="660">
        <v>6107.32</v>
      </c>
      <c r="J51" s="659">
        <v>1</v>
      </c>
      <c r="K51" s="660">
        <v>6107.32</v>
      </c>
      <c r="L51" s="660">
        <v>0</v>
      </c>
      <c r="M51" s="660">
        <v>4404</v>
      </c>
      <c r="N51" s="660">
        <v>-1051.82</v>
      </c>
      <c r="O51" s="660">
        <v>-2018.65</v>
      </c>
      <c r="P51" s="660">
        <v>0</v>
      </c>
      <c r="Q51" s="661">
        <v>-315.33</v>
      </c>
    </row>
    <row r="52" spans="2:99" x14ac:dyDescent="0.25">
      <c r="B52" s="658">
        <v>150</v>
      </c>
      <c r="C52" s="659" t="s">
        <v>245</v>
      </c>
      <c r="D52" s="659">
        <v>0</v>
      </c>
      <c r="E52" s="659">
        <v>0</v>
      </c>
      <c r="F52" s="659">
        <v>0</v>
      </c>
      <c r="G52" s="659">
        <v>1</v>
      </c>
      <c r="H52" s="659">
        <v>0</v>
      </c>
      <c r="I52" s="659">
        <v>0</v>
      </c>
      <c r="J52" s="659">
        <v>1</v>
      </c>
      <c r="K52" s="659">
        <v>0</v>
      </c>
      <c r="L52" s="659">
        <v>0</v>
      </c>
      <c r="M52" s="659">
        <v>0</v>
      </c>
      <c r="N52" s="659">
        <v>0</v>
      </c>
      <c r="O52" s="659">
        <v>0</v>
      </c>
      <c r="P52" s="659">
        <v>0</v>
      </c>
      <c r="Q52" s="666">
        <v>0</v>
      </c>
    </row>
    <row r="53" spans="2:99" x14ac:dyDescent="0.25">
      <c r="B53" s="658">
        <v>155</v>
      </c>
      <c r="C53" s="659"/>
      <c r="D53" s="659">
        <v>0</v>
      </c>
      <c r="E53" s="659">
        <v>0</v>
      </c>
      <c r="F53" s="659">
        <v>0</v>
      </c>
      <c r="G53" s="659">
        <v>1</v>
      </c>
      <c r="H53" s="659">
        <v>0</v>
      </c>
      <c r="I53" s="659">
        <v>0</v>
      </c>
      <c r="J53" s="659">
        <v>1</v>
      </c>
      <c r="K53" s="659">
        <v>0</v>
      </c>
      <c r="L53" s="659">
        <v>0</v>
      </c>
      <c r="M53" s="659">
        <v>0</v>
      </c>
      <c r="N53" s="659">
        <v>0</v>
      </c>
      <c r="O53" s="659">
        <v>0</v>
      </c>
      <c r="P53" s="659">
        <v>0</v>
      </c>
      <c r="Q53" s="666">
        <v>0</v>
      </c>
    </row>
    <row r="54" spans="2:99" x14ac:dyDescent="0.25">
      <c r="B54" s="658">
        <v>160</v>
      </c>
      <c r="C54" s="659" t="s">
        <v>246</v>
      </c>
      <c r="D54" s="660">
        <v>-1780.21</v>
      </c>
      <c r="E54" s="660">
        <v>-5305.95</v>
      </c>
      <c r="F54" s="660">
        <v>-2445.3000000000002</v>
      </c>
      <c r="G54" s="659">
        <v>1</v>
      </c>
      <c r="H54" s="660">
        <v>-2445.3000000000002</v>
      </c>
      <c r="I54" s="660">
        <v>-1311.64</v>
      </c>
      <c r="J54" s="659">
        <v>1</v>
      </c>
      <c r="K54" s="660">
        <v>-1311.64</v>
      </c>
      <c r="L54" s="660">
        <v>-1550</v>
      </c>
      <c r="M54" s="660">
        <v>-4896</v>
      </c>
      <c r="N54" s="660">
        <v>665.09</v>
      </c>
      <c r="O54" s="660">
        <v>-3994.31</v>
      </c>
      <c r="P54" s="660">
        <v>-230.21</v>
      </c>
      <c r="Q54" s="661">
        <v>-409.95</v>
      </c>
    </row>
    <row r="55" spans="2:99" ht="13" x14ac:dyDescent="0.3">
      <c r="B55" s="662">
        <v>170</v>
      </c>
      <c r="C55" s="663" t="s">
        <v>253</v>
      </c>
      <c r="D55" s="664">
        <v>-3777.7</v>
      </c>
      <c r="E55" s="664">
        <v>-17519.650000000001</v>
      </c>
      <c r="F55" s="664">
        <v>-26215.64</v>
      </c>
      <c r="G55" s="663">
        <v>1</v>
      </c>
      <c r="H55" s="664">
        <v>-26215.64</v>
      </c>
      <c r="I55" s="664">
        <v>-161218.65</v>
      </c>
      <c r="J55" s="663">
        <v>1</v>
      </c>
      <c r="K55" s="664">
        <v>-161218.65</v>
      </c>
      <c r="L55" s="664">
        <v>-20721</v>
      </c>
      <c r="M55" s="664">
        <v>-119634</v>
      </c>
      <c r="N55" s="664">
        <v>22437.94</v>
      </c>
      <c r="O55" s="664">
        <v>143699</v>
      </c>
      <c r="P55" s="664">
        <v>16943.3</v>
      </c>
      <c r="Q55" s="665">
        <v>102114.35</v>
      </c>
      <c r="R55" s="111"/>
      <c r="CM55" s="111"/>
      <c r="CN55" s="111"/>
      <c r="CO55" s="111"/>
      <c r="CP55" s="111"/>
      <c r="CQ55" s="111"/>
      <c r="CR55" s="111"/>
      <c r="CS55" s="111"/>
      <c r="CT55" s="111"/>
      <c r="CU55" s="111"/>
    </row>
    <row r="56" spans="2:99" x14ac:dyDescent="0.25">
      <c r="B56" s="658">
        <v>180</v>
      </c>
      <c r="C56" s="659" t="s">
        <v>249</v>
      </c>
      <c r="D56" s="659">
        <v>0</v>
      </c>
      <c r="E56" s="659">
        <v>0</v>
      </c>
      <c r="F56" s="659">
        <v>0</v>
      </c>
      <c r="G56" s="659">
        <v>1</v>
      </c>
      <c r="H56" s="659">
        <v>0</v>
      </c>
      <c r="I56" s="659">
        <v>0</v>
      </c>
      <c r="J56" s="659">
        <v>1</v>
      </c>
      <c r="K56" s="659">
        <v>0</v>
      </c>
      <c r="L56" s="659">
        <v>0</v>
      </c>
      <c r="M56" s="659">
        <v>0</v>
      </c>
      <c r="N56" s="659">
        <v>0</v>
      </c>
      <c r="O56" s="659">
        <v>0</v>
      </c>
      <c r="P56" s="659">
        <v>0</v>
      </c>
      <c r="Q56" s="666">
        <v>0</v>
      </c>
    </row>
    <row r="57" spans="2:99" x14ac:dyDescent="0.25">
      <c r="B57" s="658">
        <v>190</v>
      </c>
      <c r="C57" s="659" t="s">
        <v>254</v>
      </c>
      <c r="D57" s="659">
        <v>0</v>
      </c>
      <c r="E57" s="659">
        <v>0</v>
      </c>
      <c r="F57" s="659">
        <v>0</v>
      </c>
      <c r="G57" s="659">
        <v>1</v>
      </c>
      <c r="H57" s="659">
        <v>0</v>
      </c>
      <c r="I57" s="659">
        <v>0</v>
      </c>
      <c r="J57" s="659">
        <v>1</v>
      </c>
      <c r="K57" s="659">
        <v>0</v>
      </c>
      <c r="L57" s="659">
        <v>0</v>
      </c>
      <c r="M57" s="659">
        <v>0</v>
      </c>
      <c r="N57" s="659">
        <v>0</v>
      </c>
      <c r="O57" s="659">
        <v>0</v>
      </c>
      <c r="P57" s="659">
        <v>0</v>
      </c>
      <c r="Q57" s="666">
        <v>0</v>
      </c>
    </row>
    <row r="58" spans="2:99" ht="13" x14ac:dyDescent="0.3">
      <c r="B58" s="662">
        <v>200</v>
      </c>
      <c r="C58" s="663" t="s">
        <v>250</v>
      </c>
      <c r="D58" s="664">
        <v>-3777.7</v>
      </c>
      <c r="E58" s="664">
        <v>-17519.650000000001</v>
      </c>
      <c r="F58" s="664">
        <v>-26215.64</v>
      </c>
      <c r="G58" s="663">
        <v>1</v>
      </c>
      <c r="H58" s="664">
        <v>-26215.64</v>
      </c>
      <c r="I58" s="664">
        <v>-161218.65</v>
      </c>
      <c r="J58" s="663">
        <v>1</v>
      </c>
      <c r="K58" s="664">
        <v>-161218.65</v>
      </c>
      <c r="L58" s="664">
        <v>-20721</v>
      </c>
      <c r="M58" s="664">
        <v>-119634</v>
      </c>
      <c r="N58" s="664">
        <v>22437.94</v>
      </c>
      <c r="O58" s="664">
        <v>143699</v>
      </c>
      <c r="P58" s="664">
        <v>16943.3</v>
      </c>
      <c r="Q58" s="665">
        <v>102114.35</v>
      </c>
      <c r="R58" s="111"/>
      <c r="CM58" s="111"/>
      <c r="CN58" s="111"/>
      <c r="CO58" s="111"/>
      <c r="CP58" s="111"/>
      <c r="CQ58" s="111"/>
      <c r="CR58" s="111"/>
      <c r="CS58" s="111"/>
      <c r="CT58" s="111"/>
      <c r="CU58" s="111"/>
    </row>
    <row r="59" spans="2:99" ht="13" x14ac:dyDescent="0.3">
      <c r="B59" s="667">
        <v>210</v>
      </c>
      <c r="C59" s="668" t="s">
        <v>251</v>
      </c>
      <c r="D59" s="669">
        <v>-3694.59</v>
      </c>
      <c r="E59" s="669">
        <v>-12401.96</v>
      </c>
      <c r="F59" s="669">
        <v>-26797.62</v>
      </c>
      <c r="G59" s="668">
        <v>1</v>
      </c>
      <c r="H59" s="669">
        <v>-26797.62</v>
      </c>
      <c r="I59" s="669">
        <v>-151350.37</v>
      </c>
      <c r="J59" s="668">
        <v>1</v>
      </c>
      <c r="K59" s="669">
        <v>-151350.37</v>
      </c>
      <c r="L59" s="669">
        <v>-22271</v>
      </c>
      <c r="M59" s="669">
        <v>-124530</v>
      </c>
      <c r="N59" s="669">
        <v>23103.03</v>
      </c>
      <c r="O59" s="669">
        <v>138948.41</v>
      </c>
      <c r="P59" s="669">
        <v>18576.41</v>
      </c>
      <c r="Q59" s="670">
        <v>112128.04</v>
      </c>
      <c r="R59" s="111"/>
      <c r="CM59" s="111"/>
      <c r="CN59" s="111"/>
      <c r="CO59" s="111"/>
      <c r="CP59" s="111"/>
      <c r="CQ59" s="111"/>
      <c r="CR59" s="111"/>
      <c r="CS59" s="111"/>
      <c r="CT59" s="111"/>
      <c r="CU59" s="111"/>
    </row>
    <row r="62" spans="2:99" ht="13" x14ac:dyDescent="0.3">
      <c r="B62" s="111" t="s">
        <v>33</v>
      </c>
    </row>
    <row r="63" spans="2:99" x14ac:dyDescent="0.25">
      <c r="B63" s="258"/>
      <c r="C63" s="258"/>
      <c r="D63" s="258"/>
      <c r="E63" s="258"/>
      <c r="F63" s="258"/>
      <c r="G63" s="258"/>
      <c r="H63" s="258"/>
      <c r="I63" s="258"/>
      <c r="J63" s="258"/>
      <c r="K63" s="258"/>
      <c r="L63" s="258"/>
      <c r="M63" s="258"/>
      <c r="N63" s="258"/>
      <c r="O63" s="258"/>
      <c r="P63" s="258"/>
      <c r="Q63" s="258"/>
      <c r="R63" s="258"/>
      <c r="BQ63" s="258"/>
      <c r="BR63" s="258"/>
      <c r="BS63" s="258"/>
      <c r="BT63" s="258"/>
      <c r="BU63" s="258"/>
    </row>
    <row r="65" spans="2:73" ht="13" x14ac:dyDescent="0.3">
      <c r="B65" s="595" t="s">
        <v>164</v>
      </c>
      <c r="C65" s="596" t="s">
        <v>165</v>
      </c>
      <c r="D65" s="596" t="s">
        <v>0</v>
      </c>
      <c r="E65" s="596" t="s">
        <v>8</v>
      </c>
      <c r="F65" s="596" t="s">
        <v>221</v>
      </c>
      <c r="G65" s="596" t="s">
        <v>222</v>
      </c>
      <c r="H65" s="596" t="s">
        <v>223</v>
      </c>
      <c r="I65" s="596" t="s">
        <v>224</v>
      </c>
      <c r="J65" s="596" t="s">
        <v>225</v>
      </c>
      <c r="K65" s="596" t="s">
        <v>226</v>
      </c>
      <c r="L65" s="596" t="s">
        <v>4</v>
      </c>
      <c r="M65" s="596" t="s">
        <v>227</v>
      </c>
      <c r="N65" s="596" t="s">
        <v>228</v>
      </c>
      <c r="O65" s="596" t="s">
        <v>229</v>
      </c>
      <c r="P65" s="596" t="s">
        <v>230</v>
      </c>
      <c r="Q65" s="597" t="s">
        <v>231</v>
      </c>
      <c r="R65" s="111"/>
      <c r="BQ65" s="111"/>
      <c r="BR65" s="111"/>
      <c r="BS65" s="111"/>
      <c r="BT65" s="111"/>
      <c r="BU65" s="111"/>
    </row>
    <row r="66" spans="2:73" x14ac:dyDescent="0.25">
      <c r="B66" s="598" t="s">
        <v>181</v>
      </c>
      <c r="C66" s="599" t="s">
        <v>181</v>
      </c>
      <c r="D66" s="599"/>
      <c r="E66" s="599"/>
      <c r="F66" s="599"/>
      <c r="G66" s="599"/>
      <c r="H66" s="599"/>
      <c r="I66" s="599"/>
      <c r="J66" s="599"/>
      <c r="K66" s="599"/>
      <c r="L66" s="599"/>
      <c r="M66" s="599"/>
      <c r="N66" s="599"/>
      <c r="O66" s="599"/>
      <c r="P66" s="599"/>
      <c r="Q66" s="600"/>
    </row>
    <row r="67" spans="2:73" x14ac:dyDescent="0.25">
      <c r="B67" s="598"/>
      <c r="C67" s="599"/>
      <c r="D67" s="599"/>
      <c r="E67" s="599"/>
      <c r="F67" s="599"/>
      <c r="G67" s="599"/>
      <c r="H67" s="599"/>
      <c r="I67" s="599"/>
      <c r="J67" s="599"/>
      <c r="K67" s="599"/>
      <c r="L67" s="599"/>
      <c r="M67" s="599"/>
      <c r="N67" s="599"/>
      <c r="O67" s="599"/>
      <c r="P67" s="599"/>
      <c r="Q67" s="600"/>
    </row>
    <row r="68" spans="2:73" x14ac:dyDescent="0.25">
      <c r="B68" s="658">
        <v>30</v>
      </c>
      <c r="C68" s="659" t="s">
        <v>232</v>
      </c>
      <c r="D68" s="660">
        <v>618092.54</v>
      </c>
      <c r="E68" s="660">
        <v>3689237.8</v>
      </c>
      <c r="F68" s="660">
        <v>669366.87</v>
      </c>
      <c r="G68" s="659">
        <v>1</v>
      </c>
      <c r="H68" s="660">
        <v>669366.87</v>
      </c>
      <c r="I68" s="660">
        <v>3887070.82</v>
      </c>
      <c r="J68" s="659">
        <v>1</v>
      </c>
      <c r="K68" s="660">
        <v>3887070.82</v>
      </c>
      <c r="L68" s="660">
        <v>692159</v>
      </c>
      <c r="M68" s="660">
        <v>4027560</v>
      </c>
      <c r="N68" s="660">
        <v>-51274.33</v>
      </c>
      <c r="O68" s="660">
        <v>-197833.02</v>
      </c>
      <c r="P68" s="660">
        <v>-74066.460000000006</v>
      </c>
      <c r="Q68" s="661">
        <v>-338322.2</v>
      </c>
    </row>
    <row r="69" spans="2:73" x14ac:dyDescent="0.25">
      <c r="B69" s="658">
        <v>40</v>
      </c>
      <c r="C69" s="659" t="s">
        <v>233</v>
      </c>
      <c r="D69" s="660">
        <v>819.77</v>
      </c>
      <c r="E69" s="660">
        <v>7275.22</v>
      </c>
      <c r="F69" s="660">
        <v>11946.88</v>
      </c>
      <c r="G69" s="659">
        <v>1</v>
      </c>
      <c r="H69" s="660">
        <v>11946.88</v>
      </c>
      <c r="I69" s="660">
        <v>64544.61</v>
      </c>
      <c r="J69" s="659">
        <v>1</v>
      </c>
      <c r="K69" s="660">
        <v>64544.61</v>
      </c>
      <c r="L69" s="660">
        <v>0</v>
      </c>
      <c r="M69" s="660">
        <v>0</v>
      </c>
      <c r="N69" s="660">
        <v>-11127.11</v>
      </c>
      <c r="O69" s="660">
        <v>-57269.39</v>
      </c>
      <c r="P69" s="660">
        <v>819.77</v>
      </c>
      <c r="Q69" s="661">
        <v>7275.22</v>
      </c>
    </row>
    <row r="70" spans="2:73" ht="13" x14ac:dyDescent="0.3">
      <c r="B70" s="662">
        <v>50</v>
      </c>
      <c r="C70" s="663" t="s">
        <v>234</v>
      </c>
      <c r="D70" s="664">
        <v>617272.77</v>
      </c>
      <c r="E70" s="664">
        <v>3681962.58</v>
      </c>
      <c r="F70" s="664">
        <v>657419.99</v>
      </c>
      <c r="G70" s="663">
        <v>1</v>
      </c>
      <c r="H70" s="664">
        <v>657419.99</v>
      </c>
      <c r="I70" s="664">
        <v>3822526.21</v>
      </c>
      <c r="J70" s="663">
        <v>1</v>
      </c>
      <c r="K70" s="664">
        <v>3822526.21</v>
      </c>
      <c r="L70" s="664">
        <v>692159</v>
      </c>
      <c r="M70" s="664">
        <v>4027560</v>
      </c>
      <c r="N70" s="664">
        <v>-40147.22</v>
      </c>
      <c r="O70" s="664">
        <v>-140563.63</v>
      </c>
      <c r="P70" s="664">
        <v>-74886.23</v>
      </c>
      <c r="Q70" s="665">
        <v>-345597.42</v>
      </c>
      <c r="R70" s="111"/>
      <c r="BQ70" s="111"/>
      <c r="BR70" s="111"/>
      <c r="BS70" s="111"/>
      <c r="BT70" s="111"/>
      <c r="BU70" s="111"/>
    </row>
    <row r="71" spans="2:73" x14ac:dyDescent="0.25">
      <c r="B71" s="658">
        <v>60</v>
      </c>
      <c r="C71" s="659" t="s">
        <v>235</v>
      </c>
      <c r="D71" s="660">
        <v>199333.66</v>
      </c>
      <c r="E71" s="660">
        <v>1247159.81</v>
      </c>
      <c r="F71" s="660">
        <v>231774.72</v>
      </c>
      <c r="G71" s="659">
        <v>1</v>
      </c>
      <c r="H71" s="660">
        <v>231774.72</v>
      </c>
      <c r="I71" s="660">
        <v>1354775.55</v>
      </c>
      <c r="J71" s="659">
        <v>1</v>
      </c>
      <c r="K71" s="660">
        <v>1354775.55</v>
      </c>
      <c r="L71" s="660">
        <v>245024</v>
      </c>
      <c r="M71" s="660">
        <v>1425756</v>
      </c>
      <c r="N71" s="660">
        <v>-32441.06</v>
      </c>
      <c r="O71" s="660">
        <v>-107615.74</v>
      </c>
      <c r="P71" s="660">
        <v>-45690.34</v>
      </c>
      <c r="Q71" s="661">
        <v>-178596.19</v>
      </c>
    </row>
    <row r="72" spans="2:73" x14ac:dyDescent="0.25">
      <c r="B72" s="658">
        <v>65</v>
      </c>
      <c r="C72" s="659" t="s">
        <v>236</v>
      </c>
      <c r="D72" s="660">
        <v>0</v>
      </c>
      <c r="E72" s="660">
        <v>0</v>
      </c>
      <c r="F72" s="660">
        <v>0</v>
      </c>
      <c r="G72" s="659">
        <v>1</v>
      </c>
      <c r="H72" s="660">
        <v>0</v>
      </c>
      <c r="I72" s="660">
        <v>0</v>
      </c>
      <c r="J72" s="659">
        <v>1</v>
      </c>
      <c r="K72" s="660">
        <v>0</v>
      </c>
      <c r="L72" s="660">
        <v>0</v>
      </c>
      <c r="M72" s="660">
        <v>0</v>
      </c>
      <c r="N72" s="660">
        <v>0</v>
      </c>
      <c r="O72" s="660">
        <v>0</v>
      </c>
      <c r="P72" s="660">
        <v>0</v>
      </c>
      <c r="Q72" s="661">
        <v>0</v>
      </c>
    </row>
    <row r="73" spans="2:73" ht="13" x14ac:dyDescent="0.3">
      <c r="B73" s="662">
        <v>70</v>
      </c>
      <c r="C73" s="663" t="s">
        <v>237</v>
      </c>
      <c r="D73" s="664">
        <v>417939.11</v>
      </c>
      <c r="E73" s="664">
        <v>2434802.77</v>
      </c>
      <c r="F73" s="664">
        <v>425645.27</v>
      </c>
      <c r="G73" s="663">
        <v>1</v>
      </c>
      <c r="H73" s="664">
        <v>425645.27</v>
      </c>
      <c r="I73" s="664">
        <v>2467750.66</v>
      </c>
      <c r="J73" s="663">
        <v>1</v>
      </c>
      <c r="K73" s="664">
        <v>2467750.66</v>
      </c>
      <c r="L73" s="664">
        <v>447135</v>
      </c>
      <c r="M73" s="664">
        <v>2601804</v>
      </c>
      <c r="N73" s="664">
        <v>-7706.16</v>
      </c>
      <c r="O73" s="664">
        <v>-32947.89</v>
      </c>
      <c r="P73" s="664">
        <v>-29195.89</v>
      </c>
      <c r="Q73" s="665">
        <v>-167001.23000000001</v>
      </c>
      <c r="R73" s="111"/>
      <c r="BQ73" s="111"/>
      <c r="BR73" s="111"/>
      <c r="BS73" s="111"/>
      <c r="BT73" s="111"/>
      <c r="BU73" s="111"/>
    </row>
    <row r="74" spans="2:73" x14ac:dyDescent="0.25">
      <c r="B74" s="658">
        <v>80</v>
      </c>
      <c r="C74" s="659" t="s">
        <v>238</v>
      </c>
      <c r="D74" s="660">
        <v>381943.27</v>
      </c>
      <c r="E74" s="660">
        <v>2304323.46</v>
      </c>
      <c r="F74" s="660">
        <v>400045.96</v>
      </c>
      <c r="G74" s="659">
        <v>1</v>
      </c>
      <c r="H74" s="660">
        <v>400045.96</v>
      </c>
      <c r="I74" s="660">
        <v>2314776.8199999998</v>
      </c>
      <c r="J74" s="659">
        <v>1</v>
      </c>
      <c r="K74" s="660">
        <v>2314776.8199999998</v>
      </c>
      <c r="L74" s="660">
        <v>407244</v>
      </c>
      <c r="M74" s="660">
        <v>2406002</v>
      </c>
      <c r="N74" s="660">
        <v>-18102.689999999999</v>
      </c>
      <c r="O74" s="660">
        <v>-10453.36</v>
      </c>
      <c r="P74" s="660">
        <v>-25300.73</v>
      </c>
      <c r="Q74" s="661">
        <v>-101678.54</v>
      </c>
    </row>
    <row r="75" spans="2:73" x14ac:dyDescent="0.25">
      <c r="B75" s="658">
        <v>90</v>
      </c>
      <c r="C75" s="659" t="s">
        <v>239</v>
      </c>
      <c r="D75" s="660">
        <v>10742.09</v>
      </c>
      <c r="E75" s="660">
        <v>86014.9</v>
      </c>
      <c r="F75" s="660">
        <v>23498.880000000001</v>
      </c>
      <c r="G75" s="659">
        <v>1</v>
      </c>
      <c r="H75" s="660">
        <v>23498.880000000001</v>
      </c>
      <c r="I75" s="660">
        <v>132361.84</v>
      </c>
      <c r="J75" s="659">
        <v>1</v>
      </c>
      <c r="K75" s="660">
        <v>132361.84</v>
      </c>
      <c r="L75" s="660">
        <v>23519</v>
      </c>
      <c r="M75" s="660">
        <v>132381</v>
      </c>
      <c r="N75" s="660">
        <v>-12756.79</v>
      </c>
      <c r="O75" s="660">
        <v>-46346.94</v>
      </c>
      <c r="P75" s="660">
        <v>-12776.91</v>
      </c>
      <c r="Q75" s="661">
        <v>-46366.1</v>
      </c>
    </row>
    <row r="76" spans="2:73" x14ac:dyDescent="0.25">
      <c r="B76" s="658">
        <v>100</v>
      </c>
      <c r="C76" s="659" t="s">
        <v>240</v>
      </c>
      <c r="D76" s="660">
        <v>3089.31</v>
      </c>
      <c r="E76" s="660">
        <v>17280.36</v>
      </c>
      <c r="F76" s="660">
        <v>2838.21</v>
      </c>
      <c r="G76" s="659">
        <v>1</v>
      </c>
      <c r="H76" s="660">
        <v>2838.21</v>
      </c>
      <c r="I76" s="660">
        <v>17029.259999999998</v>
      </c>
      <c r="J76" s="659">
        <v>1</v>
      </c>
      <c r="K76" s="660">
        <v>17029.259999999998</v>
      </c>
      <c r="L76" s="660">
        <v>2838</v>
      </c>
      <c r="M76" s="660">
        <v>17028</v>
      </c>
      <c r="N76" s="659">
        <v>251.1</v>
      </c>
      <c r="O76" s="659">
        <v>251.1</v>
      </c>
      <c r="P76" s="659">
        <v>251.31</v>
      </c>
      <c r="Q76" s="661">
        <v>252.36</v>
      </c>
    </row>
    <row r="77" spans="2:73" ht="13" x14ac:dyDescent="0.3">
      <c r="B77" s="662">
        <v>110</v>
      </c>
      <c r="C77" s="663" t="s">
        <v>241</v>
      </c>
      <c r="D77" s="664">
        <v>395774.67</v>
      </c>
      <c r="E77" s="664">
        <v>2407618.7200000002</v>
      </c>
      <c r="F77" s="664">
        <v>426383.05</v>
      </c>
      <c r="G77" s="663">
        <v>1</v>
      </c>
      <c r="H77" s="664">
        <v>426383.05</v>
      </c>
      <c r="I77" s="664">
        <v>2464167.92</v>
      </c>
      <c r="J77" s="663">
        <v>1</v>
      </c>
      <c r="K77" s="664">
        <v>2464167.92</v>
      </c>
      <c r="L77" s="664">
        <v>433601</v>
      </c>
      <c r="M77" s="664">
        <v>2555411</v>
      </c>
      <c r="N77" s="664">
        <v>-30608.38</v>
      </c>
      <c r="O77" s="664">
        <v>-56549.2</v>
      </c>
      <c r="P77" s="664">
        <v>-37826.33</v>
      </c>
      <c r="Q77" s="665">
        <v>-147792.28</v>
      </c>
      <c r="R77" s="111"/>
      <c r="BQ77" s="111"/>
      <c r="BR77" s="111"/>
      <c r="BS77" s="111"/>
      <c r="BT77" s="111"/>
      <c r="BU77" s="111"/>
    </row>
    <row r="78" spans="2:73" ht="13" x14ac:dyDescent="0.3">
      <c r="B78" s="662">
        <v>120</v>
      </c>
      <c r="C78" s="663" t="s">
        <v>242</v>
      </c>
      <c r="D78" s="664">
        <v>22164.44</v>
      </c>
      <c r="E78" s="664">
        <v>27184.05</v>
      </c>
      <c r="F78" s="664">
        <v>-737.78</v>
      </c>
      <c r="G78" s="663">
        <v>1</v>
      </c>
      <c r="H78" s="664">
        <v>-737.78</v>
      </c>
      <c r="I78" s="664">
        <v>3582.74</v>
      </c>
      <c r="J78" s="663">
        <v>1</v>
      </c>
      <c r="K78" s="664">
        <v>3582.74</v>
      </c>
      <c r="L78" s="664">
        <v>13534</v>
      </c>
      <c r="M78" s="664">
        <v>46393</v>
      </c>
      <c r="N78" s="664">
        <v>22902.22</v>
      </c>
      <c r="O78" s="664">
        <v>23601.31</v>
      </c>
      <c r="P78" s="664">
        <v>8630.44</v>
      </c>
      <c r="Q78" s="665">
        <v>-19208.95</v>
      </c>
      <c r="R78" s="111"/>
      <c r="BQ78" s="111"/>
      <c r="BR78" s="111"/>
      <c r="BS78" s="111"/>
      <c r="BT78" s="111"/>
      <c r="BU78" s="111"/>
    </row>
    <row r="79" spans="2:73" x14ac:dyDescent="0.25">
      <c r="B79" s="658">
        <v>130</v>
      </c>
      <c r="C79" s="659"/>
      <c r="D79" s="659">
        <v>0</v>
      </c>
      <c r="E79" s="659">
        <v>0</v>
      </c>
      <c r="F79" s="659">
        <v>0</v>
      </c>
      <c r="G79" s="659">
        <v>1</v>
      </c>
      <c r="H79" s="659">
        <v>0</v>
      </c>
      <c r="I79" s="659">
        <v>0</v>
      </c>
      <c r="J79" s="659">
        <v>1</v>
      </c>
      <c r="K79" s="659">
        <v>0</v>
      </c>
      <c r="L79" s="659">
        <v>0</v>
      </c>
      <c r="M79" s="659">
        <v>0</v>
      </c>
      <c r="N79" s="659">
        <v>0</v>
      </c>
      <c r="O79" s="659">
        <v>0</v>
      </c>
      <c r="P79" s="659">
        <v>0</v>
      </c>
      <c r="Q79" s="666">
        <v>0</v>
      </c>
    </row>
    <row r="80" spans="2:73" x14ac:dyDescent="0.25">
      <c r="B80" s="658">
        <v>135</v>
      </c>
      <c r="C80" s="659" t="s">
        <v>243</v>
      </c>
      <c r="D80" s="660">
        <v>-2748.94</v>
      </c>
      <c r="E80" s="660">
        <v>-18278.939999999999</v>
      </c>
      <c r="F80" s="660">
        <v>-1017.28</v>
      </c>
      <c r="G80" s="659">
        <v>1</v>
      </c>
      <c r="H80" s="660">
        <v>-1017.28</v>
      </c>
      <c r="I80" s="660">
        <v>-8478.68</v>
      </c>
      <c r="J80" s="659">
        <v>1</v>
      </c>
      <c r="K80" s="660">
        <v>-8478.68</v>
      </c>
      <c r="L80" s="660">
        <v>-31515</v>
      </c>
      <c r="M80" s="660">
        <v>-39090</v>
      </c>
      <c r="N80" s="660">
        <v>-1731.66</v>
      </c>
      <c r="O80" s="660">
        <v>-9800.26</v>
      </c>
      <c r="P80" s="660">
        <v>28766.06</v>
      </c>
      <c r="Q80" s="661">
        <v>20811.060000000001</v>
      </c>
    </row>
    <row r="81" spans="2:73" x14ac:dyDescent="0.25">
      <c r="B81" s="658">
        <v>140</v>
      </c>
      <c r="C81" s="659" t="s">
        <v>244</v>
      </c>
      <c r="D81" s="660">
        <v>18223.93</v>
      </c>
      <c r="E81" s="660">
        <v>116523.83</v>
      </c>
      <c r="F81" s="660">
        <v>18568.919999999998</v>
      </c>
      <c r="G81" s="659">
        <v>1</v>
      </c>
      <c r="H81" s="660">
        <v>18568.919999999998</v>
      </c>
      <c r="I81" s="660">
        <v>108041.76</v>
      </c>
      <c r="J81" s="659">
        <v>1</v>
      </c>
      <c r="K81" s="660">
        <v>108041.76</v>
      </c>
      <c r="L81" s="660">
        <v>16819</v>
      </c>
      <c r="M81" s="660">
        <v>117041</v>
      </c>
      <c r="N81" s="660">
        <v>-344.99</v>
      </c>
      <c r="O81" s="660">
        <v>8482.07</v>
      </c>
      <c r="P81" s="660">
        <v>1404.93</v>
      </c>
      <c r="Q81" s="661">
        <v>-517.16999999999996</v>
      </c>
    </row>
    <row r="82" spans="2:73" x14ac:dyDescent="0.25">
      <c r="B82" s="658">
        <v>150</v>
      </c>
      <c r="C82" s="659" t="s">
        <v>245</v>
      </c>
      <c r="D82" s="659">
        <v>0</v>
      </c>
      <c r="E82" s="659">
        <v>0</v>
      </c>
      <c r="F82" s="659">
        <v>0</v>
      </c>
      <c r="G82" s="659">
        <v>1</v>
      </c>
      <c r="H82" s="659">
        <v>0</v>
      </c>
      <c r="I82" s="659">
        <v>0</v>
      </c>
      <c r="J82" s="659">
        <v>1</v>
      </c>
      <c r="K82" s="659">
        <v>0</v>
      </c>
      <c r="L82" s="659">
        <v>0</v>
      </c>
      <c r="M82" s="659">
        <v>0</v>
      </c>
      <c r="N82" s="659">
        <v>0</v>
      </c>
      <c r="O82" s="659">
        <v>0</v>
      </c>
      <c r="P82" s="659">
        <v>0</v>
      </c>
      <c r="Q82" s="666">
        <v>0</v>
      </c>
    </row>
    <row r="83" spans="2:73" x14ac:dyDescent="0.25">
      <c r="B83" s="658">
        <v>155</v>
      </c>
      <c r="C83" s="659"/>
      <c r="D83" s="659">
        <v>0</v>
      </c>
      <c r="E83" s="659">
        <v>0</v>
      </c>
      <c r="F83" s="659">
        <v>0</v>
      </c>
      <c r="G83" s="659">
        <v>1</v>
      </c>
      <c r="H83" s="659">
        <v>0</v>
      </c>
      <c r="I83" s="659">
        <v>0</v>
      </c>
      <c r="J83" s="659">
        <v>1</v>
      </c>
      <c r="K83" s="659">
        <v>0</v>
      </c>
      <c r="L83" s="659">
        <v>0</v>
      </c>
      <c r="M83" s="659">
        <v>0</v>
      </c>
      <c r="N83" s="659">
        <v>0</v>
      </c>
      <c r="O83" s="659">
        <v>0</v>
      </c>
      <c r="P83" s="659">
        <v>0</v>
      </c>
      <c r="Q83" s="666">
        <v>0</v>
      </c>
    </row>
    <row r="84" spans="2:73" x14ac:dyDescent="0.25">
      <c r="B84" s="658">
        <v>160</v>
      </c>
      <c r="C84" s="659" t="s">
        <v>246</v>
      </c>
      <c r="D84" s="660">
        <v>15474.99</v>
      </c>
      <c r="E84" s="660">
        <v>98244.89</v>
      </c>
      <c r="F84" s="660">
        <v>17551.64</v>
      </c>
      <c r="G84" s="659">
        <v>1</v>
      </c>
      <c r="H84" s="660">
        <v>17551.64</v>
      </c>
      <c r="I84" s="660">
        <v>99563.08</v>
      </c>
      <c r="J84" s="659">
        <v>1</v>
      </c>
      <c r="K84" s="660">
        <v>99563.08</v>
      </c>
      <c r="L84" s="660">
        <v>-14696</v>
      </c>
      <c r="M84" s="660">
        <v>77951</v>
      </c>
      <c r="N84" s="660">
        <v>-2076.65</v>
      </c>
      <c r="O84" s="660">
        <v>-1318.19</v>
      </c>
      <c r="P84" s="660">
        <v>30170.99</v>
      </c>
      <c r="Q84" s="661">
        <v>20293.89</v>
      </c>
    </row>
    <row r="85" spans="2:73" ht="13" x14ac:dyDescent="0.3">
      <c r="B85" s="662">
        <v>170</v>
      </c>
      <c r="C85" s="663" t="s">
        <v>255</v>
      </c>
      <c r="D85" s="664">
        <v>6689.45</v>
      </c>
      <c r="E85" s="664">
        <v>-71060.84</v>
      </c>
      <c r="F85" s="664">
        <v>-18289.419999999998</v>
      </c>
      <c r="G85" s="663">
        <v>1</v>
      </c>
      <c r="H85" s="664">
        <v>-18289.419999999998</v>
      </c>
      <c r="I85" s="664">
        <v>-95980.34</v>
      </c>
      <c r="J85" s="663">
        <v>1</v>
      </c>
      <c r="K85" s="664">
        <v>-95980.34</v>
      </c>
      <c r="L85" s="664">
        <v>28230</v>
      </c>
      <c r="M85" s="664">
        <v>-31558</v>
      </c>
      <c r="N85" s="664">
        <v>24978.87</v>
      </c>
      <c r="O85" s="664">
        <v>24919.5</v>
      </c>
      <c r="P85" s="664">
        <v>-21540.55</v>
      </c>
      <c r="Q85" s="665">
        <v>-39502.839999999997</v>
      </c>
      <c r="R85" s="111"/>
      <c r="BQ85" s="111"/>
      <c r="BR85" s="111"/>
      <c r="BS85" s="111"/>
      <c r="BT85" s="111"/>
      <c r="BU85" s="111"/>
    </row>
    <row r="86" spans="2:73" x14ac:dyDescent="0.25">
      <c r="B86" s="658">
        <v>180</v>
      </c>
      <c r="C86" s="659" t="s">
        <v>249</v>
      </c>
      <c r="D86" s="659">
        <v>0</v>
      </c>
      <c r="E86" s="659">
        <v>0</v>
      </c>
      <c r="F86" s="659">
        <v>0</v>
      </c>
      <c r="G86" s="659">
        <v>1</v>
      </c>
      <c r="H86" s="659">
        <v>0</v>
      </c>
      <c r="I86" s="659">
        <v>0</v>
      </c>
      <c r="J86" s="659">
        <v>1</v>
      </c>
      <c r="K86" s="659">
        <v>0</v>
      </c>
      <c r="L86" s="659">
        <v>0</v>
      </c>
      <c r="M86" s="659">
        <v>0</v>
      </c>
      <c r="N86" s="659">
        <v>0</v>
      </c>
      <c r="O86" s="659">
        <v>0</v>
      </c>
      <c r="P86" s="659">
        <v>0</v>
      </c>
      <c r="Q86" s="666">
        <v>0</v>
      </c>
    </row>
    <row r="87" spans="2:73" x14ac:dyDescent="0.25">
      <c r="B87" s="658">
        <v>190</v>
      </c>
      <c r="C87" s="659" t="s">
        <v>254</v>
      </c>
      <c r="D87" s="659">
        <v>0</v>
      </c>
      <c r="E87" s="659">
        <v>0</v>
      </c>
      <c r="F87" s="659">
        <v>0</v>
      </c>
      <c r="G87" s="659">
        <v>1</v>
      </c>
      <c r="H87" s="659">
        <v>0</v>
      </c>
      <c r="I87" s="659">
        <v>0</v>
      </c>
      <c r="J87" s="659">
        <v>1</v>
      </c>
      <c r="K87" s="659">
        <v>0</v>
      </c>
      <c r="L87" s="659">
        <v>0</v>
      </c>
      <c r="M87" s="659">
        <v>0</v>
      </c>
      <c r="N87" s="659">
        <v>0</v>
      </c>
      <c r="O87" s="659">
        <v>0</v>
      </c>
      <c r="P87" s="659">
        <v>0</v>
      </c>
      <c r="Q87" s="666">
        <v>0</v>
      </c>
    </row>
    <row r="88" spans="2:73" ht="13" x14ac:dyDescent="0.3">
      <c r="B88" s="662">
        <v>200</v>
      </c>
      <c r="C88" s="663" t="s">
        <v>250</v>
      </c>
      <c r="D88" s="664">
        <v>6689.45</v>
      </c>
      <c r="E88" s="664">
        <v>-71060.84</v>
      </c>
      <c r="F88" s="664">
        <v>-18289.419999999998</v>
      </c>
      <c r="G88" s="663">
        <v>1</v>
      </c>
      <c r="H88" s="664">
        <v>-18289.419999999998</v>
      </c>
      <c r="I88" s="664">
        <v>-95980.34</v>
      </c>
      <c r="J88" s="663">
        <v>1</v>
      </c>
      <c r="K88" s="664">
        <v>-95980.34</v>
      </c>
      <c r="L88" s="664">
        <v>28230</v>
      </c>
      <c r="M88" s="664">
        <v>-31558</v>
      </c>
      <c r="N88" s="664">
        <v>24978.87</v>
      </c>
      <c r="O88" s="664">
        <v>24919.5</v>
      </c>
      <c r="P88" s="664">
        <v>-21540.55</v>
      </c>
      <c r="Q88" s="665">
        <v>-39502.839999999997</v>
      </c>
      <c r="R88" s="111"/>
      <c r="BQ88" s="111"/>
      <c r="BR88" s="111"/>
      <c r="BS88" s="111"/>
      <c r="BT88" s="111"/>
      <c r="BU88" s="111"/>
    </row>
    <row r="89" spans="2:73" ht="13" x14ac:dyDescent="0.3">
      <c r="B89" s="667">
        <v>210</v>
      </c>
      <c r="C89" s="668" t="s">
        <v>251</v>
      </c>
      <c r="D89" s="669">
        <v>25253.75</v>
      </c>
      <c r="E89" s="669">
        <v>44464.41</v>
      </c>
      <c r="F89" s="669">
        <v>2100.4299999999998</v>
      </c>
      <c r="G89" s="668">
        <v>1</v>
      </c>
      <c r="H89" s="669">
        <v>2100.4299999999998</v>
      </c>
      <c r="I89" s="669">
        <v>20612</v>
      </c>
      <c r="J89" s="668">
        <v>1</v>
      </c>
      <c r="K89" s="669">
        <v>20612</v>
      </c>
      <c r="L89" s="669">
        <v>16372</v>
      </c>
      <c r="M89" s="669">
        <v>63421</v>
      </c>
      <c r="N89" s="669">
        <v>23153.32</v>
      </c>
      <c r="O89" s="669">
        <v>23852.41</v>
      </c>
      <c r="P89" s="669">
        <v>8881.75</v>
      </c>
      <c r="Q89" s="670">
        <v>-18956.59</v>
      </c>
      <c r="R89" s="111"/>
      <c r="BQ89" s="111"/>
      <c r="BR89" s="111"/>
      <c r="BS89" s="111"/>
      <c r="BT89" s="111"/>
      <c r="BU89" s="111"/>
    </row>
    <row r="92" spans="2:73" ht="13" x14ac:dyDescent="0.3">
      <c r="B92" s="111" t="s">
        <v>185</v>
      </c>
    </row>
    <row r="93" spans="2:73" ht="13" x14ac:dyDescent="0.3">
      <c r="B93" s="255">
        <v>600</v>
      </c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</row>
    <row r="95" spans="2:73" ht="13" x14ac:dyDescent="0.3">
      <c r="B95" s="595" t="s">
        <v>164</v>
      </c>
      <c r="C95" s="596" t="s">
        <v>165</v>
      </c>
      <c r="D95" s="596" t="s">
        <v>0</v>
      </c>
      <c r="E95" s="596" t="s">
        <v>8</v>
      </c>
      <c r="F95" s="596" t="s">
        <v>221</v>
      </c>
      <c r="G95" s="596" t="s">
        <v>222</v>
      </c>
      <c r="H95" s="596" t="s">
        <v>223</v>
      </c>
      <c r="I95" s="596" t="s">
        <v>224</v>
      </c>
      <c r="J95" s="596" t="s">
        <v>225</v>
      </c>
      <c r="K95" s="596" t="s">
        <v>226</v>
      </c>
      <c r="L95" s="596" t="s">
        <v>4</v>
      </c>
      <c r="M95" s="596" t="s">
        <v>227</v>
      </c>
      <c r="N95" s="596" t="s">
        <v>228</v>
      </c>
      <c r="O95" s="596" t="s">
        <v>229</v>
      </c>
      <c r="P95" s="596" t="s">
        <v>230</v>
      </c>
      <c r="Q95" s="597" t="s">
        <v>231</v>
      </c>
      <c r="R95" s="111"/>
    </row>
    <row r="96" spans="2:73" x14ac:dyDescent="0.25">
      <c r="B96" s="598" t="s">
        <v>181</v>
      </c>
      <c r="C96" s="599" t="s">
        <v>181</v>
      </c>
      <c r="D96" s="599"/>
      <c r="E96" s="599"/>
      <c r="F96" s="599"/>
      <c r="G96" s="599"/>
      <c r="H96" s="599"/>
      <c r="I96" s="599"/>
      <c r="J96" s="599"/>
      <c r="K96" s="599"/>
      <c r="L96" s="599"/>
      <c r="M96" s="599"/>
      <c r="N96" s="599"/>
      <c r="O96" s="599"/>
      <c r="P96" s="599"/>
      <c r="Q96" s="600"/>
    </row>
    <row r="97" spans="2:18" x14ac:dyDescent="0.25">
      <c r="B97" s="598"/>
      <c r="C97" s="599"/>
      <c r="D97" s="599"/>
      <c r="E97" s="599"/>
      <c r="F97" s="599"/>
      <c r="G97" s="599"/>
      <c r="H97" s="599"/>
      <c r="I97" s="599"/>
      <c r="J97" s="599"/>
      <c r="K97" s="599"/>
      <c r="L97" s="599"/>
      <c r="M97" s="599"/>
      <c r="N97" s="599"/>
      <c r="O97" s="599"/>
      <c r="P97" s="599"/>
      <c r="Q97" s="600"/>
    </row>
    <row r="98" spans="2:18" x14ac:dyDescent="0.25">
      <c r="B98" s="658">
        <v>30</v>
      </c>
      <c r="C98" s="659" t="s">
        <v>232</v>
      </c>
      <c r="D98" s="660">
        <v>312455.15000000002</v>
      </c>
      <c r="E98" s="660">
        <v>2119961.2000000002</v>
      </c>
      <c r="F98" s="660">
        <v>377357.48</v>
      </c>
      <c r="G98" s="659">
        <v>1</v>
      </c>
      <c r="H98" s="660">
        <v>377357.48</v>
      </c>
      <c r="I98" s="660">
        <v>2273246.7400000002</v>
      </c>
      <c r="J98" s="659">
        <v>1</v>
      </c>
      <c r="K98" s="660">
        <v>2273246.7400000002</v>
      </c>
      <c r="L98" s="660">
        <v>258332</v>
      </c>
      <c r="M98" s="660">
        <v>1517380</v>
      </c>
      <c r="N98" s="660">
        <v>-64902.33</v>
      </c>
      <c r="O98" s="660">
        <v>-153285.54</v>
      </c>
      <c r="P98" s="660">
        <v>54123.15</v>
      </c>
      <c r="Q98" s="661">
        <v>602581.19999999995</v>
      </c>
    </row>
    <row r="99" spans="2:18" x14ac:dyDescent="0.25">
      <c r="B99" s="658">
        <v>40</v>
      </c>
      <c r="C99" s="659" t="s">
        <v>233</v>
      </c>
      <c r="D99" s="660">
        <v>93253.09</v>
      </c>
      <c r="E99" s="660">
        <v>712029.61</v>
      </c>
      <c r="F99" s="660">
        <v>125276.44</v>
      </c>
      <c r="G99" s="659">
        <v>1</v>
      </c>
      <c r="H99" s="660">
        <v>125276.44</v>
      </c>
      <c r="I99" s="660">
        <v>786927.83</v>
      </c>
      <c r="J99" s="659">
        <v>1</v>
      </c>
      <c r="K99" s="660">
        <v>786927.83</v>
      </c>
      <c r="L99" s="660">
        <v>0</v>
      </c>
      <c r="M99" s="660">
        <v>0</v>
      </c>
      <c r="N99" s="660">
        <v>-32023.35</v>
      </c>
      <c r="O99" s="660">
        <v>-74898.22</v>
      </c>
      <c r="P99" s="660">
        <v>93253.09</v>
      </c>
      <c r="Q99" s="661">
        <v>712029.61</v>
      </c>
    </row>
    <row r="100" spans="2:18" ht="13" x14ac:dyDescent="0.3">
      <c r="B100" s="662">
        <v>50</v>
      </c>
      <c r="C100" s="663" t="s">
        <v>234</v>
      </c>
      <c r="D100" s="664">
        <v>219202.06</v>
      </c>
      <c r="E100" s="664">
        <v>1407931.59</v>
      </c>
      <c r="F100" s="664">
        <v>252081.04</v>
      </c>
      <c r="G100" s="663">
        <v>1</v>
      </c>
      <c r="H100" s="664">
        <v>252081.04</v>
      </c>
      <c r="I100" s="664">
        <v>1486318.91</v>
      </c>
      <c r="J100" s="663">
        <v>1</v>
      </c>
      <c r="K100" s="664">
        <v>1486318.91</v>
      </c>
      <c r="L100" s="664">
        <v>258332</v>
      </c>
      <c r="M100" s="664">
        <v>1517380</v>
      </c>
      <c r="N100" s="664">
        <v>-32878.980000000003</v>
      </c>
      <c r="O100" s="664">
        <v>-78387.320000000007</v>
      </c>
      <c r="P100" s="664">
        <v>-39129.94</v>
      </c>
      <c r="Q100" s="665">
        <v>-109448.41</v>
      </c>
      <c r="R100" s="111"/>
    </row>
    <row r="101" spans="2:18" x14ac:dyDescent="0.25">
      <c r="B101" s="658">
        <v>60</v>
      </c>
      <c r="C101" s="659" t="s">
        <v>235</v>
      </c>
      <c r="D101" s="660">
        <v>77319.210000000006</v>
      </c>
      <c r="E101" s="660">
        <v>487761.94</v>
      </c>
      <c r="F101" s="660">
        <v>89033.91</v>
      </c>
      <c r="G101" s="659">
        <v>1</v>
      </c>
      <c r="H101" s="660">
        <v>89033.91</v>
      </c>
      <c r="I101" s="660">
        <v>523763.46</v>
      </c>
      <c r="J101" s="659">
        <v>1</v>
      </c>
      <c r="K101" s="660">
        <v>523763.46</v>
      </c>
      <c r="L101" s="660">
        <v>91450</v>
      </c>
      <c r="M101" s="660">
        <v>537153</v>
      </c>
      <c r="N101" s="660">
        <v>-11714.7</v>
      </c>
      <c r="O101" s="660">
        <v>-36001.519999999997</v>
      </c>
      <c r="P101" s="660">
        <v>-14130.79</v>
      </c>
      <c r="Q101" s="661">
        <v>-49391.06</v>
      </c>
    </row>
    <row r="102" spans="2:18" x14ac:dyDescent="0.25">
      <c r="B102" s="658">
        <v>65</v>
      </c>
      <c r="C102" s="659" t="s">
        <v>236</v>
      </c>
      <c r="D102" s="660">
        <v>0</v>
      </c>
      <c r="E102" s="660">
        <v>0</v>
      </c>
      <c r="F102" s="660">
        <v>0</v>
      </c>
      <c r="G102" s="659">
        <v>1</v>
      </c>
      <c r="H102" s="660">
        <v>0</v>
      </c>
      <c r="I102" s="660">
        <v>0</v>
      </c>
      <c r="J102" s="659">
        <v>1</v>
      </c>
      <c r="K102" s="660">
        <v>0</v>
      </c>
      <c r="L102" s="660">
        <v>0</v>
      </c>
      <c r="M102" s="660">
        <v>0</v>
      </c>
      <c r="N102" s="660">
        <v>0</v>
      </c>
      <c r="O102" s="660">
        <v>0</v>
      </c>
      <c r="P102" s="660">
        <v>0</v>
      </c>
      <c r="Q102" s="661">
        <v>0</v>
      </c>
    </row>
    <row r="103" spans="2:18" ht="13" x14ac:dyDescent="0.3">
      <c r="B103" s="662">
        <v>70</v>
      </c>
      <c r="C103" s="663" t="s">
        <v>237</v>
      </c>
      <c r="D103" s="664">
        <v>141882.85</v>
      </c>
      <c r="E103" s="664">
        <v>920169.65</v>
      </c>
      <c r="F103" s="664">
        <v>163047.13</v>
      </c>
      <c r="G103" s="663">
        <v>1</v>
      </c>
      <c r="H103" s="664">
        <v>163047.13</v>
      </c>
      <c r="I103" s="664">
        <v>962555.45</v>
      </c>
      <c r="J103" s="663">
        <v>1</v>
      </c>
      <c r="K103" s="664">
        <v>962555.45</v>
      </c>
      <c r="L103" s="664">
        <v>166882</v>
      </c>
      <c r="M103" s="664">
        <v>980227</v>
      </c>
      <c r="N103" s="664">
        <v>-21164.28</v>
      </c>
      <c r="O103" s="664">
        <v>-42385.8</v>
      </c>
      <c r="P103" s="664">
        <v>-24999.15</v>
      </c>
      <c r="Q103" s="665">
        <v>-60057.35</v>
      </c>
      <c r="R103" s="111"/>
    </row>
    <row r="104" spans="2:18" x14ac:dyDescent="0.25">
      <c r="B104" s="658">
        <v>80</v>
      </c>
      <c r="C104" s="659" t="s">
        <v>238</v>
      </c>
      <c r="D104" s="660">
        <v>154689.35</v>
      </c>
      <c r="E104" s="660">
        <v>936058.81</v>
      </c>
      <c r="F104" s="660">
        <v>167876.32</v>
      </c>
      <c r="G104" s="659">
        <v>1</v>
      </c>
      <c r="H104" s="660">
        <v>167876.32</v>
      </c>
      <c r="I104" s="660">
        <v>996452.71</v>
      </c>
      <c r="J104" s="659">
        <v>1</v>
      </c>
      <c r="K104" s="660">
        <v>996452.71</v>
      </c>
      <c r="L104" s="660">
        <v>169166</v>
      </c>
      <c r="M104" s="660">
        <v>1019666</v>
      </c>
      <c r="N104" s="660">
        <v>-13186.97</v>
      </c>
      <c r="O104" s="660">
        <v>-60393.9</v>
      </c>
      <c r="P104" s="660">
        <v>-14476.65</v>
      </c>
      <c r="Q104" s="661">
        <v>-83607.19</v>
      </c>
    </row>
    <row r="105" spans="2:18" x14ac:dyDescent="0.25">
      <c r="B105" s="658">
        <v>90</v>
      </c>
      <c r="C105" s="659" t="s">
        <v>239</v>
      </c>
      <c r="D105" s="660">
        <v>10806.91</v>
      </c>
      <c r="E105" s="660">
        <v>82873.14</v>
      </c>
      <c r="F105" s="660">
        <v>18336.87</v>
      </c>
      <c r="G105" s="659">
        <v>1</v>
      </c>
      <c r="H105" s="660">
        <v>18336.87</v>
      </c>
      <c r="I105" s="660">
        <v>107506.07</v>
      </c>
      <c r="J105" s="659">
        <v>1</v>
      </c>
      <c r="K105" s="660">
        <v>107506.07</v>
      </c>
      <c r="L105" s="660">
        <v>16731</v>
      </c>
      <c r="M105" s="660">
        <v>105954</v>
      </c>
      <c r="N105" s="660">
        <v>-7529.96</v>
      </c>
      <c r="O105" s="660">
        <v>-24632.93</v>
      </c>
      <c r="P105" s="660">
        <v>-5924.09</v>
      </c>
      <c r="Q105" s="661">
        <v>-23080.86</v>
      </c>
    </row>
    <row r="106" spans="2:18" x14ac:dyDescent="0.25">
      <c r="B106" s="658">
        <v>100</v>
      </c>
      <c r="C106" s="659" t="s">
        <v>240</v>
      </c>
      <c r="D106" s="660">
        <v>9241.76</v>
      </c>
      <c r="E106" s="660">
        <v>55450.559999999998</v>
      </c>
      <c r="F106" s="660">
        <v>12408.68</v>
      </c>
      <c r="G106" s="659">
        <v>1</v>
      </c>
      <c r="H106" s="660">
        <v>12408.68</v>
      </c>
      <c r="I106" s="660">
        <v>74452.08</v>
      </c>
      <c r="J106" s="659">
        <v>1</v>
      </c>
      <c r="K106" s="660">
        <v>74452.08</v>
      </c>
      <c r="L106" s="660">
        <v>9242</v>
      </c>
      <c r="M106" s="660">
        <v>55452</v>
      </c>
      <c r="N106" s="660">
        <v>-3166.92</v>
      </c>
      <c r="O106" s="660">
        <v>-19001.52</v>
      </c>
      <c r="P106" s="660">
        <v>-0.24</v>
      </c>
      <c r="Q106" s="661">
        <v>-1.44</v>
      </c>
    </row>
    <row r="107" spans="2:18" ht="13" x14ac:dyDescent="0.3">
      <c r="B107" s="662">
        <v>110</v>
      </c>
      <c r="C107" s="663" t="s">
        <v>241</v>
      </c>
      <c r="D107" s="664">
        <v>174738.02</v>
      </c>
      <c r="E107" s="664">
        <v>1074382.51</v>
      </c>
      <c r="F107" s="664">
        <v>198621.87</v>
      </c>
      <c r="G107" s="663">
        <v>1</v>
      </c>
      <c r="H107" s="664">
        <v>198621.87</v>
      </c>
      <c r="I107" s="664">
        <v>1178410.8600000001</v>
      </c>
      <c r="J107" s="663">
        <v>1</v>
      </c>
      <c r="K107" s="664">
        <v>1178410.8600000001</v>
      </c>
      <c r="L107" s="664">
        <v>195139</v>
      </c>
      <c r="M107" s="664">
        <v>1181072</v>
      </c>
      <c r="N107" s="664">
        <v>-23883.85</v>
      </c>
      <c r="O107" s="664">
        <v>-104028.35</v>
      </c>
      <c r="P107" s="664">
        <v>-20400.98</v>
      </c>
      <c r="Q107" s="665">
        <v>-106689.49</v>
      </c>
      <c r="R107" s="111"/>
    </row>
    <row r="108" spans="2:18" ht="13" x14ac:dyDescent="0.3">
      <c r="B108" s="662">
        <v>120</v>
      </c>
      <c r="C108" s="663" t="s">
        <v>242</v>
      </c>
      <c r="D108" s="664">
        <v>-32855.17</v>
      </c>
      <c r="E108" s="664">
        <v>-154212.85999999999</v>
      </c>
      <c r="F108" s="664">
        <v>-35574.74</v>
      </c>
      <c r="G108" s="663">
        <v>1</v>
      </c>
      <c r="H108" s="664">
        <v>-35574.74</v>
      </c>
      <c r="I108" s="664">
        <v>-215855.41</v>
      </c>
      <c r="J108" s="663">
        <v>1</v>
      </c>
      <c r="K108" s="664">
        <v>-215855.41</v>
      </c>
      <c r="L108" s="664">
        <v>-28257</v>
      </c>
      <c r="M108" s="664">
        <v>-200845</v>
      </c>
      <c r="N108" s="664">
        <v>2719.57</v>
      </c>
      <c r="O108" s="664">
        <v>61642.55</v>
      </c>
      <c r="P108" s="664">
        <v>-4598.17</v>
      </c>
      <c r="Q108" s="665">
        <v>46632.14</v>
      </c>
      <c r="R108" s="111"/>
    </row>
    <row r="109" spans="2:18" x14ac:dyDescent="0.25">
      <c r="B109" s="658">
        <v>130</v>
      </c>
      <c r="C109" s="659"/>
      <c r="D109" s="659">
        <v>0</v>
      </c>
      <c r="E109" s="659">
        <v>0</v>
      </c>
      <c r="F109" s="659">
        <v>0</v>
      </c>
      <c r="G109" s="659">
        <v>1</v>
      </c>
      <c r="H109" s="659">
        <v>0</v>
      </c>
      <c r="I109" s="659">
        <v>0</v>
      </c>
      <c r="J109" s="659">
        <v>1</v>
      </c>
      <c r="K109" s="659">
        <v>0</v>
      </c>
      <c r="L109" s="659">
        <v>0</v>
      </c>
      <c r="M109" s="659">
        <v>0</v>
      </c>
      <c r="N109" s="659">
        <v>0</v>
      </c>
      <c r="O109" s="659">
        <v>0</v>
      </c>
      <c r="P109" s="659">
        <v>0</v>
      </c>
      <c r="Q109" s="666">
        <v>0</v>
      </c>
    </row>
    <row r="110" spans="2:18" x14ac:dyDescent="0.25">
      <c r="B110" s="658">
        <v>135</v>
      </c>
      <c r="C110" s="659" t="s">
        <v>243</v>
      </c>
      <c r="D110" s="660">
        <v>-4789.47</v>
      </c>
      <c r="E110" s="660">
        <v>-14057.86</v>
      </c>
      <c r="F110" s="660">
        <v>-267.01</v>
      </c>
      <c r="G110" s="659">
        <v>1</v>
      </c>
      <c r="H110" s="660">
        <v>-267.01</v>
      </c>
      <c r="I110" s="660">
        <v>-12616.88</v>
      </c>
      <c r="J110" s="659">
        <v>1</v>
      </c>
      <c r="K110" s="660">
        <v>-12616.88</v>
      </c>
      <c r="L110" s="660">
        <v>-2211</v>
      </c>
      <c r="M110" s="660">
        <v>-13266</v>
      </c>
      <c r="N110" s="660">
        <v>-4522.46</v>
      </c>
      <c r="O110" s="660">
        <v>-1440.98</v>
      </c>
      <c r="P110" s="660">
        <v>-2578.4699999999998</v>
      </c>
      <c r="Q110" s="661">
        <v>-791.86</v>
      </c>
    </row>
    <row r="111" spans="2:18" x14ac:dyDescent="0.25">
      <c r="B111" s="658">
        <v>140</v>
      </c>
      <c r="C111" s="659" t="s">
        <v>244</v>
      </c>
      <c r="D111" s="660">
        <v>0</v>
      </c>
      <c r="E111" s="660">
        <v>0</v>
      </c>
      <c r="F111" s="659">
        <v>869.81</v>
      </c>
      <c r="G111" s="659">
        <v>1</v>
      </c>
      <c r="H111" s="659">
        <v>869.81</v>
      </c>
      <c r="I111" s="660">
        <v>4974.82</v>
      </c>
      <c r="J111" s="659">
        <v>1</v>
      </c>
      <c r="K111" s="660">
        <v>4974.82</v>
      </c>
      <c r="L111" s="659">
        <v>0</v>
      </c>
      <c r="M111" s="660">
        <v>0</v>
      </c>
      <c r="N111" s="659">
        <v>-869.81</v>
      </c>
      <c r="O111" s="660">
        <v>-4974.82</v>
      </c>
      <c r="P111" s="659">
        <v>0</v>
      </c>
      <c r="Q111" s="661">
        <v>0</v>
      </c>
    </row>
    <row r="112" spans="2:18" x14ac:dyDescent="0.25">
      <c r="B112" s="658">
        <v>150</v>
      </c>
      <c r="C112" s="659" t="s">
        <v>245</v>
      </c>
      <c r="D112" s="659">
        <v>0</v>
      </c>
      <c r="E112" s="659">
        <v>0</v>
      </c>
      <c r="F112" s="659">
        <v>0</v>
      </c>
      <c r="G112" s="659">
        <v>1</v>
      </c>
      <c r="H112" s="659">
        <v>0</v>
      </c>
      <c r="I112" s="659">
        <v>0</v>
      </c>
      <c r="J112" s="659">
        <v>1</v>
      </c>
      <c r="K112" s="659">
        <v>0</v>
      </c>
      <c r="L112" s="659">
        <v>0</v>
      </c>
      <c r="M112" s="659">
        <v>0</v>
      </c>
      <c r="N112" s="659">
        <v>0</v>
      </c>
      <c r="O112" s="659">
        <v>0</v>
      </c>
      <c r="P112" s="659">
        <v>0</v>
      </c>
      <c r="Q112" s="666">
        <v>0</v>
      </c>
    </row>
    <row r="113" spans="2:18" x14ac:dyDescent="0.25">
      <c r="B113" s="658">
        <v>155</v>
      </c>
      <c r="C113" s="659"/>
      <c r="D113" s="659">
        <v>0</v>
      </c>
      <c r="E113" s="659">
        <v>0</v>
      </c>
      <c r="F113" s="659">
        <v>0</v>
      </c>
      <c r="G113" s="659">
        <v>1</v>
      </c>
      <c r="H113" s="659">
        <v>0</v>
      </c>
      <c r="I113" s="659">
        <v>0</v>
      </c>
      <c r="J113" s="659">
        <v>1</v>
      </c>
      <c r="K113" s="659">
        <v>0</v>
      </c>
      <c r="L113" s="659">
        <v>0</v>
      </c>
      <c r="M113" s="659">
        <v>0</v>
      </c>
      <c r="N113" s="659">
        <v>0</v>
      </c>
      <c r="O113" s="659">
        <v>0</v>
      </c>
      <c r="P113" s="659">
        <v>0</v>
      </c>
      <c r="Q113" s="666">
        <v>0</v>
      </c>
    </row>
    <row r="114" spans="2:18" x14ac:dyDescent="0.25">
      <c r="B114" s="658">
        <v>160</v>
      </c>
      <c r="C114" s="659" t="s">
        <v>246</v>
      </c>
      <c r="D114" s="660">
        <v>-4789.47</v>
      </c>
      <c r="E114" s="660">
        <v>-14057.86</v>
      </c>
      <c r="F114" s="660">
        <v>602.79999999999995</v>
      </c>
      <c r="G114" s="659">
        <v>1</v>
      </c>
      <c r="H114" s="660">
        <v>602.79999999999995</v>
      </c>
      <c r="I114" s="660">
        <v>-7642.06</v>
      </c>
      <c r="J114" s="659">
        <v>1</v>
      </c>
      <c r="K114" s="660">
        <v>-7642.06</v>
      </c>
      <c r="L114" s="660">
        <v>-2211</v>
      </c>
      <c r="M114" s="660">
        <v>-13266</v>
      </c>
      <c r="N114" s="660">
        <v>-5392.27</v>
      </c>
      <c r="O114" s="660">
        <v>-6415.8</v>
      </c>
      <c r="P114" s="660">
        <v>-2578.4699999999998</v>
      </c>
      <c r="Q114" s="661">
        <v>-791.86</v>
      </c>
    </row>
    <row r="115" spans="2:18" ht="13" x14ac:dyDescent="0.3">
      <c r="B115" s="662">
        <v>170</v>
      </c>
      <c r="C115" s="663" t="s">
        <v>255</v>
      </c>
      <c r="D115" s="664">
        <v>-28065.7</v>
      </c>
      <c r="E115" s="664">
        <v>-140155</v>
      </c>
      <c r="F115" s="664">
        <v>-36177.54</v>
      </c>
      <c r="G115" s="663">
        <v>1</v>
      </c>
      <c r="H115" s="664">
        <v>-36177.54</v>
      </c>
      <c r="I115" s="664">
        <v>-208213.35</v>
      </c>
      <c r="J115" s="663">
        <v>1</v>
      </c>
      <c r="K115" s="664">
        <v>-208213.35</v>
      </c>
      <c r="L115" s="664">
        <v>-26046</v>
      </c>
      <c r="M115" s="664">
        <v>-187579</v>
      </c>
      <c r="N115" s="664">
        <v>8111.84</v>
      </c>
      <c r="O115" s="664">
        <v>68058.350000000006</v>
      </c>
      <c r="P115" s="664">
        <v>-2019.7</v>
      </c>
      <c r="Q115" s="665">
        <v>47424</v>
      </c>
      <c r="R115" s="111"/>
    </row>
    <row r="116" spans="2:18" x14ac:dyDescent="0.25">
      <c r="B116" s="658">
        <v>180</v>
      </c>
      <c r="C116" s="659" t="s">
        <v>249</v>
      </c>
      <c r="D116" s="659">
        <v>0</v>
      </c>
      <c r="E116" s="659">
        <v>0</v>
      </c>
      <c r="F116" s="659">
        <v>0</v>
      </c>
      <c r="G116" s="659">
        <v>1</v>
      </c>
      <c r="H116" s="659">
        <v>0</v>
      </c>
      <c r="I116" s="659">
        <v>0</v>
      </c>
      <c r="J116" s="659">
        <v>1</v>
      </c>
      <c r="K116" s="659">
        <v>0</v>
      </c>
      <c r="L116" s="659">
        <v>0</v>
      </c>
      <c r="M116" s="659">
        <v>0</v>
      </c>
      <c r="N116" s="659">
        <v>0</v>
      </c>
      <c r="O116" s="659">
        <v>0</v>
      </c>
      <c r="P116" s="659">
        <v>0</v>
      </c>
      <c r="Q116" s="666">
        <v>0</v>
      </c>
    </row>
    <row r="117" spans="2:18" x14ac:dyDescent="0.25">
      <c r="B117" s="658">
        <v>190</v>
      </c>
      <c r="C117" s="659" t="s">
        <v>254</v>
      </c>
      <c r="D117" s="659">
        <v>0</v>
      </c>
      <c r="E117" s="659">
        <v>0</v>
      </c>
      <c r="F117" s="659">
        <v>0</v>
      </c>
      <c r="G117" s="659">
        <v>1</v>
      </c>
      <c r="H117" s="659">
        <v>0</v>
      </c>
      <c r="I117" s="659">
        <v>0</v>
      </c>
      <c r="J117" s="659">
        <v>1</v>
      </c>
      <c r="K117" s="659">
        <v>0</v>
      </c>
      <c r="L117" s="659">
        <v>0</v>
      </c>
      <c r="M117" s="659">
        <v>0</v>
      </c>
      <c r="N117" s="659">
        <v>0</v>
      </c>
      <c r="O117" s="659">
        <v>0</v>
      </c>
      <c r="P117" s="659">
        <v>0</v>
      </c>
      <c r="Q117" s="666">
        <v>0</v>
      </c>
    </row>
    <row r="118" spans="2:18" ht="13" x14ac:dyDescent="0.3">
      <c r="B118" s="662">
        <v>200</v>
      </c>
      <c r="C118" s="663" t="s">
        <v>250</v>
      </c>
      <c r="D118" s="664">
        <v>-28065.7</v>
      </c>
      <c r="E118" s="664">
        <v>-140155</v>
      </c>
      <c r="F118" s="664">
        <v>-36177.54</v>
      </c>
      <c r="G118" s="663">
        <v>1</v>
      </c>
      <c r="H118" s="664">
        <v>-36177.54</v>
      </c>
      <c r="I118" s="664">
        <v>-208213.35</v>
      </c>
      <c r="J118" s="663">
        <v>1</v>
      </c>
      <c r="K118" s="664">
        <v>-208213.35</v>
      </c>
      <c r="L118" s="664">
        <v>-26046</v>
      </c>
      <c r="M118" s="664">
        <v>-187579</v>
      </c>
      <c r="N118" s="664">
        <v>8111.84</v>
      </c>
      <c r="O118" s="664">
        <v>68058.350000000006</v>
      </c>
      <c r="P118" s="664">
        <v>-2019.7</v>
      </c>
      <c r="Q118" s="665">
        <v>47424</v>
      </c>
      <c r="R118" s="111"/>
    </row>
    <row r="119" spans="2:18" ht="13" x14ac:dyDescent="0.3">
      <c r="B119" s="667">
        <v>210</v>
      </c>
      <c r="C119" s="668" t="s">
        <v>251</v>
      </c>
      <c r="D119" s="669">
        <v>-23613.41</v>
      </c>
      <c r="E119" s="669">
        <v>-98762.3</v>
      </c>
      <c r="F119" s="669">
        <v>-23166.06</v>
      </c>
      <c r="G119" s="668">
        <v>1</v>
      </c>
      <c r="H119" s="669">
        <v>-23166.06</v>
      </c>
      <c r="I119" s="669">
        <v>-141403.32999999999</v>
      </c>
      <c r="J119" s="668">
        <v>1</v>
      </c>
      <c r="K119" s="669">
        <v>-141403.32999999999</v>
      </c>
      <c r="L119" s="669">
        <v>-19015</v>
      </c>
      <c r="M119" s="669">
        <v>-145393</v>
      </c>
      <c r="N119" s="669">
        <v>-447.35</v>
      </c>
      <c r="O119" s="669">
        <v>42641.03</v>
      </c>
      <c r="P119" s="669">
        <v>-4598.41</v>
      </c>
      <c r="Q119" s="670">
        <v>46630.7</v>
      </c>
      <c r="R119" s="111"/>
    </row>
    <row r="122" spans="2:18" ht="13" x14ac:dyDescent="0.3">
      <c r="B122" s="111" t="s">
        <v>188</v>
      </c>
    </row>
    <row r="123" spans="2:18" ht="13" x14ac:dyDescent="0.3">
      <c r="B123" s="255">
        <v>600</v>
      </c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</row>
    <row r="125" spans="2:18" ht="13" x14ac:dyDescent="0.3">
      <c r="B125" s="595" t="s">
        <v>164</v>
      </c>
      <c r="C125" s="596" t="s">
        <v>165</v>
      </c>
      <c r="D125" s="596" t="s">
        <v>0</v>
      </c>
      <c r="E125" s="596" t="s">
        <v>8</v>
      </c>
      <c r="F125" s="596" t="s">
        <v>221</v>
      </c>
      <c r="G125" s="596" t="s">
        <v>222</v>
      </c>
      <c r="H125" s="596" t="s">
        <v>223</v>
      </c>
      <c r="I125" s="596" t="s">
        <v>224</v>
      </c>
      <c r="J125" s="596" t="s">
        <v>225</v>
      </c>
      <c r="K125" s="596" t="s">
        <v>226</v>
      </c>
      <c r="L125" s="596" t="s">
        <v>4</v>
      </c>
      <c r="M125" s="596" t="s">
        <v>227</v>
      </c>
      <c r="N125" s="596" t="s">
        <v>228</v>
      </c>
      <c r="O125" s="596" t="s">
        <v>229</v>
      </c>
      <c r="P125" s="596" t="s">
        <v>230</v>
      </c>
      <c r="Q125" s="597" t="s">
        <v>231</v>
      </c>
      <c r="R125" s="111"/>
    </row>
    <row r="126" spans="2:18" x14ac:dyDescent="0.25">
      <c r="B126" s="598" t="s">
        <v>181</v>
      </c>
      <c r="C126" s="599" t="s">
        <v>181</v>
      </c>
      <c r="D126" s="599"/>
      <c r="E126" s="599"/>
      <c r="F126" s="599"/>
      <c r="G126" s="599"/>
      <c r="H126" s="599"/>
      <c r="I126" s="599"/>
      <c r="J126" s="599"/>
      <c r="K126" s="599"/>
      <c r="L126" s="599"/>
      <c r="M126" s="599"/>
      <c r="N126" s="599"/>
      <c r="O126" s="599"/>
      <c r="P126" s="599"/>
      <c r="Q126" s="600"/>
    </row>
    <row r="127" spans="2:18" x14ac:dyDescent="0.25">
      <c r="B127" s="598"/>
      <c r="C127" s="599"/>
      <c r="D127" s="599"/>
      <c r="E127" s="599"/>
      <c r="F127" s="599"/>
      <c r="G127" s="599"/>
      <c r="H127" s="599"/>
      <c r="I127" s="599"/>
      <c r="J127" s="599"/>
      <c r="K127" s="599"/>
      <c r="L127" s="599"/>
      <c r="M127" s="599"/>
      <c r="N127" s="599"/>
      <c r="O127" s="599"/>
      <c r="P127" s="599"/>
      <c r="Q127" s="600"/>
    </row>
    <row r="128" spans="2:18" x14ac:dyDescent="0.25">
      <c r="B128" s="658">
        <v>30</v>
      </c>
      <c r="C128" s="659" t="s">
        <v>232</v>
      </c>
      <c r="D128" s="660">
        <v>399674.29</v>
      </c>
      <c r="E128" s="660">
        <v>2474083.35</v>
      </c>
      <c r="F128" s="660">
        <v>449030.65</v>
      </c>
      <c r="G128" s="659">
        <v>1</v>
      </c>
      <c r="H128" s="660">
        <v>449030.65</v>
      </c>
      <c r="I128" s="660">
        <v>2782745.98</v>
      </c>
      <c r="J128" s="659">
        <v>1</v>
      </c>
      <c r="K128" s="660">
        <v>2782745.98</v>
      </c>
      <c r="L128" s="660">
        <v>335105</v>
      </c>
      <c r="M128" s="660">
        <v>2024778</v>
      </c>
      <c r="N128" s="660">
        <v>-49356.36</v>
      </c>
      <c r="O128" s="660">
        <v>-308662.63</v>
      </c>
      <c r="P128" s="660">
        <v>64569.29</v>
      </c>
      <c r="Q128" s="661">
        <v>449305.35</v>
      </c>
    </row>
    <row r="129" spans="2:18" x14ac:dyDescent="0.25">
      <c r="B129" s="658">
        <v>40</v>
      </c>
      <c r="C129" s="659" t="s">
        <v>233</v>
      </c>
      <c r="D129" s="660">
        <v>97259.04</v>
      </c>
      <c r="E129" s="660">
        <v>651461.18000000005</v>
      </c>
      <c r="F129" s="660">
        <v>120191.92</v>
      </c>
      <c r="G129" s="659">
        <v>1</v>
      </c>
      <c r="H129" s="660">
        <v>120191.92</v>
      </c>
      <c r="I129" s="660">
        <v>802298.04</v>
      </c>
      <c r="J129" s="659">
        <v>1</v>
      </c>
      <c r="K129" s="660">
        <v>802298.04</v>
      </c>
      <c r="L129" s="660">
        <v>0</v>
      </c>
      <c r="M129" s="660">
        <v>0</v>
      </c>
      <c r="N129" s="660">
        <v>-22932.880000000001</v>
      </c>
      <c r="O129" s="660">
        <v>-150836.85999999999</v>
      </c>
      <c r="P129" s="660">
        <v>97259.04</v>
      </c>
      <c r="Q129" s="661">
        <v>651461.18000000005</v>
      </c>
    </row>
    <row r="130" spans="2:18" ht="13" x14ac:dyDescent="0.3">
      <c r="B130" s="662">
        <v>50</v>
      </c>
      <c r="C130" s="663" t="s">
        <v>234</v>
      </c>
      <c r="D130" s="664">
        <v>302415.25</v>
      </c>
      <c r="E130" s="664">
        <v>1822622.17</v>
      </c>
      <c r="F130" s="664">
        <v>328838.73</v>
      </c>
      <c r="G130" s="663">
        <v>1</v>
      </c>
      <c r="H130" s="664">
        <v>328838.73</v>
      </c>
      <c r="I130" s="664">
        <v>1980447.94</v>
      </c>
      <c r="J130" s="663">
        <v>1</v>
      </c>
      <c r="K130" s="664">
        <v>1980447.94</v>
      </c>
      <c r="L130" s="664">
        <v>335105</v>
      </c>
      <c r="M130" s="664">
        <v>2024778</v>
      </c>
      <c r="N130" s="664">
        <v>-26423.48</v>
      </c>
      <c r="O130" s="664">
        <v>-157825.76999999999</v>
      </c>
      <c r="P130" s="664">
        <v>-32689.75</v>
      </c>
      <c r="Q130" s="665">
        <v>-202155.83</v>
      </c>
      <c r="R130" s="111"/>
    </row>
    <row r="131" spans="2:18" x14ac:dyDescent="0.25">
      <c r="B131" s="658">
        <v>60</v>
      </c>
      <c r="C131" s="659" t="s">
        <v>235</v>
      </c>
      <c r="D131" s="660">
        <v>100415.49</v>
      </c>
      <c r="E131" s="660">
        <v>586523.87</v>
      </c>
      <c r="F131" s="660">
        <v>111460.8</v>
      </c>
      <c r="G131" s="659">
        <v>1</v>
      </c>
      <c r="H131" s="660">
        <v>111460.8</v>
      </c>
      <c r="I131" s="660">
        <v>684628.82</v>
      </c>
      <c r="J131" s="659">
        <v>1</v>
      </c>
      <c r="K131" s="660">
        <v>684628.82</v>
      </c>
      <c r="L131" s="660">
        <v>114271</v>
      </c>
      <c r="M131" s="660">
        <v>690450</v>
      </c>
      <c r="N131" s="660">
        <v>-11045.31</v>
      </c>
      <c r="O131" s="660">
        <v>-98104.95</v>
      </c>
      <c r="P131" s="660">
        <v>-13855.51</v>
      </c>
      <c r="Q131" s="661">
        <v>-103926.13</v>
      </c>
    </row>
    <row r="132" spans="2:18" x14ac:dyDescent="0.25">
      <c r="B132" s="658">
        <v>65</v>
      </c>
      <c r="C132" s="659" t="s">
        <v>236</v>
      </c>
      <c r="D132" s="660">
        <v>0</v>
      </c>
      <c r="E132" s="660">
        <v>0</v>
      </c>
      <c r="F132" s="660">
        <v>0</v>
      </c>
      <c r="G132" s="659">
        <v>1</v>
      </c>
      <c r="H132" s="660">
        <v>0</v>
      </c>
      <c r="I132" s="660">
        <v>0</v>
      </c>
      <c r="J132" s="659">
        <v>1</v>
      </c>
      <c r="K132" s="660">
        <v>0</v>
      </c>
      <c r="L132" s="660">
        <v>0</v>
      </c>
      <c r="M132" s="660">
        <v>0</v>
      </c>
      <c r="N132" s="660">
        <v>0</v>
      </c>
      <c r="O132" s="660">
        <v>0</v>
      </c>
      <c r="P132" s="660">
        <v>0</v>
      </c>
      <c r="Q132" s="661">
        <v>0</v>
      </c>
    </row>
    <row r="133" spans="2:18" ht="13" x14ac:dyDescent="0.3">
      <c r="B133" s="662">
        <v>70</v>
      </c>
      <c r="C133" s="663" t="s">
        <v>237</v>
      </c>
      <c r="D133" s="664">
        <v>201999.76</v>
      </c>
      <c r="E133" s="664">
        <v>1236098.3</v>
      </c>
      <c r="F133" s="664">
        <v>217377.93</v>
      </c>
      <c r="G133" s="663">
        <v>1</v>
      </c>
      <c r="H133" s="664">
        <v>217377.93</v>
      </c>
      <c r="I133" s="664">
        <v>1295819.1200000001</v>
      </c>
      <c r="J133" s="663">
        <v>1</v>
      </c>
      <c r="K133" s="664">
        <v>1295819.1200000001</v>
      </c>
      <c r="L133" s="664">
        <v>220834</v>
      </c>
      <c r="M133" s="664">
        <v>1334328</v>
      </c>
      <c r="N133" s="664">
        <v>-15378.17</v>
      </c>
      <c r="O133" s="664">
        <v>-59720.82</v>
      </c>
      <c r="P133" s="664">
        <v>-18834.240000000002</v>
      </c>
      <c r="Q133" s="665">
        <v>-98229.7</v>
      </c>
      <c r="R133" s="111"/>
    </row>
    <row r="134" spans="2:18" x14ac:dyDescent="0.25">
      <c r="B134" s="658">
        <v>80</v>
      </c>
      <c r="C134" s="659" t="s">
        <v>238</v>
      </c>
      <c r="D134" s="660">
        <v>192155.87</v>
      </c>
      <c r="E134" s="660">
        <v>1158935.57</v>
      </c>
      <c r="F134" s="660">
        <v>210582.05</v>
      </c>
      <c r="G134" s="659">
        <v>1</v>
      </c>
      <c r="H134" s="660">
        <v>210582.05</v>
      </c>
      <c r="I134" s="660">
        <v>1256880.6299999999</v>
      </c>
      <c r="J134" s="659">
        <v>1</v>
      </c>
      <c r="K134" s="660">
        <v>1256880.6299999999</v>
      </c>
      <c r="L134" s="660">
        <v>203011</v>
      </c>
      <c r="M134" s="660">
        <v>1252307</v>
      </c>
      <c r="N134" s="660">
        <v>-18426.18</v>
      </c>
      <c r="O134" s="660">
        <v>-97945.06</v>
      </c>
      <c r="P134" s="660">
        <v>-10855.13</v>
      </c>
      <c r="Q134" s="661">
        <v>-93371.43</v>
      </c>
    </row>
    <row r="135" spans="2:18" x14ac:dyDescent="0.25">
      <c r="B135" s="658">
        <v>90</v>
      </c>
      <c r="C135" s="659" t="s">
        <v>239</v>
      </c>
      <c r="D135" s="660">
        <v>13566.36</v>
      </c>
      <c r="E135" s="660">
        <v>105791.79</v>
      </c>
      <c r="F135" s="660">
        <v>17328.28</v>
      </c>
      <c r="G135" s="659">
        <v>1</v>
      </c>
      <c r="H135" s="660">
        <v>17328.28</v>
      </c>
      <c r="I135" s="660">
        <v>108691.19</v>
      </c>
      <c r="J135" s="659">
        <v>1</v>
      </c>
      <c r="K135" s="660">
        <v>108691.19</v>
      </c>
      <c r="L135" s="660">
        <v>15369</v>
      </c>
      <c r="M135" s="660">
        <v>104363</v>
      </c>
      <c r="N135" s="660">
        <v>-3761.92</v>
      </c>
      <c r="O135" s="660">
        <v>-2899.4</v>
      </c>
      <c r="P135" s="660">
        <v>-1802.64</v>
      </c>
      <c r="Q135" s="661">
        <v>1428.79</v>
      </c>
    </row>
    <row r="136" spans="2:18" x14ac:dyDescent="0.25">
      <c r="B136" s="658">
        <v>100</v>
      </c>
      <c r="C136" s="659" t="s">
        <v>240</v>
      </c>
      <c r="D136" s="660">
        <v>5119.0200000000004</v>
      </c>
      <c r="E136" s="660">
        <v>69133.56</v>
      </c>
      <c r="F136" s="660">
        <v>14723.88</v>
      </c>
      <c r="G136" s="659">
        <v>1</v>
      </c>
      <c r="H136" s="660">
        <v>14723.88</v>
      </c>
      <c r="I136" s="660">
        <v>88343.28</v>
      </c>
      <c r="J136" s="659">
        <v>1</v>
      </c>
      <c r="K136" s="660">
        <v>88343.28</v>
      </c>
      <c r="L136" s="660">
        <v>14724</v>
      </c>
      <c r="M136" s="660">
        <v>88344</v>
      </c>
      <c r="N136" s="660">
        <v>-9604.86</v>
      </c>
      <c r="O136" s="660">
        <v>-19209.72</v>
      </c>
      <c r="P136" s="660">
        <v>-9604.98</v>
      </c>
      <c r="Q136" s="661">
        <v>-19210.439999999999</v>
      </c>
    </row>
    <row r="137" spans="2:18" ht="13" x14ac:dyDescent="0.3">
      <c r="B137" s="662">
        <v>110</v>
      </c>
      <c r="C137" s="663" t="s">
        <v>241</v>
      </c>
      <c r="D137" s="664">
        <v>210841.25</v>
      </c>
      <c r="E137" s="664">
        <v>1333860.92</v>
      </c>
      <c r="F137" s="664">
        <v>242634.21</v>
      </c>
      <c r="G137" s="663">
        <v>1</v>
      </c>
      <c r="H137" s="664">
        <v>242634.21</v>
      </c>
      <c r="I137" s="664">
        <v>1453915.1</v>
      </c>
      <c r="J137" s="663">
        <v>1</v>
      </c>
      <c r="K137" s="664">
        <v>1453915.1</v>
      </c>
      <c r="L137" s="664">
        <v>233104</v>
      </c>
      <c r="M137" s="664">
        <v>1445014</v>
      </c>
      <c r="N137" s="664">
        <v>-31792.959999999999</v>
      </c>
      <c r="O137" s="664">
        <v>-120054.18</v>
      </c>
      <c r="P137" s="664">
        <v>-22262.75</v>
      </c>
      <c r="Q137" s="665">
        <v>-111153.08</v>
      </c>
      <c r="R137" s="111"/>
    </row>
    <row r="138" spans="2:18" ht="13" x14ac:dyDescent="0.3">
      <c r="B138" s="662">
        <v>120</v>
      </c>
      <c r="C138" s="663" t="s">
        <v>242</v>
      </c>
      <c r="D138" s="664">
        <v>-8841.49</v>
      </c>
      <c r="E138" s="664">
        <v>-97762.62</v>
      </c>
      <c r="F138" s="664">
        <v>-25256.28</v>
      </c>
      <c r="G138" s="663">
        <v>1</v>
      </c>
      <c r="H138" s="664">
        <v>-25256.28</v>
      </c>
      <c r="I138" s="664">
        <v>-158095.98000000001</v>
      </c>
      <c r="J138" s="663">
        <v>1</v>
      </c>
      <c r="K138" s="664">
        <v>-158095.98000000001</v>
      </c>
      <c r="L138" s="664">
        <v>-12270</v>
      </c>
      <c r="M138" s="664">
        <v>-110686</v>
      </c>
      <c r="N138" s="664">
        <v>16414.79</v>
      </c>
      <c r="O138" s="664">
        <v>60333.36</v>
      </c>
      <c r="P138" s="664">
        <v>3428.51</v>
      </c>
      <c r="Q138" s="665">
        <v>12923.38</v>
      </c>
      <c r="R138" s="111"/>
    </row>
    <row r="139" spans="2:18" x14ac:dyDescent="0.25">
      <c r="B139" s="658">
        <v>130</v>
      </c>
      <c r="C139" s="659"/>
      <c r="D139" s="659">
        <v>0</v>
      </c>
      <c r="E139" s="659">
        <v>0</v>
      </c>
      <c r="F139" s="659">
        <v>0</v>
      </c>
      <c r="G139" s="659">
        <v>1</v>
      </c>
      <c r="H139" s="659">
        <v>0</v>
      </c>
      <c r="I139" s="659">
        <v>0</v>
      </c>
      <c r="J139" s="659">
        <v>1</v>
      </c>
      <c r="K139" s="659">
        <v>0</v>
      </c>
      <c r="L139" s="659">
        <v>0</v>
      </c>
      <c r="M139" s="659">
        <v>0</v>
      </c>
      <c r="N139" s="659">
        <v>0</v>
      </c>
      <c r="O139" s="659">
        <v>0</v>
      </c>
      <c r="P139" s="659">
        <v>0</v>
      </c>
      <c r="Q139" s="666">
        <v>0</v>
      </c>
    </row>
    <row r="140" spans="2:18" x14ac:dyDescent="0.25">
      <c r="B140" s="658">
        <v>135</v>
      </c>
      <c r="C140" s="659" t="s">
        <v>243</v>
      </c>
      <c r="D140" s="660">
        <v>-6492.38</v>
      </c>
      <c r="E140" s="660">
        <v>-15731.13</v>
      </c>
      <c r="F140" s="660">
        <v>-298.04000000000002</v>
      </c>
      <c r="G140" s="659">
        <v>1</v>
      </c>
      <c r="H140" s="660">
        <v>-298.04000000000002</v>
      </c>
      <c r="I140" s="660">
        <v>-14832.9</v>
      </c>
      <c r="J140" s="659">
        <v>1</v>
      </c>
      <c r="K140" s="660">
        <v>-14832.9</v>
      </c>
      <c r="L140" s="660">
        <v>-2168</v>
      </c>
      <c r="M140" s="660">
        <v>-13008</v>
      </c>
      <c r="N140" s="660">
        <v>-6194.34</v>
      </c>
      <c r="O140" s="660">
        <v>-898.23</v>
      </c>
      <c r="P140" s="660">
        <v>-4324.38</v>
      </c>
      <c r="Q140" s="661">
        <v>-2723.13</v>
      </c>
    </row>
    <row r="141" spans="2:18" x14ac:dyDescent="0.25">
      <c r="B141" s="658">
        <v>140</v>
      </c>
      <c r="C141" s="659" t="s">
        <v>244</v>
      </c>
      <c r="D141" s="659">
        <v>0</v>
      </c>
      <c r="E141" s="660">
        <v>0</v>
      </c>
      <c r="F141" s="660">
        <v>2450.65</v>
      </c>
      <c r="G141" s="659">
        <v>1</v>
      </c>
      <c r="H141" s="660">
        <v>2450.65</v>
      </c>
      <c r="I141" s="660">
        <v>14762.61</v>
      </c>
      <c r="J141" s="659">
        <v>1</v>
      </c>
      <c r="K141" s="660">
        <v>14762.61</v>
      </c>
      <c r="L141" s="660">
        <v>0</v>
      </c>
      <c r="M141" s="660">
        <v>0</v>
      </c>
      <c r="N141" s="660">
        <v>-2450.65</v>
      </c>
      <c r="O141" s="660">
        <v>-14762.61</v>
      </c>
      <c r="P141" s="660">
        <v>0</v>
      </c>
      <c r="Q141" s="661">
        <v>0</v>
      </c>
    </row>
    <row r="142" spans="2:18" x14ac:dyDescent="0.25">
      <c r="B142" s="658">
        <v>150</v>
      </c>
      <c r="C142" s="659" t="s">
        <v>245</v>
      </c>
      <c r="D142" s="659">
        <v>0</v>
      </c>
      <c r="E142" s="659">
        <v>0</v>
      </c>
      <c r="F142" s="659">
        <v>0</v>
      </c>
      <c r="G142" s="659">
        <v>1</v>
      </c>
      <c r="H142" s="659">
        <v>0</v>
      </c>
      <c r="I142" s="659">
        <v>0</v>
      </c>
      <c r="J142" s="659">
        <v>1</v>
      </c>
      <c r="K142" s="659">
        <v>0</v>
      </c>
      <c r="L142" s="659">
        <v>0</v>
      </c>
      <c r="M142" s="659">
        <v>0</v>
      </c>
      <c r="N142" s="659">
        <v>0</v>
      </c>
      <c r="O142" s="659">
        <v>0</v>
      </c>
      <c r="P142" s="659">
        <v>0</v>
      </c>
      <c r="Q142" s="666">
        <v>0</v>
      </c>
    </row>
    <row r="143" spans="2:18" x14ac:dyDescent="0.25">
      <c r="B143" s="658">
        <v>155</v>
      </c>
      <c r="C143" s="659"/>
      <c r="D143" s="659">
        <v>0</v>
      </c>
      <c r="E143" s="659">
        <v>0</v>
      </c>
      <c r="F143" s="659">
        <v>0</v>
      </c>
      <c r="G143" s="659">
        <v>1</v>
      </c>
      <c r="H143" s="659">
        <v>0</v>
      </c>
      <c r="I143" s="659">
        <v>0</v>
      </c>
      <c r="J143" s="659">
        <v>1</v>
      </c>
      <c r="K143" s="659">
        <v>0</v>
      </c>
      <c r="L143" s="659">
        <v>0</v>
      </c>
      <c r="M143" s="659">
        <v>0</v>
      </c>
      <c r="N143" s="659">
        <v>0</v>
      </c>
      <c r="O143" s="659">
        <v>0</v>
      </c>
      <c r="P143" s="659">
        <v>0</v>
      </c>
      <c r="Q143" s="666">
        <v>0</v>
      </c>
    </row>
    <row r="144" spans="2:18" x14ac:dyDescent="0.25">
      <c r="B144" s="658">
        <v>160</v>
      </c>
      <c r="C144" s="659" t="s">
        <v>246</v>
      </c>
      <c r="D144" s="660">
        <v>-6492.38</v>
      </c>
      <c r="E144" s="660">
        <v>-15731.13</v>
      </c>
      <c r="F144" s="660">
        <v>2152.61</v>
      </c>
      <c r="G144" s="659">
        <v>1</v>
      </c>
      <c r="H144" s="660">
        <v>2152.61</v>
      </c>
      <c r="I144" s="660">
        <v>-70.290000000000006</v>
      </c>
      <c r="J144" s="659">
        <v>1</v>
      </c>
      <c r="K144" s="660">
        <v>-70.290000000000006</v>
      </c>
      <c r="L144" s="660">
        <v>-2168</v>
      </c>
      <c r="M144" s="660">
        <v>-13008</v>
      </c>
      <c r="N144" s="660">
        <v>-8644.99</v>
      </c>
      <c r="O144" s="660">
        <v>-15660.84</v>
      </c>
      <c r="P144" s="660">
        <v>-4324.38</v>
      </c>
      <c r="Q144" s="661">
        <v>-2723.13</v>
      </c>
    </row>
    <row r="145" spans="2:18" ht="13" x14ac:dyDescent="0.3">
      <c r="B145" s="662">
        <v>170</v>
      </c>
      <c r="C145" s="663" t="s">
        <v>255</v>
      </c>
      <c r="D145" s="664">
        <v>-2349.11</v>
      </c>
      <c r="E145" s="664">
        <v>-82031.490000000005</v>
      </c>
      <c r="F145" s="664">
        <v>-27408.89</v>
      </c>
      <c r="G145" s="663">
        <v>1</v>
      </c>
      <c r="H145" s="664">
        <v>-27408.89</v>
      </c>
      <c r="I145" s="664">
        <v>-158025.69</v>
      </c>
      <c r="J145" s="663">
        <v>1</v>
      </c>
      <c r="K145" s="664">
        <v>-158025.69</v>
      </c>
      <c r="L145" s="664">
        <v>-10102</v>
      </c>
      <c r="M145" s="664">
        <v>-97678</v>
      </c>
      <c r="N145" s="664">
        <v>25059.78</v>
      </c>
      <c r="O145" s="664">
        <v>75994.2</v>
      </c>
      <c r="P145" s="664">
        <v>7752.89</v>
      </c>
      <c r="Q145" s="665">
        <v>15646.51</v>
      </c>
      <c r="R145" s="111"/>
    </row>
    <row r="146" spans="2:18" x14ac:dyDescent="0.25">
      <c r="B146" s="658">
        <v>180</v>
      </c>
      <c r="C146" s="659" t="s">
        <v>249</v>
      </c>
      <c r="D146" s="659">
        <v>0</v>
      </c>
      <c r="E146" s="659">
        <v>0</v>
      </c>
      <c r="F146" s="659">
        <v>0</v>
      </c>
      <c r="G146" s="659">
        <v>1</v>
      </c>
      <c r="H146" s="659">
        <v>0</v>
      </c>
      <c r="I146" s="659">
        <v>0</v>
      </c>
      <c r="J146" s="659">
        <v>1</v>
      </c>
      <c r="K146" s="659">
        <v>0</v>
      </c>
      <c r="L146" s="659">
        <v>0</v>
      </c>
      <c r="M146" s="659">
        <v>0</v>
      </c>
      <c r="N146" s="659">
        <v>0</v>
      </c>
      <c r="O146" s="659">
        <v>0</v>
      </c>
      <c r="P146" s="659">
        <v>0</v>
      </c>
      <c r="Q146" s="666">
        <v>0</v>
      </c>
    </row>
    <row r="147" spans="2:18" x14ac:dyDescent="0.25">
      <c r="B147" s="658">
        <v>190</v>
      </c>
      <c r="C147" s="659" t="s">
        <v>254</v>
      </c>
      <c r="D147" s="659">
        <v>0</v>
      </c>
      <c r="E147" s="659">
        <v>0</v>
      </c>
      <c r="F147" s="659">
        <v>0</v>
      </c>
      <c r="G147" s="659">
        <v>1</v>
      </c>
      <c r="H147" s="659">
        <v>0</v>
      </c>
      <c r="I147" s="659">
        <v>0</v>
      </c>
      <c r="J147" s="659">
        <v>1</v>
      </c>
      <c r="K147" s="659">
        <v>0</v>
      </c>
      <c r="L147" s="659">
        <v>0</v>
      </c>
      <c r="M147" s="659">
        <v>0</v>
      </c>
      <c r="N147" s="659">
        <v>0</v>
      </c>
      <c r="O147" s="659">
        <v>0</v>
      </c>
      <c r="P147" s="659">
        <v>0</v>
      </c>
      <c r="Q147" s="666">
        <v>0</v>
      </c>
    </row>
    <row r="148" spans="2:18" ht="13" x14ac:dyDescent="0.3">
      <c r="B148" s="662">
        <v>200</v>
      </c>
      <c r="C148" s="663" t="s">
        <v>250</v>
      </c>
      <c r="D148" s="664">
        <v>-2349.11</v>
      </c>
      <c r="E148" s="664">
        <v>-82031.490000000005</v>
      </c>
      <c r="F148" s="664">
        <v>-27408.89</v>
      </c>
      <c r="G148" s="663">
        <v>1</v>
      </c>
      <c r="H148" s="664">
        <v>-27408.89</v>
      </c>
      <c r="I148" s="664">
        <v>-158025.69</v>
      </c>
      <c r="J148" s="663">
        <v>1</v>
      </c>
      <c r="K148" s="664">
        <v>-158025.69</v>
      </c>
      <c r="L148" s="664">
        <v>-10102</v>
      </c>
      <c r="M148" s="664">
        <v>-97678</v>
      </c>
      <c r="N148" s="664">
        <v>25059.78</v>
      </c>
      <c r="O148" s="664">
        <v>75994.2</v>
      </c>
      <c r="P148" s="664">
        <v>7752.89</v>
      </c>
      <c r="Q148" s="665">
        <v>15646.51</v>
      </c>
      <c r="R148" s="111"/>
    </row>
    <row r="149" spans="2:18" ht="13" x14ac:dyDescent="0.3">
      <c r="B149" s="667">
        <v>210</v>
      </c>
      <c r="C149" s="668" t="s">
        <v>251</v>
      </c>
      <c r="D149" s="669">
        <v>-3722.47</v>
      </c>
      <c r="E149" s="669">
        <v>-28629.06</v>
      </c>
      <c r="F149" s="669">
        <v>-10532.4</v>
      </c>
      <c r="G149" s="668">
        <v>1</v>
      </c>
      <c r="H149" s="669">
        <v>-10532.4</v>
      </c>
      <c r="I149" s="669">
        <v>-69752.7</v>
      </c>
      <c r="J149" s="668">
        <v>1</v>
      </c>
      <c r="K149" s="669">
        <v>-69752.7</v>
      </c>
      <c r="L149" s="669">
        <v>2454</v>
      </c>
      <c r="M149" s="669">
        <v>-22342</v>
      </c>
      <c r="N149" s="669">
        <v>6809.93</v>
      </c>
      <c r="O149" s="669">
        <v>41123.64</v>
      </c>
      <c r="P149" s="669">
        <v>-6176.47</v>
      </c>
      <c r="Q149" s="670">
        <v>-6287.06</v>
      </c>
      <c r="R149" s="111"/>
    </row>
    <row r="152" spans="2:18" ht="13" x14ac:dyDescent="0.3">
      <c r="B152" s="111" t="s">
        <v>335</v>
      </c>
    </row>
    <row r="153" spans="2:18" ht="13" x14ac:dyDescent="0.3">
      <c r="B153" s="255">
        <v>600</v>
      </c>
      <c r="C153" s="258"/>
      <c r="D153" s="258"/>
      <c r="E153" s="258"/>
      <c r="F153" s="258"/>
      <c r="G153" s="258"/>
      <c r="H153" s="258"/>
      <c r="I153" s="258"/>
      <c r="J153" s="258"/>
      <c r="K153" s="258"/>
      <c r="L153" s="258"/>
      <c r="M153" s="258"/>
      <c r="N153" s="258"/>
      <c r="O153" s="258"/>
      <c r="P153" s="258"/>
      <c r="Q153" s="258"/>
    </row>
    <row r="155" spans="2:18" ht="13" x14ac:dyDescent="0.3">
      <c r="B155" s="595" t="s">
        <v>164</v>
      </c>
      <c r="C155" s="596" t="s">
        <v>165</v>
      </c>
      <c r="D155" s="596" t="s">
        <v>0</v>
      </c>
      <c r="E155" s="596" t="s">
        <v>8</v>
      </c>
      <c r="F155" s="596" t="s">
        <v>221</v>
      </c>
      <c r="G155" s="596" t="s">
        <v>222</v>
      </c>
      <c r="H155" s="596" t="s">
        <v>223</v>
      </c>
      <c r="I155" s="596" t="s">
        <v>224</v>
      </c>
      <c r="J155" s="596" t="s">
        <v>225</v>
      </c>
      <c r="K155" s="596" t="s">
        <v>226</v>
      </c>
      <c r="L155" s="596" t="s">
        <v>4</v>
      </c>
      <c r="M155" s="596" t="s">
        <v>227</v>
      </c>
      <c r="N155" s="596" t="s">
        <v>228</v>
      </c>
      <c r="O155" s="596" t="s">
        <v>229</v>
      </c>
      <c r="P155" s="596" t="s">
        <v>230</v>
      </c>
      <c r="Q155" s="597" t="s">
        <v>231</v>
      </c>
    </row>
    <row r="156" spans="2:18" x14ac:dyDescent="0.25">
      <c r="B156" s="598" t="s">
        <v>181</v>
      </c>
      <c r="C156" s="599" t="s">
        <v>181</v>
      </c>
      <c r="D156" s="599"/>
      <c r="E156" s="599"/>
      <c r="F156" s="599"/>
      <c r="G156" s="599"/>
      <c r="H156" s="599"/>
      <c r="I156" s="599"/>
      <c r="J156" s="599"/>
      <c r="K156" s="599"/>
      <c r="L156" s="599"/>
      <c r="M156" s="599"/>
      <c r="N156" s="599"/>
      <c r="O156" s="599"/>
      <c r="P156" s="599"/>
      <c r="Q156" s="600"/>
    </row>
    <row r="157" spans="2:18" x14ac:dyDescent="0.25">
      <c r="B157" s="598"/>
      <c r="C157" s="599"/>
      <c r="D157" s="599"/>
      <c r="E157" s="599"/>
      <c r="F157" s="599"/>
      <c r="G157" s="599"/>
      <c r="H157" s="599"/>
      <c r="I157" s="599"/>
      <c r="J157" s="599"/>
      <c r="K157" s="599"/>
      <c r="L157" s="599"/>
      <c r="M157" s="599"/>
      <c r="N157" s="599"/>
      <c r="O157" s="599"/>
      <c r="P157" s="599"/>
      <c r="Q157" s="600"/>
    </row>
    <row r="158" spans="2:18" x14ac:dyDescent="0.25">
      <c r="B158" s="658">
        <v>30</v>
      </c>
      <c r="C158" s="659" t="s">
        <v>232</v>
      </c>
      <c r="D158" s="660">
        <v>130238.75</v>
      </c>
      <c r="E158" s="660">
        <v>722995.86</v>
      </c>
      <c r="F158" s="660">
        <v>117958.89</v>
      </c>
      <c r="G158" s="660">
        <v>1</v>
      </c>
      <c r="H158" s="660">
        <v>117958.89</v>
      </c>
      <c r="I158" s="660">
        <v>722858.71</v>
      </c>
      <c r="J158" s="659">
        <v>1</v>
      </c>
      <c r="K158" s="660">
        <v>722858.71</v>
      </c>
      <c r="L158" s="660">
        <v>116300</v>
      </c>
      <c r="M158" s="660">
        <v>697500</v>
      </c>
      <c r="N158" s="660">
        <v>12279.86</v>
      </c>
      <c r="O158" s="660">
        <v>137.15</v>
      </c>
      <c r="P158" s="660">
        <v>13938.75</v>
      </c>
      <c r="Q158" s="661">
        <v>25495.86</v>
      </c>
    </row>
    <row r="159" spans="2:18" x14ac:dyDescent="0.25">
      <c r="B159" s="713">
        <v>40</v>
      </c>
      <c r="C159" s="714" t="s">
        <v>233</v>
      </c>
      <c r="D159" s="714">
        <v>0</v>
      </c>
      <c r="E159" s="714">
        <v>0</v>
      </c>
      <c r="F159" s="714">
        <v>0</v>
      </c>
      <c r="G159" s="714">
        <v>1</v>
      </c>
      <c r="H159" s="714">
        <v>0</v>
      </c>
      <c r="I159" s="714">
        <v>0</v>
      </c>
      <c r="J159" s="714">
        <v>1</v>
      </c>
      <c r="K159" s="714">
        <v>0</v>
      </c>
      <c r="L159" s="714">
        <v>0</v>
      </c>
      <c r="M159" s="714">
        <v>0</v>
      </c>
      <c r="N159" s="714">
        <v>0</v>
      </c>
      <c r="O159" s="714">
        <v>0</v>
      </c>
      <c r="P159" s="714">
        <v>0</v>
      </c>
      <c r="Q159" s="715">
        <v>0</v>
      </c>
    </row>
    <row r="160" spans="2:18" ht="13" x14ac:dyDescent="0.3">
      <c r="B160" s="662">
        <v>50</v>
      </c>
      <c r="C160" s="663" t="s">
        <v>234</v>
      </c>
      <c r="D160" s="664">
        <v>130238.75</v>
      </c>
      <c r="E160" s="664">
        <v>722995.86</v>
      </c>
      <c r="F160" s="664">
        <v>117958.89</v>
      </c>
      <c r="G160" s="664">
        <v>1</v>
      </c>
      <c r="H160" s="664">
        <v>117958.89</v>
      </c>
      <c r="I160" s="664">
        <v>722858.71</v>
      </c>
      <c r="J160" s="663">
        <v>1</v>
      </c>
      <c r="K160" s="664">
        <v>722858.71</v>
      </c>
      <c r="L160" s="664">
        <v>116300</v>
      </c>
      <c r="M160" s="664">
        <v>697500</v>
      </c>
      <c r="N160" s="664">
        <v>12279.86</v>
      </c>
      <c r="O160" s="664">
        <v>137.15</v>
      </c>
      <c r="P160" s="664">
        <v>13938.75</v>
      </c>
      <c r="Q160" s="665">
        <v>25495.86</v>
      </c>
    </row>
    <row r="161" spans="2:17" x14ac:dyDescent="0.25">
      <c r="B161" s="658">
        <v>60</v>
      </c>
      <c r="C161" s="659" t="s">
        <v>235</v>
      </c>
      <c r="D161" s="659">
        <v>0</v>
      </c>
      <c r="E161" s="659">
        <v>0</v>
      </c>
      <c r="F161" s="659">
        <v>0</v>
      </c>
      <c r="G161" s="659">
        <v>1</v>
      </c>
      <c r="H161" s="659">
        <v>0</v>
      </c>
      <c r="I161" s="659">
        <v>0</v>
      </c>
      <c r="J161" s="659">
        <v>1</v>
      </c>
      <c r="K161" s="659">
        <v>0</v>
      </c>
      <c r="L161" s="659">
        <v>0</v>
      </c>
      <c r="M161" s="659">
        <v>0</v>
      </c>
      <c r="N161" s="659">
        <v>0</v>
      </c>
      <c r="O161" s="659">
        <v>0</v>
      </c>
      <c r="P161" s="659">
        <v>0</v>
      </c>
      <c r="Q161" s="666">
        <v>0</v>
      </c>
    </row>
    <row r="162" spans="2:17" ht="13" x14ac:dyDescent="0.3">
      <c r="B162" s="662">
        <v>70</v>
      </c>
      <c r="C162" s="663" t="s">
        <v>237</v>
      </c>
      <c r="D162" s="664">
        <v>130238.75</v>
      </c>
      <c r="E162" s="664">
        <v>722995.86</v>
      </c>
      <c r="F162" s="664">
        <v>117958.89</v>
      </c>
      <c r="G162" s="664">
        <v>1</v>
      </c>
      <c r="H162" s="664">
        <v>117958.89</v>
      </c>
      <c r="I162" s="664">
        <v>722858.71</v>
      </c>
      <c r="J162" s="663">
        <v>1</v>
      </c>
      <c r="K162" s="664">
        <v>722858.71</v>
      </c>
      <c r="L162" s="664">
        <v>116300</v>
      </c>
      <c r="M162" s="664">
        <v>697500</v>
      </c>
      <c r="N162" s="664">
        <v>12279.86</v>
      </c>
      <c r="O162" s="664">
        <v>137.15</v>
      </c>
      <c r="P162" s="664">
        <v>13938.75</v>
      </c>
      <c r="Q162" s="665">
        <v>25495.86</v>
      </c>
    </row>
    <row r="163" spans="2:17" x14ac:dyDescent="0.25">
      <c r="B163" s="658">
        <v>80</v>
      </c>
      <c r="C163" s="659" t="s">
        <v>238</v>
      </c>
      <c r="D163" s="660">
        <v>21589.05</v>
      </c>
      <c r="E163" s="660">
        <v>67033.59</v>
      </c>
      <c r="F163" s="660">
        <v>6282.89</v>
      </c>
      <c r="G163" s="660">
        <v>1</v>
      </c>
      <c r="H163" s="660">
        <v>6282.89</v>
      </c>
      <c r="I163" s="660">
        <v>54216.56</v>
      </c>
      <c r="J163" s="659">
        <v>1</v>
      </c>
      <c r="K163" s="660">
        <v>54216.56</v>
      </c>
      <c r="L163" s="660">
        <v>6200</v>
      </c>
      <c r="M163" s="660">
        <v>37200</v>
      </c>
      <c r="N163" s="660">
        <v>15306.16</v>
      </c>
      <c r="O163" s="660">
        <v>12817.03</v>
      </c>
      <c r="P163" s="660">
        <v>15389.05</v>
      </c>
      <c r="Q163" s="661">
        <v>29833.59</v>
      </c>
    </row>
    <row r="164" spans="2:17" x14ac:dyDescent="0.25">
      <c r="B164" s="658">
        <v>90</v>
      </c>
      <c r="C164" s="659" t="s">
        <v>239</v>
      </c>
      <c r="D164" s="659">
        <v>22.62</v>
      </c>
      <c r="E164" s="660">
        <v>107.47</v>
      </c>
      <c r="F164" s="660">
        <v>20.81</v>
      </c>
      <c r="G164" s="659">
        <v>1</v>
      </c>
      <c r="H164" s="660">
        <v>20.81</v>
      </c>
      <c r="I164" s="660">
        <v>2116.75</v>
      </c>
      <c r="J164" s="659">
        <v>1</v>
      </c>
      <c r="K164" s="660">
        <v>2116.75</v>
      </c>
      <c r="L164" s="660">
        <v>4250</v>
      </c>
      <c r="M164" s="660">
        <v>25500</v>
      </c>
      <c r="N164" s="660">
        <v>1.81</v>
      </c>
      <c r="O164" s="660">
        <v>-2009.28</v>
      </c>
      <c r="P164" s="660">
        <v>-4227.38</v>
      </c>
      <c r="Q164" s="661">
        <v>-25392.53</v>
      </c>
    </row>
    <row r="165" spans="2:17" x14ac:dyDescent="0.25">
      <c r="B165" s="658">
        <v>100</v>
      </c>
      <c r="C165" s="659" t="s">
        <v>240</v>
      </c>
      <c r="D165" s="660">
        <v>21002.41</v>
      </c>
      <c r="E165" s="660">
        <v>126014.46</v>
      </c>
      <c r="F165" s="660">
        <v>41507.33</v>
      </c>
      <c r="G165" s="660">
        <v>1</v>
      </c>
      <c r="H165" s="660">
        <v>41507.33</v>
      </c>
      <c r="I165" s="660">
        <v>249043.98</v>
      </c>
      <c r="J165" s="659">
        <v>1</v>
      </c>
      <c r="K165" s="660">
        <v>249043.98</v>
      </c>
      <c r="L165" s="660">
        <v>21100</v>
      </c>
      <c r="M165" s="660">
        <v>126600</v>
      </c>
      <c r="N165" s="660">
        <v>-20504.919999999998</v>
      </c>
      <c r="O165" s="660">
        <v>-123029.52</v>
      </c>
      <c r="P165" s="660">
        <v>-97.59</v>
      </c>
      <c r="Q165" s="661">
        <v>-585.54</v>
      </c>
    </row>
    <row r="166" spans="2:17" ht="13" x14ac:dyDescent="0.3">
      <c r="B166" s="662">
        <v>110</v>
      </c>
      <c r="C166" s="663" t="s">
        <v>241</v>
      </c>
      <c r="D166" s="664">
        <v>42614.080000000002</v>
      </c>
      <c r="E166" s="664">
        <v>193155.52</v>
      </c>
      <c r="F166" s="664">
        <v>47811.03</v>
      </c>
      <c r="G166" s="664">
        <v>1</v>
      </c>
      <c r="H166" s="664">
        <v>47811.03</v>
      </c>
      <c r="I166" s="664">
        <v>305377.28999999998</v>
      </c>
      <c r="J166" s="663">
        <v>1</v>
      </c>
      <c r="K166" s="664">
        <v>305377.28999999998</v>
      </c>
      <c r="L166" s="664">
        <v>31550</v>
      </c>
      <c r="M166" s="664">
        <v>189300</v>
      </c>
      <c r="N166" s="664">
        <v>-5196.95</v>
      </c>
      <c r="O166" s="664">
        <v>-112221.77</v>
      </c>
      <c r="P166" s="664">
        <v>11064.08</v>
      </c>
      <c r="Q166" s="665">
        <v>3855.52</v>
      </c>
    </row>
    <row r="167" spans="2:17" ht="13" x14ac:dyDescent="0.3">
      <c r="B167" s="662">
        <v>120</v>
      </c>
      <c r="C167" s="663" t="s">
        <v>242</v>
      </c>
      <c r="D167" s="664">
        <v>87624.67</v>
      </c>
      <c r="E167" s="664">
        <v>529840.34</v>
      </c>
      <c r="F167" s="664">
        <v>70147.86</v>
      </c>
      <c r="G167" s="664">
        <v>1</v>
      </c>
      <c r="H167" s="664">
        <v>70147.86</v>
      </c>
      <c r="I167" s="664">
        <v>417481.42</v>
      </c>
      <c r="J167" s="663">
        <v>1</v>
      </c>
      <c r="K167" s="664">
        <v>417481.42</v>
      </c>
      <c r="L167" s="664">
        <v>84750</v>
      </c>
      <c r="M167" s="664">
        <v>508200</v>
      </c>
      <c r="N167" s="664">
        <v>17476.810000000001</v>
      </c>
      <c r="O167" s="664">
        <v>112358.92</v>
      </c>
      <c r="P167" s="664">
        <v>2874.67</v>
      </c>
      <c r="Q167" s="665">
        <v>21640.34</v>
      </c>
    </row>
    <row r="168" spans="2:17" x14ac:dyDescent="0.25">
      <c r="B168" s="658">
        <v>130</v>
      </c>
      <c r="C168" s="659"/>
      <c r="D168" s="659">
        <v>0</v>
      </c>
      <c r="E168" s="659">
        <v>0</v>
      </c>
      <c r="F168" s="659">
        <v>0</v>
      </c>
      <c r="G168" s="659">
        <v>1</v>
      </c>
      <c r="H168" s="659">
        <v>0</v>
      </c>
      <c r="I168" s="659">
        <v>0</v>
      </c>
      <c r="J168" s="659">
        <v>1</v>
      </c>
      <c r="K168" s="659">
        <v>0</v>
      </c>
      <c r="L168" s="659">
        <v>0</v>
      </c>
      <c r="M168" s="659">
        <v>0</v>
      </c>
      <c r="N168" s="659">
        <v>0</v>
      </c>
      <c r="O168" s="659">
        <v>0</v>
      </c>
      <c r="P168" s="659">
        <v>0</v>
      </c>
      <c r="Q168" s="666">
        <v>0</v>
      </c>
    </row>
    <row r="169" spans="2:17" x14ac:dyDescent="0.25">
      <c r="B169" s="658">
        <v>135</v>
      </c>
      <c r="C169" s="659" t="s">
        <v>243</v>
      </c>
      <c r="D169" s="660">
        <v>374.23</v>
      </c>
      <c r="E169" s="660">
        <v>1930.24</v>
      </c>
      <c r="F169" s="660">
        <v>-672</v>
      </c>
      <c r="G169" s="660">
        <v>1</v>
      </c>
      <c r="H169" s="660">
        <v>-672</v>
      </c>
      <c r="I169" s="660">
        <v>-857</v>
      </c>
      <c r="J169" s="659">
        <v>1</v>
      </c>
      <c r="K169" s="660">
        <v>-857</v>
      </c>
      <c r="L169" s="660">
        <v>0</v>
      </c>
      <c r="M169" s="660">
        <v>0</v>
      </c>
      <c r="N169" s="660">
        <v>1046.23</v>
      </c>
      <c r="O169" s="660">
        <v>2787.24</v>
      </c>
      <c r="P169" s="660">
        <v>374.23</v>
      </c>
      <c r="Q169" s="661">
        <v>1930.24</v>
      </c>
    </row>
    <row r="170" spans="2:17" x14ac:dyDescent="0.25">
      <c r="B170" s="658">
        <v>140</v>
      </c>
      <c r="C170" s="659" t="s">
        <v>244</v>
      </c>
      <c r="D170" s="660">
        <v>29461.16</v>
      </c>
      <c r="E170" s="660">
        <v>192292.17</v>
      </c>
      <c r="F170" s="660">
        <v>28217.39</v>
      </c>
      <c r="G170" s="660">
        <v>1</v>
      </c>
      <c r="H170" s="660">
        <v>28217.39</v>
      </c>
      <c r="I170" s="660">
        <v>156254.96</v>
      </c>
      <c r="J170" s="659">
        <v>1</v>
      </c>
      <c r="K170" s="660">
        <v>156254.96</v>
      </c>
      <c r="L170" s="660">
        <v>26019</v>
      </c>
      <c r="M170" s="660">
        <v>159709</v>
      </c>
      <c r="N170" s="660">
        <v>1243.77</v>
      </c>
      <c r="O170" s="660">
        <v>36037.21</v>
      </c>
      <c r="P170" s="660">
        <v>3442.16</v>
      </c>
      <c r="Q170" s="661">
        <v>32583.17</v>
      </c>
    </row>
    <row r="171" spans="2:17" x14ac:dyDescent="0.25">
      <c r="B171" s="658">
        <v>150</v>
      </c>
      <c r="C171" s="659" t="s">
        <v>245</v>
      </c>
      <c r="D171" s="659">
        <v>0</v>
      </c>
      <c r="E171" s="659">
        <v>0</v>
      </c>
      <c r="F171" s="659">
        <v>0</v>
      </c>
      <c r="G171" s="659">
        <v>1</v>
      </c>
      <c r="H171" s="659">
        <v>0</v>
      </c>
      <c r="I171" s="659">
        <v>0</v>
      </c>
      <c r="J171" s="659">
        <v>1</v>
      </c>
      <c r="K171" s="659">
        <v>0</v>
      </c>
      <c r="L171" s="659">
        <v>0</v>
      </c>
      <c r="M171" s="659">
        <v>0</v>
      </c>
      <c r="N171" s="659">
        <v>0</v>
      </c>
      <c r="O171" s="659">
        <v>0</v>
      </c>
      <c r="P171" s="659">
        <v>0</v>
      </c>
      <c r="Q171" s="666">
        <v>0</v>
      </c>
    </row>
    <row r="172" spans="2:17" x14ac:dyDescent="0.25">
      <c r="B172" s="658">
        <v>155</v>
      </c>
      <c r="C172" s="659"/>
      <c r="D172" s="659">
        <v>0</v>
      </c>
      <c r="E172" s="659">
        <v>0</v>
      </c>
      <c r="F172" s="659">
        <v>0</v>
      </c>
      <c r="G172" s="659">
        <v>1</v>
      </c>
      <c r="H172" s="659">
        <v>0</v>
      </c>
      <c r="I172" s="659">
        <v>0</v>
      </c>
      <c r="J172" s="659">
        <v>1</v>
      </c>
      <c r="K172" s="659">
        <v>0</v>
      </c>
      <c r="L172" s="659">
        <v>0</v>
      </c>
      <c r="M172" s="659">
        <v>0</v>
      </c>
      <c r="N172" s="659">
        <v>0</v>
      </c>
      <c r="O172" s="659">
        <v>0</v>
      </c>
      <c r="P172" s="659">
        <v>0</v>
      </c>
      <c r="Q172" s="666">
        <v>0</v>
      </c>
    </row>
    <row r="173" spans="2:17" x14ac:dyDescent="0.25">
      <c r="B173" s="658">
        <v>160</v>
      </c>
      <c r="C173" s="659" t="s">
        <v>246</v>
      </c>
      <c r="D173" s="660">
        <v>29835.39</v>
      </c>
      <c r="E173" s="660">
        <v>194222.41</v>
      </c>
      <c r="F173" s="660">
        <v>27545.39</v>
      </c>
      <c r="G173" s="660">
        <v>1</v>
      </c>
      <c r="H173" s="660">
        <v>27545.39</v>
      </c>
      <c r="I173" s="660">
        <v>155397.96</v>
      </c>
      <c r="J173" s="659">
        <v>1</v>
      </c>
      <c r="K173" s="660">
        <v>155397.96</v>
      </c>
      <c r="L173" s="660">
        <v>26019</v>
      </c>
      <c r="M173" s="660">
        <v>159709</v>
      </c>
      <c r="N173" s="660">
        <v>2290</v>
      </c>
      <c r="O173" s="660">
        <v>38824.449999999997</v>
      </c>
      <c r="P173" s="660">
        <v>3816.39</v>
      </c>
      <c r="Q173" s="661">
        <v>34513.410000000003</v>
      </c>
    </row>
    <row r="174" spans="2:17" ht="13" x14ac:dyDescent="0.3">
      <c r="B174" s="662">
        <v>170</v>
      </c>
      <c r="C174" s="663" t="s">
        <v>336</v>
      </c>
      <c r="D174" s="664">
        <v>57789.279999999999</v>
      </c>
      <c r="E174" s="664">
        <v>335617.93</v>
      </c>
      <c r="F174" s="664">
        <v>42602.47</v>
      </c>
      <c r="G174" s="664">
        <v>1</v>
      </c>
      <c r="H174" s="664">
        <v>42602.47</v>
      </c>
      <c r="I174" s="664">
        <v>262083.46</v>
      </c>
      <c r="J174" s="663">
        <v>1</v>
      </c>
      <c r="K174" s="664">
        <v>262083.46</v>
      </c>
      <c r="L174" s="664">
        <v>58731</v>
      </c>
      <c r="M174" s="664">
        <v>348491</v>
      </c>
      <c r="N174" s="664">
        <v>15186.81</v>
      </c>
      <c r="O174" s="664">
        <v>73534.47</v>
      </c>
      <c r="P174" s="664">
        <v>-941.72</v>
      </c>
      <c r="Q174" s="665">
        <v>-12873.07</v>
      </c>
    </row>
    <row r="175" spans="2:17" x14ac:dyDescent="0.25">
      <c r="B175" s="658">
        <v>180</v>
      </c>
      <c r="C175" s="659" t="s">
        <v>249</v>
      </c>
      <c r="D175" s="659">
        <v>0</v>
      </c>
      <c r="E175" s="659">
        <v>0</v>
      </c>
      <c r="F175" s="659">
        <v>0</v>
      </c>
      <c r="G175" s="659">
        <v>1</v>
      </c>
      <c r="H175" s="659">
        <v>0</v>
      </c>
      <c r="I175" s="659">
        <v>0</v>
      </c>
      <c r="J175" s="659">
        <v>1</v>
      </c>
      <c r="K175" s="659">
        <v>0</v>
      </c>
      <c r="L175" s="659">
        <v>0</v>
      </c>
      <c r="M175" s="659">
        <v>0</v>
      </c>
      <c r="N175" s="659">
        <v>0</v>
      </c>
      <c r="O175" s="659">
        <v>0</v>
      </c>
      <c r="P175" s="659">
        <v>0</v>
      </c>
      <c r="Q175" s="666">
        <v>0</v>
      </c>
    </row>
    <row r="176" spans="2:17" x14ac:dyDescent="0.25">
      <c r="B176" s="658">
        <v>190</v>
      </c>
      <c r="C176" s="659" t="s">
        <v>254</v>
      </c>
      <c r="D176" s="659">
        <v>0</v>
      </c>
      <c r="E176" s="659">
        <v>0</v>
      </c>
      <c r="F176" s="659">
        <v>0</v>
      </c>
      <c r="G176" s="659">
        <v>1</v>
      </c>
      <c r="H176" s="659">
        <v>0</v>
      </c>
      <c r="I176" s="659">
        <v>0</v>
      </c>
      <c r="J176" s="659">
        <v>1</v>
      </c>
      <c r="K176" s="659">
        <v>0</v>
      </c>
      <c r="L176" s="659">
        <v>0</v>
      </c>
      <c r="M176" s="659">
        <v>0</v>
      </c>
      <c r="N176" s="659">
        <v>0</v>
      </c>
      <c r="O176" s="659">
        <v>0</v>
      </c>
      <c r="P176" s="659">
        <v>0</v>
      </c>
      <c r="Q176" s="666">
        <v>0</v>
      </c>
    </row>
    <row r="177" spans="2:17" ht="13" x14ac:dyDescent="0.3">
      <c r="B177" s="662">
        <v>200</v>
      </c>
      <c r="C177" s="663" t="s">
        <v>250</v>
      </c>
      <c r="D177" s="664">
        <v>57789.279999999999</v>
      </c>
      <c r="E177" s="664">
        <v>335617.93</v>
      </c>
      <c r="F177" s="664">
        <v>42602.47</v>
      </c>
      <c r="G177" s="664">
        <v>1</v>
      </c>
      <c r="H177" s="664">
        <v>42602.47</v>
      </c>
      <c r="I177" s="664">
        <v>262083.46</v>
      </c>
      <c r="J177" s="663">
        <v>1</v>
      </c>
      <c r="K177" s="664">
        <v>262083.46</v>
      </c>
      <c r="L177" s="664">
        <v>58731</v>
      </c>
      <c r="M177" s="664">
        <v>348491</v>
      </c>
      <c r="N177" s="664">
        <v>15186.81</v>
      </c>
      <c r="O177" s="664">
        <v>73534.47</v>
      </c>
      <c r="P177" s="664">
        <v>-941.72</v>
      </c>
      <c r="Q177" s="665">
        <v>-12873.07</v>
      </c>
    </row>
    <row r="178" spans="2:17" ht="13" x14ac:dyDescent="0.3">
      <c r="B178" s="667">
        <v>210</v>
      </c>
      <c r="C178" s="668" t="s">
        <v>251</v>
      </c>
      <c r="D178" s="669">
        <v>108627.08</v>
      </c>
      <c r="E178" s="669">
        <v>655854.80000000005</v>
      </c>
      <c r="F178" s="669">
        <v>111655.19</v>
      </c>
      <c r="G178" s="669">
        <v>1</v>
      </c>
      <c r="H178" s="669">
        <v>111655.19</v>
      </c>
      <c r="I178" s="669">
        <v>666525.4</v>
      </c>
      <c r="J178" s="668">
        <v>1</v>
      </c>
      <c r="K178" s="669">
        <v>666525.4</v>
      </c>
      <c r="L178" s="669">
        <v>105850</v>
      </c>
      <c r="M178" s="669">
        <v>634800</v>
      </c>
      <c r="N178" s="669">
        <v>-3028.11</v>
      </c>
      <c r="O178" s="669">
        <v>-10670.6</v>
      </c>
      <c r="P178" s="669">
        <v>2777.08</v>
      </c>
      <c r="Q178" s="670">
        <v>21054.799999999999</v>
      </c>
    </row>
    <row r="179" spans="2:17" ht="13" x14ac:dyDescent="0.3"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</row>
  </sheetData>
  <phoneticPr fontId="0" type="noConversion"/>
  <pageMargins left="0" right="0" top="0" bottom="0" header="0.5" footer="0.5"/>
  <pageSetup scale="9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2:AP301"/>
  <sheetViews>
    <sheetView showGridLines="0" topLeftCell="Y1" zoomScale="79" zoomScaleNormal="60" workbookViewId="0">
      <selection activeCell="K9" sqref="K9"/>
    </sheetView>
  </sheetViews>
  <sheetFormatPr baseColWidth="10" defaultColWidth="9.1796875" defaultRowHeight="12.5" x14ac:dyDescent="0.25"/>
  <cols>
    <col min="1" max="1" width="16.54296875" style="1" customWidth="1"/>
    <col min="2" max="2" width="6.453125" style="1" customWidth="1"/>
    <col min="3" max="3" width="19.453125" style="1" customWidth="1"/>
    <col min="4" max="4" width="11.54296875" style="6" customWidth="1"/>
    <col min="5" max="5" width="10.81640625" style="6" customWidth="1"/>
    <col min="6" max="6" width="14" style="6" customWidth="1"/>
    <col min="7" max="7" width="13.1796875" style="6" customWidth="1"/>
    <col min="8" max="8" width="10.54296875" style="1" bestFit="1" customWidth="1"/>
    <col min="9" max="9" width="9.453125" style="1" bestFit="1" customWidth="1"/>
    <col min="10" max="11" width="21.1796875" style="1" customWidth="1"/>
    <col min="12" max="14" width="12.54296875" style="1" customWidth="1"/>
    <col min="15" max="15" width="9.1796875" style="1"/>
    <col min="16" max="16" width="9.453125" style="1" bestFit="1" customWidth="1"/>
    <col min="17" max="17" width="24.453125" style="1" customWidth="1"/>
    <col min="18" max="18" width="10.54296875" style="1" bestFit="1" customWidth="1"/>
    <col min="19" max="19" width="11.453125" style="1" bestFit="1" customWidth="1"/>
    <col min="20" max="20" width="11.1796875" style="1" customWidth="1"/>
    <col min="21" max="21" width="12.453125" style="1" customWidth="1"/>
    <col min="22" max="22" width="9.1796875" style="1"/>
    <col min="23" max="23" width="9.453125" style="1" bestFit="1" customWidth="1"/>
    <col min="24" max="24" width="21.54296875" style="1" customWidth="1"/>
    <col min="25" max="25" width="9.54296875" style="1" bestFit="1" customWidth="1"/>
    <col min="26" max="26" width="10.453125" style="1" bestFit="1" customWidth="1"/>
    <col min="27" max="27" width="11.453125" style="1" customWidth="1"/>
    <col min="28" max="28" width="11.81640625" style="1" customWidth="1"/>
    <col min="29" max="29" width="9.1796875" style="1"/>
    <col min="30" max="30" width="7" style="1" customWidth="1"/>
    <col min="31" max="31" width="22.54296875" style="1" customWidth="1"/>
    <col min="32" max="34" width="9.1796875" style="1"/>
    <col min="35" max="35" width="9.54296875" style="1" customWidth="1"/>
    <col min="36" max="37" width="9.1796875" style="1"/>
    <col min="38" max="38" width="26.453125" style="1" customWidth="1"/>
    <col min="39" max="39" width="12.54296875" style="1" bestFit="1" customWidth="1"/>
    <col min="40" max="41" width="13.54296875" style="1" bestFit="1" customWidth="1"/>
    <col min="42" max="42" width="10.54296875" style="1" bestFit="1" customWidth="1"/>
    <col min="43" max="16384" width="9.1796875" style="1"/>
  </cols>
  <sheetData>
    <row r="2" spans="1:42" ht="13" x14ac:dyDescent="0.3">
      <c r="B2" s="7" t="s">
        <v>31</v>
      </c>
      <c r="I2" s="7" t="s">
        <v>120</v>
      </c>
      <c r="P2" s="7" t="s">
        <v>119</v>
      </c>
      <c r="W2" s="7" t="s">
        <v>187</v>
      </c>
      <c r="AD2" s="7" t="s">
        <v>188</v>
      </c>
      <c r="AK2" s="7" t="s">
        <v>209</v>
      </c>
    </row>
    <row r="3" spans="1:42" s="259" customFormat="1" ht="13" x14ac:dyDescent="0.3">
      <c r="B3" s="260">
        <v>605</v>
      </c>
      <c r="D3" s="261"/>
      <c r="E3" s="261"/>
      <c r="F3" s="261"/>
      <c r="G3" s="261"/>
      <c r="I3" s="260">
        <v>605</v>
      </c>
      <c r="P3" s="260">
        <v>605</v>
      </c>
      <c r="W3" s="260"/>
      <c r="AD3" s="260">
        <v>605</v>
      </c>
      <c r="AK3" s="260">
        <v>605</v>
      </c>
    </row>
    <row r="5" spans="1:42" ht="13" x14ac:dyDescent="0.3">
      <c r="B5" s="595" t="s">
        <v>164</v>
      </c>
      <c r="C5" s="596" t="s">
        <v>165</v>
      </c>
      <c r="D5" s="633" t="s">
        <v>166</v>
      </c>
      <c r="E5" s="633" t="s">
        <v>167</v>
      </c>
      <c r="F5" s="633" t="s">
        <v>168</v>
      </c>
      <c r="G5" s="634" t="s">
        <v>169</v>
      </c>
      <c r="I5" s="603" t="s">
        <v>164</v>
      </c>
      <c r="J5" s="604" t="s">
        <v>165</v>
      </c>
      <c r="K5" s="604" t="s">
        <v>166</v>
      </c>
      <c r="L5" s="604" t="s">
        <v>167</v>
      </c>
      <c r="M5" s="604" t="s">
        <v>168</v>
      </c>
      <c r="N5" s="605" t="s">
        <v>169</v>
      </c>
      <c r="P5" s="603" t="s">
        <v>164</v>
      </c>
      <c r="Q5" s="604" t="s">
        <v>165</v>
      </c>
      <c r="R5" s="604" t="s">
        <v>166</v>
      </c>
      <c r="S5" s="604" t="s">
        <v>167</v>
      </c>
      <c r="T5" s="604" t="s">
        <v>168</v>
      </c>
      <c r="U5" s="605" t="s">
        <v>169</v>
      </c>
      <c r="W5" s="603" t="s">
        <v>164</v>
      </c>
      <c r="X5" s="604" t="s">
        <v>165</v>
      </c>
      <c r="Y5" s="604" t="s">
        <v>166</v>
      </c>
      <c r="Z5" s="604" t="s">
        <v>167</v>
      </c>
      <c r="AA5" s="604" t="s">
        <v>168</v>
      </c>
      <c r="AB5" s="605" t="s">
        <v>169</v>
      </c>
      <c r="AD5" s="603" t="s">
        <v>164</v>
      </c>
      <c r="AE5" s="604" t="s">
        <v>165</v>
      </c>
      <c r="AF5" s="604" t="s">
        <v>166</v>
      </c>
      <c r="AG5" s="604" t="s">
        <v>167</v>
      </c>
      <c r="AH5" s="604" t="s">
        <v>168</v>
      </c>
      <c r="AI5" s="605" t="s">
        <v>169</v>
      </c>
      <c r="AK5" s="640" t="s">
        <v>164</v>
      </c>
      <c r="AL5" s="641" t="s">
        <v>165</v>
      </c>
      <c r="AM5" s="641" t="s">
        <v>166</v>
      </c>
      <c r="AN5" s="641" t="s">
        <v>167</v>
      </c>
      <c r="AO5" s="641" t="s">
        <v>168</v>
      </c>
      <c r="AP5" s="642" t="s">
        <v>169</v>
      </c>
    </row>
    <row r="6" spans="1:42" ht="13" x14ac:dyDescent="0.3">
      <c r="B6" s="601" t="s">
        <v>181</v>
      </c>
      <c r="C6" s="613" t="s">
        <v>181</v>
      </c>
      <c r="D6" s="635"/>
      <c r="E6" s="635" t="s">
        <v>167</v>
      </c>
      <c r="F6" s="635" t="s">
        <v>168</v>
      </c>
      <c r="G6" s="636" t="s">
        <v>169</v>
      </c>
      <c r="I6" s="607" t="s">
        <v>181</v>
      </c>
      <c r="J6" s="608" t="s">
        <v>181</v>
      </c>
      <c r="K6" s="608"/>
      <c r="L6" s="608" t="s">
        <v>167</v>
      </c>
      <c r="M6" s="608" t="s">
        <v>168</v>
      </c>
      <c r="N6" s="609" t="s">
        <v>169</v>
      </c>
      <c r="P6" s="607" t="s">
        <v>181</v>
      </c>
      <c r="Q6" s="608" t="s">
        <v>181</v>
      </c>
      <c r="R6" s="608"/>
      <c r="S6" s="608" t="s">
        <v>167</v>
      </c>
      <c r="T6" s="608" t="s">
        <v>168</v>
      </c>
      <c r="U6" s="609" t="s">
        <v>169</v>
      </c>
      <c r="W6" s="607" t="s">
        <v>181</v>
      </c>
      <c r="X6" s="608" t="s">
        <v>181</v>
      </c>
      <c r="Y6" s="608"/>
      <c r="Z6" s="608" t="s">
        <v>167</v>
      </c>
      <c r="AA6" s="608" t="s">
        <v>168</v>
      </c>
      <c r="AB6" s="609" t="s">
        <v>169</v>
      </c>
      <c r="AD6" s="607" t="s">
        <v>181</v>
      </c>
      <c r="AE6" s="608" t="s">
        <v>181</v>
      </c>
      <c r="AF6" s="608"/>
      <c r="AG6" s="608" t="s">
        <v>167</v>
      </c>
      <c r="AH6" s="608" t="s">
        <v>168</v>
      </c>
      <c r="AI6" s="609" t="s">
        <v>169</v>
      </c>
      <c r="AK6" s="610" t="s">
        <v>181</v>
      </c>
      <c r="AL6" s="611" t="s">
        <v>181</v>
      </c>
      <c r="AM6" s="611"/>
      <c r="AN6" s="611" t="s">
        <v>167</v>
      </c>
      <c r="AO6" s="611" t="s">
        <v>168</v>
      </c>
      <c r="AP6" s="612" t="s">
        <v>169</v>
      </c>
    </row>
    <row r="7" spans="1:42" x14ac:dyDescent="0.25">
      <c r="B7" s="598"/>
      <c r="C7" s="606"/>
      <c r="D7" s="637"/>
      <c r="E7" s="637"/>
      <c r="F7" s="637"/>
      <c r="G7" s="632"/>
      <c r="I7" s="610"/>
      <c r="J7" s="611"/>
      <c r="K7" s="611"/>
      <c r="L7" s="611"/>
      <c r="M7" s="611"/>
      <c r="N7" s="612"/>
      <c r="P7" s="610"/>
      <c r="Q7" s="611"/>
      <c r="R7" s="611"/>
      <c r="S7" s="611"/>
      <c r="T7" s="611"/>
      <c r="U7" s="612"/>
      <c r="W7" s="610"/>
      <c r="X7" s="611"/>
      <c r="Y7" s="611"/>
      <c r="Z7" s="611"/>
      <c r="AA7" s="611"/>
      <c r="AB7" s="612"/>
      <c r="AD7" s="610"/>
      <c r="AE7" s="611"/>
      <c r="AF7" s="611"/>
      <c r="AG7" s="611"/>
      <c r="AH7" s="611"/>
      <c r="AI7" s="612"/>
      <c r="AK7" s="610"/>
      <c r="AL7" s="611"/>
      <c r="AM7" s="611"/>
      <c r="AN7" s="611"/>
      <c r="AO7" s="611"/>
      <c r="AP7" s="612"/>
    </row>
    <row r="8" spans="1:42" ht="13" x14ac:dyDescent="0.3">
      <c r="B8" s="662">
        <v>10</v>
      </c>
      <c r="C8" s="671" t="s">
        <v>311</v>
      </c>
      <c r="D8" s="672">
        <v>0</v>
      </c>
      <c r="E8" s="672">
        <v>0</v>
      </c>
      <c r="F8" s="672">
        <v>0</v>
      </c>
      <c r="G8" s="673">
        <v>0</v>
      </c>
      <c r="I8" s="692">
        <v>10</v>
      </c>
      <c r="J8" s="693" t="s">
        <v>311</v>
      </c>
      <c r="K8" s="694">
        <v>0</v>
      </c>
      <c r="L8" s="694">
        <v>0</v>
      </c>
      <c r="M8" s="694">
        <v>0</v>
      </c>
      <c r="N8" s="695">
        <v>0</v>
      </c>
      <c r="P8" s="692">
        <v>10</v>
      </c>
      <c r="Q8" s="693" t="s">
        <v>311</v>
      </c>
      <c r="R8" s="694">
        <v>0</v>
      </c>
      <c r="S8" s="694">
        <v>0</v>
      </c>
      <c r="T8" s="694">
        <v>0</v>
      </c>
      <c r="U8" s="695">
        <v>0</v>
      </c>
      <c r="W8" s="692">
        <v>10</v>
      </c>
      <c r="X8" s="693" t="s">
        <v>311</v>
      </c>
      <c r="Y8" s="694">
        <v>0</v>
      </c>
      <c r="Z8" s="694">
        <v>0</v>
      </c>
      <c r="AA8" s="694">
        <v>0</v>
      </c>
      <c r="AB8" s="695">
        <v>0</v>
      </c>
      <c r="AD8" s="692">
        <v>10</v>
      </c>
      <c r="AE8" s="693" t="s">
        <v>311</v>
      </c>
      <c r="AF8" s="694">
        <v>0</v>
      </c>
      <c r="AG8" s="694">
        <v>0</v>
      </c>
      <c r="AH8" s="694">
        <v>0</v>
      </c>
      <c r="AI8" s="695">
        <v>0</v>
      </c>
      <c r="AK8" s="696">
        <v>10</v>
      </c>
      <c r="AL8" s="694" t="s">
        <v>311</v>
      </c>
      <c r="AM8" s="694">
        <v>0</v>
      </c>
      <c r="AN8" s="694">
        <v>0</v>
      </c>
      <c r="AO8" s="694">
        <v>0</v>
      </c>
      <c r="AP8" s="695">
        <v>0</v>
      </c>
    </row>
    <row r="9" spans="1:42" x14ac:dyDescent="0.25">
      <c r="B9" s="658">
        <v>20</v>
      </c>
      <c r="C9" s="674" t="s">
        <v>170</v>
      </c>
      <c r="D9" s="672">
        <v>0</v>
      </c>
      <c r="E9" s="672">
        <v>0</v>
      </c>
      <c r="F9" s="672">
        <v>6634686.0099999998</v>
      </c>
      <c r="G9" s="673">
        <v>6634686.0099999998</v>
      </c>
      <c r="I9" s="696">
        <v>20</v>
      </c>
      <c r="J9" s="694" t="s">
        <v>170</v>
      </c>
      <c r="K9" s="694">
        <v>294158.59999999998</v>
      </c>
      <c r="L9" s="694">
        <v>0</v>
      </c>
      <c r="M9" s="694">
        <v>1806375.33</v>
      </c>
      <c r="N9" s="695">
        <v>1806375.33</v>
      </c>
      <c r="P9" s="696">
        <v>20</v>
      </c>
      <c r="Q9" s="694" t="s">
        <v>170</v>
      </c>
      <c r="R9" s="694">
        <v>618092.54</v>
      </c>
      <c r="S9" s="694">
        <v>0</v>
      </c>
      <c r="T9" s="694">
        <v>3689237.8</v>
      </c>
      <c r="U9" s="695">
        <v>3689237.8</v>
      </c>
      <c r="W9" s="696">
        <v>20</v>
      </c>
      <c r="X9" s="694" t="s">
        <v>170</v>
      </c>
      <c r="Y9" s="694">
        <v>312455.15000000002</v>
      </c>
      <c r="Z9" s="694">
        <v>0</v>
      </c>
      <c r="AA9" s="694">
        <v>2119961.2000000002</v>
      </c>
      <c r="AB9" s="695">
        <v>2119961.2000000002</v>
      </c>
      <c r="AD9" s="696">
        <v>20</v>
      </c>
      <c r="AE9" s="694" t="s">
        <v>170</v>
      </c>
      <c r="AF9" s="694">
        <v>399674.29</v>
      </c>
      <c r="AG9" s="694">
        <v>0</v>
      </c>
      <c r="AH9" s="694">
        <v>2474083.35</v>
      </c>
      <c r="AI9" s="695">
        <v>2474083.35</v>
      </c>
      <c r="AK9" s="696">
        <v>20</v>
      </c>
      <c r="AL9" s="694" t="s">
        <v>170</v>
      </c>
      <c r="AM9" s="694">
        <v>130238.75</v>
      </c>
      <c r="AN9" s="694">
        <v>0</v>
      </c>
      <c r="AO9" s="694">
        <v>722995.86</v>
      </c>
      <c r="AP9" s="695">
        <v>722995.86</v>
      </c>
    </row>
    <row r="10" spans="1:42" x14ac:dyDescent="0.25">
      <c r="B10" s="658">
        <v>30</v>
      </c>
      <c r="C10" s="674" t="s">
        <v>312</v>
      </c>
      <c r="D10" s="672">
        <v>0</v>
      </c>
      <c r="E10" s="672">
        <v>0</v>
      </c>
      <c r="F10" s="672">
        <v>439666.46</v>
      </c>
      <c r="G10" s="673">
        <v>439666.46</v>
      </c>
      <c r="I10" s="696">
        <v>30</v>
      </c>
      <c r="J10" s="694" t="s">
        <v>312</v>
      </c>
      <c r="K10" s="694">
        <v>3170.27</v>
      </c>
      <c r="L10" s="694">
        <v>0</v>
      </c>
      <c r="M10" s="694">
        <v>25712.11</v>
      </c>
      <c r="N10" s="695">
        <v>25712.11</v>
      </c>
      <c r="P10" s="696">
        <v>30</v>
      </c>
      <c r="Q10" s="694" t="s">
        <v>312</v>
      </c>
      <c r="R10" s="694">
        <v>819.77</v>
      </c>
      <c r="S10" s="694">
        <v>0</v>
      </c>
      <c r="T10" s="694">
        <v>7275.22</v>
      </c>
      <c r="U10" s="695">
        <v>7275.22</v>
      </c>
      <c r="W10" s="696">
        <v>30</v>
      </c>
      <c r="X10" s="694" t="s">
        <v>312</v>
      </c>
      <c r="Y10" s="694">
        <v>93253.09</v>
      </c>
      <c r="Z10" s="694">
        <v>0</v>
      </c>
      <c r="AA10" s="694">
        <v>712029.61</v>
      </c>
      <c r="AB10" s="695">
        <v>712029.61</v>
      </c>
      <c r="AD10" s="696">
        <v>30</v>
      </c>
      <c r="AE10" s="694" t="s">
        <v>312</v>
      </c>
      <c r="AF10" s="694">
        <v>97259.04</v>
      </c>
      <c r="AG10" s="694">
        <v>0</v>
      </c>
      <c r="AH10" s="694">
        <v>651461.18000000005</v>
      </c>
      <c r="AI10" s="695">
        <v>651461.18000000005</v>
      </c>
      <c r="AK10" s="696">
        <v>30</v>
      </c>
      <c r="AL10" s="694" t="s">
        <v>312</v>
      </c>
      <c r="AM10" s="694">
        <v>0</v>
      </c>
      <c r="AN10" s="694">
        <v>0</v>
      </c>
      <c r="AO10" s="694">
        <v>0</v>
      </c>
      <c r="AP10" s="695">
        <v>0</v>
      </c>
    </row>
    <row r="11" spans="1:42" x14ac:dyDescent="0.25">
      <c r="B11" s="658">
        <v>35</v>
      </c>
      <c r="C11" s="674" t="s">
        <v>313</v>
      </c>
      <c r="D11" s="672">
        <v>0</v>
      </c>
      <c r="E11" s="672">
        <v>0</v>
      </c>
      <c r="F11" s="672">
        <v>6195019.5499999998</v>
      </c>
      <c r="G11" s="673">
        <v>6195019.5499999998</v>
      </c>
      <c r="I11" s="696">
        <v>35</v>
      </c>
      <c r="J11" s="694" t="s">
        <v>313</v>
      </c>
      <c r="K11" s="694">
        <v>290988.33</v>
      </c>
      <c r="L11" s="694">
        <v>0</v>
      </c>
      <c r="M11" s="694">
        <v>1780663.22</v>
      </c>
      <c r="N11" s="695">
        <v>1780663.22</v>
      </c>
      <c r="P11" s="696">
        <v>35</v>
      </c>
      <c r="Q11" s="694" t="s">
        <v>313</v>
      </c>
      <c r="R11" s="694">
        <v>617272.77</v>
      </c>
      <c r="S11" s="694">
        <v>0</v>
      </c>
      <c r="T11" s="694">
        <v>3681962.58</v>
      </c>
      <c r="U11" s="695">
        <v>3681962.58</v>
      </c>
      <c r="W11" s="696">
        <v>35</v>
      </c>
      <c r="X11" s="694" t="s">
        <v>313</v>
      </c>
      <c r="Y11" s="694">
        <v>219202.06</v>
      </c>
      <c r="Z11" s="694">
        <v>0</v>
      </c>
      <c r="AA11" s="694">
        <v>1407931.59</v>
      </c>
      <c r="AB11" s="695">
        <v>1407931.59</v>
      </c>
      <c r="AD11" s="696">
        <v>35</v>
      </c>
      <c r="AE11" s="694" t="s">
        <v>313</v>
      </c>
      <c r="AF11" s="694">
        <v>302415.25</v>
      </c>
      <c r="AG11" s="694">
        <v>0</v>
      </c>
      <c r="AH11" s="694">
        <v>1822622.17</v>
      </c>
      <c r="AI11" s="695">
        <v>1822622.17</v>
      </c>
      <c r="AK11" s="696">
        <v>35</v>
      </c>
      <c r="AL11" s="694" t="s">
        <v>313</v>
      </c>
      <c r="AM11" s="694">
        <v>130238.75</v>
      </c>
      <c r="AN11" s="694">
        <v>0</v>
      </c>
      <c r="AO11" s="694">
        <v>722995.86</v>
      </c>
      <c r="AP11" s="695">
        <v>722995.86</v>
      </c>
    </row>
    <row r="12" spans="1:42" x14ac:dyDescent="0.25">
      <c r="B12" s="658">
        <v>40</v>
      </c>
      <c r="C12" s="674" t="s">
        <v>314</v>
      </c>
      <c r="D12" s="672">
        <v>0</v>
      </c>
      <c r="E12" s="672">
        <v>0</v>
      </c>
      <c r="F12" s="672">
        <v>3808578.23</v>
      </c>
      <c r="G12" s="673">
        <v>3808578.23</v>
      </c>
      <c r="I12" s="696">
        <v>40</v>
      </c>
      <c r="J12" s="694" t="s">
        <v>314</v>
      </c>
      <c r="K12" s="694">
        <v>174645.86</v>
      </c>
      <c r="L12" s="694">
        <v>0</v>
      </c>
      <c r="M12" s="694">
        <v>1073016.02</v>
      </c>
      <c r="N12" s="695">
        <v>1073016.02</v>
      </c>
      <c r="P12" s="696">
        <v>40</v>
      </c>
      <c r="Q12" s="694" t="s">
        <v>314</v>
      </c>
      <c r="R12" s="694">
        <v>384401.61</v>
      </c>
      <c r="S12" s="694">
        <v>0</v>
      </c>
      <c r="T12" s="694">
        <v>2366125.7799999998</v>
      </c>
      <c r="U12" s="695">
        <v>2366125.7799999998</v>
      </c>
      <c r="W12" s="696">
        <v>40</v>
      </c>
      <c r="X12" s="694" t="s">
        <v>314</v>
      </c>
      <c r="Y12" s="694">
        <v>154681.64000000001</v>
      </c>
      <c r="Z12" s="694">
        <v>0</v>
      </c>
      <c r="AA12" s="694">
        <v>971332.19</v>
      </c>
      <c r="AB12" s="695">
        <v>971332.19</v>
      </c>
      <c r="AD12" s="696">
        <v>40</v>
      </c>
      <c r="AE12" s="694" t="s">
        <v>314</v>
      </c>
      <c r="AF12" s="694">
        <v>196956.48</v>
      </c>
      <c r="AG12" s="694">
        <v>0</v>
      </c>
      <c r="AH12" s="694">
        <v>1168610.71</v>
      </c>
      <c r="AI12" s="695">
        <v>1168610.71</v>
      </c>
      <c r="AK12" s="696">
        <v>40</v>
      </c>
      <c r="AL12" s="694" t="s">
        <v>314</v>
      </c>
      <c r="AM12" s="694">
        <v>0</v>
      </c>
      <c r="AN12" s="694">
        <v>0</v>
      </c>
      <c r="AO12" s="694">
        <v>0</v>
      </c>
      <c r="AP12" s="695">
        <v>0</v>
      </c>
    </row>
    <row r="13" spans="1:42" x14ac:dyDescent="0.25">
      <c r="B13" s="658">
        <v>50</v>
      </c>
      <c r="C13" s="674" t="s">
        <v>315</v>
      </c>
      <c r="D13" s="672">
        <v>0</v>
      </c>
      <c r="E13" s="672">
        <v>0</v>
      </c>
      <c r="F13" s="672">
        <v>0</v>
      </c>
      <c r="G13" s="673">
        <v>0</v>
      </c>
      <c r="I13" s="696">
        <v>50</v>
      </c>
      <c r="J13" s="694" t="s">
        <v>315</v>
      </c>
      <c r="K13" s="694">
        <v>0</v>
      </c>
      <c r="L13" s="694">
        <v>0</v>
      </c>
      <c r="M13" s="694">
        <v>0</v>
      </c>
      <c r="N13" s="695">
        <v>0</v>
      </c>
      <c r="P13" s="696">
        <v>50</v>
      </c>
      <c r="Q13" s="694" t="s">
        <v>315</v>
      </c>
      <c r="R13" s="694">
        <v>0</v>
      </c>
      <c r="S13" s="694">
        <v>0</v>
      </c>
      <c r="T13" s="694">
        <v>0</v>
      </c>
      <c r="U13" s="695">
        <v>0</v>
      </c>
      <c r="W13" s="696">
        <v>50</v>
      </c>
      <c r="X13" s="694" t="s">
        <v>315</v>
      </c>
      <c r="Y13" s="694">
        <v>0</v>
      </c>
      <c r="Z13" s="694">
        <v>0</v>
      </c>
      <c r="AA13" s="694">
        <v>0</v>
      </c>
      <c r="AB13" s="695">
        <v>0</v>
      </c>
      <c r="AD13" s="696">
        <v>50</v>
      </c>
      <c r="AE13" s="694" t="s">
        <v>315</v>
      </c>
      <c r="AF13" s="694">
        <v>0</v>
      </c>
      <c r="AG13" s="694">
        <v>0</v>
      </c>
      <c r="AH13" s="694">
        <v>0</v>
      </c>
      <c r="AI13" s="695">
        <v>0</v>
      </c>
      <c r="AK13" s="696">
        <v>50</v>
      </c>
      <c r="AL13" s="694" t="s">
        <v>315</v>
      </c>
      <c r="AM13" s="694">
        <v>0</v>
      </c>
      <c r="AN13" s="694">
        <v>0</v>
      </c>
      <c r="AO13" s="694">
        <v>0</v>
      </c>
      <c r="AP13" s="695">
        <v>0</v>
      </c>
    </row>
    <row r="14" spans="1:42" x14ac:dyDescent="0.25">
      <c r="B14" s="658">
        <v>60</v>
      </c>
      <c r="C14" s="674" t="s">
        <v>171</v>
      </c>
      <c r="D14" s="672">
        <v>0</v>
      </c>
      <c r="E14" s="672">
        <v>0</v>
      </c>
      <c r="F14" s="672">
        <v>2386441.3199999998</v>
      </c>
      <c r="G14" s="673">
        <v>2386441.3199999998</v>
      </c>
      <c r="I14" s="696">
        <v>60</v>
      </c>
      <c r="J14" s="694" t="s">
        <v>171</v>
      </c>
      <c r="K14" s="694">
        <v>116342.47</v>
      </c>
      <c r="L14" s="694">
        <v>0</v>
      </c>
      <c r="M14" s="694">
        <v>707647.2</v>
      </c>
      <c r="N14" s="695">
        <v>707647.2</v>
      </c>
      <c r="P14" s="696">
        <v>60</v>
      </c>
      <c r="Q14" s="694" t="s">
        <v>171</v>
      </c>
      <c r="R14" s="694">
        <v>232871.16</v>
      </c>
      <c r="S14" s="694">
        <v>0</v>
      </c>
      <c r="T14" s="694">
        <v>1315836.8</v>
      </c>
      <c r="U14" s="695">
        <v>1315836.8</v>
      </c>
      <c r="W14" s="696">
        <v>60</v>
      </c>
      <c r="X14" s="694" t="s">
        <v>171</v>
      </c>
      <c r="Y14" s="694">
        <v>64520.42</v>
      </c>
      <c r="Z14" s="694">
        <v>0</v>
      </c>
      <c r="AA14" s="694">
        <v>436599.4</v>
      </c>
      <c r="AB14" s="695">
        <v>436599.4</v>
      </c>
      <c r="AD14" s="696">
        <v>60</v>
      </c>
      <c r="AE14" s="694" t="s">
        <v>171</v>
      </c>
      <c r="AF14" s="694">
        <v>105458.77</v>
      </c>
      <c r="AG14" s="694">
        <v>0</v>
      </c>
      <c r="AH14" s="694">
        <v>654011.46</v>
      </c>
      <c r="AI14" s="695">
        <v>654011.46</v>
      </c>
      <c r="AK14" s="696">
        <v>60</v>
      </c>
      <c r="AL14" s="694" t="s">
        <v>171</v>
      </c>
      <c r="AM14" s="694">
        <v>130238.75</v>
      </c>
      <c r="AN14" s="694">
        <v>0</v>
      </c>
      <c r="AO14" s="694">
        <v>722995.86</v>
      </c>
      <c r="AP14" s="695">
        <v>722995.86</v>
      </c>
    </row>
    <row r="15" spans="1:42" x14ac:dyDescent="0.25">
      <c r="B15" s="658">
        <v>70</v>
      </c>
      <c r="C15" s="674" t="s">
        <v>172</v>
      </c>
      <c r="D15" s="672">
        <v>366.57</v>
      </c>
      <c r="E15" s="672">
        <v>0</v>
      </c>
      <c r="F15" s="672">
        <v>1764887.05</v>
      </c>
      <c r="G15" s="673">
        <v>1764887.05</v>
      </c>
      <c r="I15" s="696">
        <v>70</v>
      </c>
      <c r="J15" s="694" t="s">
        <v>172</v>
      </c>
      <c r="K15" s="694">
        <v>111161.41</v>
      </c>
      <c r="L15" s="694">
        <v>0</v>
      </c>
      <c r="M15" s="694">
        <v>652498.12</v>
      </c>
      <c r="N15" s="695">
        <v>652498.12</v>
      </c>
      <c r="P15" s="696">
        <v>70</v>
      </c>
      <c r="Q15" s="694" t="s">
        <v>172</v>
      </c>
      <c r="R15" s="694">
        <v>196875.32</v>
      </c>
      <c r="S15" s="694">
        <v>0</v>
      </c>
      <c r="T15" s="694">
        <v>1185357.49</v>
      </c>
      <c r="U15" s="695">
        <v>1185357.49</v>
      </c>
      <c r="W15" s="696">
        <v>70</v>
      </c>
      <c r="X15" s="694" t="s">
        <v>172</v>
      </c>
      <c r="Y15" s="694">
        <v>77326.92</v>
      </c>
      <c r="Z15" s="694">
        <v>0</v>
      </c>
      <c r="AA15" s="694">
        <v>452488.56</v>
      </c>
      <c r="AB15" s="695">
        <v>452488.56</v>
      </c>
      <c r="AD15" s="696">
        <v>70</v>
      </c>
      <c r="AE15" s="694" t="s">
        <v>172</v>
      </c>
      <c r="AF15" s="694">
        <v>95614.88</v>
      </c>
      <c r="AG15" s="694">
        <v>0</v>
      </c>
      <c r="AH15" s="694">
        <v>576848.73</v>
      </c>
      <c r="AI15" s="695">
        <v>576848.73</v>
      </c>
      <c r="AK15" s="696">
        <v>70</v>
      </c>
      <c r="AL15" s="694" t="s">
        <v>172</v>
      </c>
      <c r="AM15" s="694">
        <v>21589.05</v>
      </c>
      <c r="AN15" s="694">
        <v>0</v>
      </c>
      <c r="AO15" s="694">
        <v>67033.59</v>
      </c>
      <c r="AP15" s="695">
        <v>67033.59</v>
      </c>
    </row>
    <row r="16" spans="1:42" x14ac:dyDescent="0.25">
      <c r="A16" s="6"/>
      <c r="B16" s="658">
        <v>80</v>
      </c>
      <c r="C16" s="674" t="s">
        <v>316</v>
      </c>
      <c r="D16" s="672">
        <v>8584.14</v>
      </c>
      <c r="E16" s="672">
        <v>0</v>
      </c>
      <c r="F16" s="672">
        <v>425409.72</v>
      </c>
      <c r="G16" s="673">
        <v>425409.72</v>
      </c>
      <c r="I16" s="696">
        <v>80</v>
      </c>
      <c r="J16" s="694" t="s">
        <v>316</v>
      </c>
      <c r="K16" s="694">
        <v>8875.65</v>
      </c>
      <c r="L16" s="694">
        <v>0</v>
      </c>
      <c r="M16" s="694">
        <v>67551.039999999994</v>
      </c>
      <c r="N16" s="695">
        <v>67551.039999999994</v>
      </c>
      <c r="P16" s="696">
        <v>80</v>
      </c>
      <c r="Q16" s="694" t="s">
        <v>316</v>
      </c>
      <c r="R16" s="694">
        <v>10742.09</v>
      </c>
      <c r="S16" s="694">
        <v>0</v>
      </c>
      <c r="T16" s="694">
        <v>86014.9</v>
      </c>
      <c r="U16" s="695">
        <v>86014.9</v>
      </c>
      <c r="W16" s="696">
        <v>80</v>
      </c>
      <c r="X16" s="694" t="s">
        <v>316</v>
      </c>
      <c r="Y16" s="694">
        <v>10806.91</v>
      </c>
      <c r="Z16" s="694">
        <v>0</v>
      </c>
      <c r="AA16" s="694">
        <v>82873.14</v>
      </c>
      <c r="AB16" s="695">
        <v>82873.14</v>
      </c>
      <c r="AD16" s="696">
        <v>80</v>
      </c>
      <c r="AE16" s="694" t="s">
        <v>316</v>
      </c>
      <c r="AF16" s="694">
        <v>13566.36</v>
      </c>
      <c r="AG16" s="694">
        <v>0</v>
      </c>
      <c r="AH16" s="694">
        <v>105791.79</v>
      </c>
      <c r="AI16" s="695">
        <v>105791.79</v>
      </c>
      <c r="AK16" s="696">
        <v>80</v>
      </c>
      <c r="AL16" s="694" t="s">
        <v>316</v>
      </c>
      <c r="AM16" s="694">
        <v>22.62</v>
      </c>
      <c r="AN16" s="694">
        <v>0</v>
      </c>
      <c r="AO16" s="694">
        <v>107.47</v>
      </c>
      <c r="AP16" s="695">
        <v>107.47</v>
      </c>
    </row>
    <row r="17" spans="2:42" x14ac:dyDescent="0.25">
      <c r="B17" s="658">
        <v>90</v>
      </c>
      <c r="C17" s="674" t="s">
        <v>317</v>
      </c>
      <c r="D17" s="672">
        <v>0</v>
      </c>
      <c r="E17" s="672">
        <v>0</v>
      </c>
      <c r="F17" s="672">
        <v>61529.2</v>
      </c>
      <c r="G17" s="673">
        <v>61529.2</v>
      </c>
      <c r="I17" s="696">
        <v>90</v>
      </c>
      <c r="J17" s="694" t="s">
        <v>317</v>
      </c>
      <c r="K17" s="694">
        <v>1863.32</v>
      </c>
      <c r="L17" s="694">
        <v>0</v>
      </c>
      <c r="M17" s="694">
        <v>10423.64</v>
      </c>
      <c r="N17" s="695">
        <v>10423.64</v>
      </c>
      <c r="P17" s="696">
        <v>90</v>
      </c>
      <c r="Q17" s="694" t="s">
        <v>317</v>
      </c>
      <c r="R17" s="694">
        <v>3089.31</v>
      </c>
      <c r="S17" s="694">
        <v>0</v>
      </c>
      <c r="T17" s="694">
        <v>17280.36</v>
      </c>
      <c r="U17" s="695">
        <v>17280.36</v>
      </c>
      <c r="W17" s="696">
        <v>90</v>
      </c>
      <c r="X17" s="694" t="s">
        <v>317</v>
      </c>
      <c r="Y17" s="694">
        <v>9241.76</v>
      </c>
      <c r="Z17" s="694">
        <v>0</v>
      </c>
      <c r="AA17" s="694">
        <v>55450.559999999998</v>
      </c>
      <c r="AB17" s="695">
        <v>55450.559999999998</v>
      </c>
      <c r="AD17" s="696">
        <v>90</v>
      </c>
      <c r="AE17" s="694" t="s">
        <v>317</v>
      </c>
      <c r="AF17" s="694">
        <v>5119.0200000000004</v>
      </c>
      <c r="AG17" s="694">
        <v>0</v>
      </c>
      <c r="AH17" s="694">
        <v>69133.56</v>
      </c>
      <c r="AI17" s="695">
        <v>69133.56</v>
      </c>
      <c r="AK17" s="696">
        <v>90</v>
      </c>
      <c r="AL17" s="694" t="s">
        <v>317</v>
      </c>
      <c r="AM17" s="694">
        <v>21002.41</v>
      </c>
      <c r="AN17" s="694">
        <v>0</v>
      </c>
      <c r="AO17" s="694">
        <v>126014.46</v>
      </c>
      <c r="AP17" s="695">
        <v>126014.46</v>
      </c>
    </row>
    <row r="18" spans="2:42" x14ac:dyDescent="0.25">
      <c r="B18" s="658">
        <v>100</v>
      </c>
      <c r="C18" s="674" t="s">
        <v>318</v>
      </c>
      <c r="D18" s="672">
        <v>-8950.7099999999991</v>
      </c>
      <c r="E18" s="672">
        <v>0</v>
      </c>
      <c r="F18" s="672">
        <v>134615.35</v>
      </c>
      <c r="G18" s="673">
        <v>134615.35</v>
      </c>
      <c r="I18" s="696">
        <v>100</v>
      </c>
      <c r="J18" s="694" t="s">
        <v>318</v>
      </c>
      <c r="K18" s="694">
        <v>-5557.91</v>
      </c>
      <c r="L18" s="694">
        <v>0</v>
      </c>
      <c r="M18" s="694">
        <v>-22825.599999999999</v>
      </c>
      <c r="N18" s="695">
        <v>-22825.599999999999</v>
      </c>
      <c r="P18" s="696">
        <v>100</v>
      </c>
      <c r="Q18" s="694" t="s">
        <v>318</v>
      </c>
      <c r="R18" s="694">
        <v>22164.44</v>
      </c>
      <c r="S18" s="694">
        <v>0</v>
      </c>
      <c r="T18" s="694">
        <v>27184.05</v>
      </c>
      <c r="U18" s="695">
        <v>27184.05</v>
      </c>
      <c r="W18" s="696">
        <v>100</v>
      </c>
      <c r="X18" s="694" t="s">
        <v>318</v>
      </c>
      <c r="Y18" s="694">
        <v>-32855.17</v>
      </c>
      <c r="Z18" s="694">
        <v>0</v>
      </c>
      <c r="AA18" s="694">
        <v>-154212.85999999999</v>
      </c>
      <c r="AB18" s="695">
        <v>-154212.85999999999</v>
      </c>
      <c r="AD18" s="696">
        <v>100</v>
      </c>
      <c r="AE18" s="694" t="s">
        <v>318</v>
      </c>
      <c r="AF18" s="694">
        <v>-8841.49</v>
      </c>
      <c r="AG18" s="694">
        <v>0</v>
      </c>
      <c r="AH18" s="694">
        <v>-97762.62</v>
      </c>
      <c r="AI18" s="695">
        <v>-97762.62</v>
      </c>
      <c r="AK18" s="696">
        <v>100</v>
      </c>
      <c r="AL18" s="694" t="s">
        <v>318</v>
      </c>
      <c r="AM18" s="694">
        <v>87624.67</v>
      </c>
      <c r="AN18" s="694">
        <v>0</v>
      </c>
      <c r="AO18" s="694">
        <v>529840.34</v>
      </c>
      <c r="AP18" s="695">
        <v>529840.34</v>
      </c>
    </row>
    <row r="19" spans="2:42" x14ac:dyDescent="0.25">
      <c r="B19" s="658">
        <v>110</v>
      </c>
      <c r="C19" s="674" t="s">
        <v>319</v>
      </c>
      <c r="D19" s="672">
        <v>0</v>
      </c>
      <c r="E19" s="672">
        <v>0</v>
      </c>
      <c r="F19" s="672">
        <v>0</v>
      </c>
      <c r="G19" s="673">
        <v>0</v>
      </c>
      <c r="I19" s="696">
        <v>110</v>
      </c>
      <c r="J19" s="694" t="s">
        <v>319</v>
      </c>
      <c r="K19" s="694">
        <v>0</v>
      </c>
      <c r="L19" s="694">
        <v>0</v>
      </c>
      <c r="M19" s="694">
        <v>0</v>
      </c>
      <c r="N19" s="695">
        <v>0</v>
      </c>
      <c r="P19" s="696">
        <v>110</v>
      </c>
      <c r="Q19" s="694" t="s">
        <v>319</v>
      </c>
      <c r="R19" s="694">
        <v>0</v>
      </c>
      <c r="S19" s="694">
        <v>0</v>
      </c>
      <c r="T19" s="694">
        <v>0</v>
      </c>
      <c r="U19" s="695">
        <v>0</v>
      </c>
      <c r="W19" s="696">
        <v>110</v>
      </c>
      <c r="X19" s="694" t="s">
        <v>319</v>
      </c>
      <c r="Y19" s="694">
        <v>0</v>
      </c>
      <c r="Z19" s="694">
        <v>0</v>
      </c>
      <c r="AA19" s="694">
        <v>0</v>
      </c>
      <c r="AB19" s="695">
        <v>0</v>
      </c>
      <c r="AD19" s="696">
        <v>110</v>
      </c>
      <c r="AE19" s="694" t="s">
        <v>319</v>
      </c>
      <c r="AF19" s="694">
        <v>0</v>
      </c>
      <c r="AG19" s="694">
        <v>0</v>
      </c>
      <c r="AH19" s="694">
        <v>0</v>
      </c>
      <c r="AI19" s="695">
        <v>0</v>
      </c>
      <c r="AK19" s="696">
        <v>110</v>
      </c>
      <c r="AL19" s="694" t="s">
        <v>319</v>
      </c>
      <c r="AM19" s="694">
        <v>0</v>
      </c>
      <c r="AN19" s="694">
        <v>0</v>
      </c>
      <c r="AO19" s="694">
        <v>0</v>
      </c>
      <c r="AP19" s="695">
        <v>0</v>
      </c>
    </row>
    <row r="20" spans="2:42" x14ac:dyDescent="0.25">
      <c r="B20" s="658">
        <v>120</v>
      </c>
      <c r="C20" s="674" t="s">
        <v>320</v>
      </c>
      <c r="D20" s="672">
        <v>-4279.1400000000003</v>
      </c>
      <c r="E20" s="672">
        <v>0</v>
      </c>
      <c r="F20" s="672">
        <v>-150842.14000000001</v>
      </c>
      <c r="G20" s="673">
        <v>-150842.14000000001</v>
      </c>
      <c r="I20" s="696">
        <v>120</v>
      </c>
      <c r="J20" s="694" t="s">
        <v>320</v>
      </c>
      <c r="K20" s="694">
        <v>-1780.21</v>
      </c>
      <c r="L20" s="694">
        <v>0</v>
      </c>
      <c r="M20" s="694">
        <v>-9394.6200000000008</v>
      </c>
      <c r="N20" s="695">
        <v>-9394.6200000000008</v>
      </c>
      <c r="P20" s="696">
        <v>120</v>
      </c>
      <c r="Q20" s="694" t="s">
        <v>320</v>
      </c>
      <c r="R20" s="694">
        <v>-2748.94</v>
      </c>
      <c r="S20" s="694">
        <v>0</v>
      </c>
      <c r="T20" s="694">
        <v>-18278.939999999999</v>
      </c>
      <c r="U20" s="695">
        <v>-18278.939999999999</v>
      </c>
      <c r="W20" s="696">
        <v>120</v>
      </c>
      <c r="X20" s="694" t="s">
        <v>320</v>
      </c>
      <c r="Y20" s="694">
        <v>-4789.47</v>
      </c>
      <c r="Z20" s="694">
        <v>0</v>
      </c>
      <c r="AA20" s="694">
        <v>-14057.86</v>
      </c>
      <c r="AB20" s="695">
        <v>-14057.86</v>
      </c>
      <c r="AD20" s="696">
        <v>120</v>
      </c>
      <c r="AE20" s="694" t="s">
        <v>320</v>
      </c>
      <c r="AF20" s="694">
        <v>-6492.38</v>
      </c>
      <c r="AG20" s="694">
        <v>0</v>
      </c>
      <c r="AH20" s="694">
        <v>-15731.13</v>
      </c>
      <c r="AI20" s="695">
        <v>-15731.13</v>
      </c>
      <c r="AK20" s="696">
        <v>120</v>
      </c>
      <c r="AL20" s="694" t="s">
        <v>320</v>
      </c>
      <c r="AM20" s="694">
        <v>374.23</v>
      </c>
      <c r="AN20" s="694">
        <v>0</v>
      </c>
      <c r="AO20" s="694">
        <v>1930.24</v>
      </c>
      <c r="AP20" s="695">
        <v>1930.24</v>
      </c>
    </row>
    <row r="21" spans="2:42" x14ac:dyDescent="0.25">
      <c r="B21" s="658">
        <v>130</v>
      </c>
      <c r="C21" s="674" t="s">
        <v>321</v>
      </c>
      <c r="D21" s="672">
        <v>0</v>
      </c>
      <c r="E21" s="672">
        <v>0</v>
      </c>
      <c r="F21" s="672">
        <v>118642.76</v>
      </c>
      <c r="G21" s="673">
        <v>118642.76</v>
      </c>
      <c r="I21" s="696">
        <v>130</v>
      </c>
      <c r="J21" s="694" t="s">
        <v>321</v>
      </c>
      <c r="K21" s="694">
        <v>0</v>
      </c>
      <c r="L21" s="694">
        <v>0</v>
      </c>
      <c r="M21" s="694">
        <v>4088.67</v>
      </c>
      <c r="N21" s="695">
        <v>4088.67</v>
      </c>
      <c r="P21" s="696">
        <v>130</v>
      </c>
      <c r="Q21" s="694" t="s">
        <v>321</v>
      </c>
      <c r="R21" s="694">
        <v>18223.93</v>
      </c>
      <c r="S21" s="694">
        <v>0</v>
      </c>
      <c r="T21" s="694">
        <v>116523.83</v>
      </c>
      <c r="U21" s="695">
        <v>116523.83</v>
      </c>
      <c r="W21" s="696">
        <v>130</v>
      </c>
      <c r="X21" s="694" t="s">
        <v>321</v>
      </c>
      <c r="Y21" s="694">
        <v>0</v>
      </c>
      <c r="Z21" s="694">
        <v>0</v>
      </c>
      <c r="AA21" s="694">
        <v>0</v>
      </c>
      <c r="AB21" s="695">
        <v>0</v>
      </c>
      <c r="AD21" s="696">
        <v>130</v>
      </c>
      <c r="AE21" s="694" t="s">
        <v>321</v>
      </c>
      <c r="AF21" s="694">
        <v>0</v>
      </c>
      <c r="AG21" s="694">
        <v>0</v>
      </c>
      <c r="AH21" s="694">
        <v>0</v>
      </c>
      <c r="AI21" s="695">
        <v>0</v>
      </c>
      <c r="AK21" s="696">
        <v>130</v>
      </c>
      <c r="AL21" s="694" t="s">
        <v>321</v>
      </c>
      <c r="AM21" s="694">
        <v>29461.16</v>
      </c>
      <c r="AN21" s="694">
        <v>0</v>
      </c>
      <c r="AO21" s="694">
        <v>192292.17</v>
      </c>
      <c r="AP21" s="695">
        <v>192292.17</v>
      </c>
    </row>
    <row r="22" spans="2:42" x14ac:dyDescent="0.25">
      <c r="B22" s="658">
        <v>140</v>
      </c>
      <c r="C22" s="674" t="s">
        <v>322</v>
      </c>
      <c r="D22" s="672">
        <v>0</v>
      </c>
      <c r="E22" s="672">
        <v>0</v>
      </c>
      <c r="F22" s="672">
        <v>0</v>
      </c>
      <c r="G22" s="673">
        <v>0</v>
      </c>
      <c r="I22" s="696">
        <v>140</v>
      </c>
      <c r="J22" s="694" t="s">
        <v>322</v>
      </c>
      <c r="K22" s="694">
        <v>0</v>
      </c>
      <c r="L22" s="694">
        <v>0</v>
      </c>
      <c r="M22" s="694">
        <v>0</v>
      </c>
      <c r="N22" s="695">
        <v>0</v>
      </c>
      <c r="P22" s="696">
        <v>140</v>
      </c>
      <c r="Q22" s="694" t="s">
        <v>322</v>
      </c>
      <c r="R22" s="694">
        <v>0</v>
      </c>
      <c r="S22" s="694">
        <v>0</v>
      </c>
      <c r="T22" s="694">
        <v>0</v>
      </c>
      <c r="U22" s="695">
        <v>0</v>
      </c>
      <c r="W22" s="696">
        <v>140</v>
      </c>
      <c r="X22" s="694" t="s">
        <v>322</v>
      </c>
      <c r="Y22" s="694">
        <v>0</v>
      </c>
      <c r="Z22" s="694">
        <v>0</v>
      </c>
      <c r="AA22" s="694">
        <v>0</v>
      </c>
      <c r="AB22" s="695">
        <v>0</v>
      </c>
      <c r="AD22" s="696">
        <v>140</v>
      </c>
      <c r="AE22" s="694" t="s">
        <v>322</v>
      </c>
      <c r="AF22" s="694">
        <v>0</v>
      </c>
      <c r="AG22" s="694">
        <v>0</v>
      </c>
      <c r="AH22" s="694">
        <v>0</v>
      </c>
      <c r="AI22" s="695">
        <v>0</v>
      </c>
      <c r="AK22" s="696">
        <v>140</v>
      </c>
      <c r="AL22" s="694" t="s">
        <v>322</v>
      </c>
      <c r="AM22" s="694">
        <v>0</v>
      </c>
      <c r="AN22" s="694">
        <v>0</v>
      </c>
      <c r="AO22" s="694">
        <v>0</v>
      </c>
      <c r="AP22" s="695">
        <v>0</v>
      </c>
    </row>
    <row r="23" spans="2:42" x14ac:dyDescent="0.25">
      <c r="B23" s="658">
        <v>145</v>
      </c>
      <c r="C23" s="674" t="s">
        <v>173</v>
      </c>
      <c r="D23" s="672">
        <v>-4279.1400000000003</v>
      </c>
      <c r="E23" s="672">
        <v>0</v>
      </c>
      <c r="F23" s="672">
        <v>-32199.38</v>
      </c>
      <c r="G23" s="673">
        <v>-32199.38</v>
      </c>
      <c r="I23" s="696">
        <v>145</v>
      </c>
      <c r="J23" s="694" t="s">
        <v>173</v>
      </c>
      <c r="K23" s="694">
        <v>-1780.21</v>
      </c>
      <c r="L23" s="694">
        <v>0</v>
      </c>
      <c r="M23" s="694">
        <v>-5305.95</v>
      </c>
      <c r="N23" s="695">
        <v>-5305.95</v>
      </c>
      <c r="P23" s="696">
        <v>145</v>
      </c>
      <c r="Q23" s="694" t="s">
        <v>173</v>
      </c>
      <c r="R23" s="694">
        <v>15474.99</v>
      </c>
      <c r="S23" s="694">
        <v>0</v>
      </c>
      <c r="T23" s="694">
        <v>98244.89</v>
      </c>
      <c r="U23" s="695">
        <v>98244.89</v>
      </c>
      <c r="W23" s="696">
        <v>145</v>
      </c>
      <c r="X23" s="694" t="s">
        <v>173</v>
      </c>
      <c r="Y23" s="694">
        <v>-4789.47</v>
      </c>
      <c r="Z23" s="694">
        <v>0</v>
      </c>
      <c r="AA23" s="694">
        <v>-14057.86</v>
      </c>
      <c r="AB23" s="695">
        <v>-14057.86</v>
      </c>
      <c r="AD23" s="696">
        <v>145</v>
      </c>
      <c r="AE23" s="694" t="s">
        <v>173</v>
      </c>
      <c r="AF23" s="694">
        <v>-6492.38</v>
      </c>
      <c r="AG23" s="694">
        <v>0</v>
      </c>
      <c r="AH23" s="694">
        <v>-15731.13</v>
      </c>
      <c r="AI23" s="695">
        <v>-15731.13</v>
      </c>
      <c r="AK23" s="696">
        <v>145</v>
      </c>
      <c r="AL23" s="694" t="s">
        <v>173</v>
      </c>
      <c r="AM23" s="694">
        <v>29835.39</v>
      </c>
      <c r="AN23" s="694">
        <v>0</v>
      </c>
      <c r="AO23" s="694">
        <v>194222.41</v>
      </c>
      <c r="AP23" s="695">
        <v>194222.41</v>
      </c>
    </row>
    <row r="24" spans="2:42" x14ac:dyDescent="0.25">
      <c r="B24" s="658">
        <v>150</v>
      </c>
      <c r="C24" s="674" t="s">
        <v>323</v>
      </c>
      <c r="D24" s="672">
        <v>-4671.57</v>
      </c>
      <c r="E24" s="672">
        <v>0</v>
      </c>
      <c r="F24" s="672">
        <v>166814.73000000001</v>
      </c>
      <c r="G24" s="673">
        <v>166814.73000000001</v>
      </c>
      <c r="I24" s="696">
        <v>150</v>
      </c>
      <c r="J24" s="694" t="s">
        <v>323</v>
      </c>
      <c r="K24" s="694">
        <v>-3777.7</v>
      </c>
      <c r="L24" s="694">
        <v>0</v>
      </c>
      <c r="M24" s="694">
        <v>-17519.650000000001</v>
      </c>
      <c r="N24" s="695">
        <v>-17519.650000000001</v>
      </c>
      <c r="P24" s="696">
        <v>150</v>
      </c>
      <c r="Q24" s="694" t="s">
        <v>323</v>
      </c>
      <c r="R24" s="694">
        <v>6689.45</v>
      </c>
      <c r="S24" s="694">
        <v>0</v>
      </c>
      <c r="T24" s="694">
        <v>-71060.84</v>
      </c>
      <c r="U24" s="695">
        <v>-71060.84</v>
      </c>
      <c r="W24" s="696">
        <v>150</v>
      </c>
      <c r="X24" s="694" t="s">
        <v>323</v>
      </c>
      <c r="Y24" s="694">
        <v>-28065.7</v>
      </c>
      <c r="Z24" s="694">
        <v>0</v>
      </c>
      <c r="AA24" s="694">
        <v>-140155</v>
      </c>
      <c r="AB24" s="695">
        <v>-140155</v>
      </c>
      <c r="AD24" s="696">
        <v>150</v>
      </c>
      <c r="AE24" s="694" t="s">
        <v>323</v>
      </c>
      <c r="AF24" s="694">
        <v>-2349.11</v>
      </c>
      <c r="AG24" s="694">
        <v>0</v>
      </c>
      <c r="AH24" s="694">
        <v>-82031.490000000005</v>
      </c>
      <c r="AI24" s="695">
        <v>-82031.490000000005</v>
      </c>
      <c r="AK24" s="696">
        <v>150</v>
      </c>
      <c r="AL24" s="694" t="s">
        <v>323</v>
      </c>
      <c r="AM24" s="694">
        <v>57789.279999999999</v>
      </c>
      <c r="AN24" s="694">
        <v>0</v>
      </c>
      <c r="AO24" s="694">
        <v>335617.93</v>
      </c>
      <c r="AP24" s="695">
        <v>335617.93</v>
      </c>
    </row>
    <row r="25" spans="2:42" x14ac:dyDescent="0.25">
      <c r="B25" s="658">
        <v>160</v>
      </c>
      <c r="C25" s="674" t="s">
        <v>174</v>
      </c>
      <c r="D25" s="672">
        <v>0</v>
      </c>
      <c r="E25" s="672">
        <v>0</v>
      </c>
      <c r="F25" s="672">
        <v>12436.39</v>
      </c>
      <c r="G25" s="673">
        <v>12436.39</v>
      </c>
      <c r="I25" s="696">
        <v>160</v>
      </c>
      <c r="J25" s="694" t="s">
        <v>174</v>
      </c>
      <c r="K25" s="694">
        <v>0</v>
      </c>
      <c r="L25" s="694">
        <v>0</v>
      </c>
      <c r="M25" s="694">
        <v>0</v>
      </c>
      <c r="N25" s="695">
        <v>0</v>
      </c>
      <c r="P25" s="696">
        <v>160</v>
      </c>
      <c r="Q25" s="694" t="s">
        <v>174</v>
      </c>
      <c r="R25" s="694">
        <v>0</v>
      </c>
      <c r="S25" s="694">
        <v>0</v>
      </c>
      <c r="T25" s="694">
        <v>0</v>
      </c>
      <c r="U25" s="695">
        <v>0</v>
      </c>
      <c r="W25" s="696">
        <v>160</v>
      </c>
      <c r="X25" s="694" t="s">
        <v>174</v>
      </c>
      <c r="Y25" s="694">
        <v>0</v>
      </c>
      <c r="Z25" s="694">
        <v>0</v>
      </c>
      <c r="AA25" s="694">
        <v>0</v>
      </c>
      <c r="AB25" s="695">
        <v>0</v>
      </c>
      <c r="AD25" s="696">
        <v>160</v>
      </c>
      <c r="AE25" s="694" t="s">
        <v>174</v>
      </c>
      <c r="AF25" s="694">
        <v>0</v>
      </c>
      <c r="AG25" s="694">
        <v>0</v>
      </c>
      <c r="AH25" s="694">
        <v>0</v>
      </c>
      <c r="AI25" s="695">
        <v>0</v>
      </c>
      <c r="AK25" s="696">
        <v>160</v>
      </c>
      <c r="AL25" s="694" t="s">
        <v>174</v>
      </c>
      <c r="AM25" s="694">
        <v>-4</v>
      </c>
      <c r="AN25" s="694">
        <v>0</v>
      </c>
      <c r="AO25" s="694">
        <v>30545</v>
      </c>
      <c r="AP25" s="695">
        <v>30545</v>
      </c>
    </row>
    <row r="26" spans="2:42" ht="13" x14ac:dyDescent="0.3">
      <c r="B26" s="662">
        <v>170</v>
      </c>
      <c r="C26" s="671" t="s">
        <v>175</v>
      </c>
      <c r="D26" s="675">
        <v>-4671.57</v>
      </c>
      <c r="E26" s="675">
        <v>0</v>
      </c>
      <c r="F26" s="675">
        <v>154378.34</v>
      </c>
      <c r="G26" s="676">
        <v>154378.34</v>
      </c>
      <c r="I26" s="692">
        <v>170</v>
      </c>
      <c r="J26" s="693" t="s">
        <v>175</v>
      </c>
      <c r="K26" s="693">
        <v>-3777.7</v>
      </c>
      <c r="L26" s="693">
        <v>0</v>
      </c>
      <c r="M26" s="693">
        <v>-17519.650000000001</v>
      </c>
      <c r="N26" s="697">
        <v>-17519.650000000001</v>
      </c>
      <c r="P26" s="692">
        <v>170</v>
      </c>
      <c r="Q26" s="693" t="s">
        <v>175</v>
      </c>
      <c r="R26" s="693">
        <v>6689.45</v>
      </c>
      <c r="S26" s="693">
        <v>0</v>
      </c>
      <c r="T26" s="693">
        <v>-71060.84</v>
      </c>
      <c r="U26" s="697">
        <v>-71060.84</v>
      </c>
      <c r="W26" s="692">
        <v>170</v>
      </c>
      <c r="X26" s="693" t="s">
        <v>175</v>
      </c>
      <c r="Y26" s="693">
        <v>-28065.7</v>
      </c>
      <c r="Z26" s="693">
        <v>0</v>
      </c>
      <c r="AA26" s="693">
        <v>-140155</v>
      </c>
      <c r="AB26" s="697">
        <v>-140155</v>
      </c>
      <c r="AD26" s="692">
        <v>170</v>
      </c>
      <c r="AE26" s="693" t="s">
        <v>175</v>
      </c>
      <c r="AF26" s="693">
        <v>-2349.11</v>
      </c>
      <c r="AG26" s="693">
        <v>0</v>
      </c>
      <c r="AH26" s="693">
        <v>-82031.490000000005</v>
      </c>
      <c r="AI26" s="697">
        <v>-82031.490000000005</v>
      </c>
      <c r="AK26" s="692">
        <v>170</v>
      </c>
      <c r="AL26" s="693" t="s">
        <v>175</v>
      </c>
      <c r="AM26" s="693">
        <v>57793.279999999999</v>
      </c>
      <c r="AN26" s="693">
        <v>0</v>
      </c>
      <c r="AO26" s="693">
        <v>305072.93</v>
      </c>
      <c r="AP26" s="697">
        <v>305072.93</v>
      </c>
    </row>
    <row r="27" spans="2:42" ht="13" x14ac:dyDescent="0.3">
      <c r="B27" s="662">
        <v>190</v>
      </c>
      <c r="C27" s="671" t="s">
        <v>324</v>
      </c>
      <c r="D27" s="672">
        <v>0</v>
      </c>
      <c r="E27" s="672">
        <v>0</v>
      </c>
      <c r="F27" s="672">
        <v>0</v>
      </c>
      <c r="G27" s="673">
        <v>0</v>
      </c>
      <c r="I27" s="692">
        <v>190</v>
      </c>
      <c r="J27" s="693" t="s">
        <v>324</v>
      </c>
      <c r="K27" s="694">
        <v>0</v>
      </c>
      <c r="L27" s="694">
        <v>0</v>
      </c>
      <c r="M27" s="694">
        <v>0</v>
      </c>
      <c r="N27" s="695">
        <v>0</v>
      </c>
      <c r="P27" s="692">
        <v>190</v>
      </c>
      <c r="Q27" s="693" t="s">
        <v>324</v>
      </c>
      <c r="R27" s="694">
        <v>0</v>
      </c>
      <c r="S27" s="694">
        <v>0</v>
      </c>
      <c r="T27" s="694">
        <v>0</v>
      </c>
      <c r="U27" s="695">
        <v>0</v>
      </c>
      <c r="W27" s="692">
        <v>190</v>
      </c>
      <c r="X27" s="693" t="s">
        <v>324</v>
      </c>
      <c r="Y27" s="694">
        <v>0</v>
      </c>
      <c r="Z27" s="694">
        <v>0</v>
      </c>
      <c r="AA27" s="694">
        <v>0</v>
      </c>
      <c r="AB27" s="695">
        <v>0</v>
      </c>
      <c r="AD27" s="692">
        <v>190</v>
      </c>
      <c r="AE27" s="693" t="s">
        <v>324</v>
      </c>
      <c r="AF27" s="694">
        <v>0</v>
      </c>
      <c r="AG27" s="694">
        <v>0</v>
      </c>
      <c r="AH27" s="694">
        <v>0</v>
      </c>
      <c r="AI27" s="695">
        <v>0</v>
      </c>
      <c r="AK27" s="692">
        <v>190</v>
      </c>
      <c r="AL27" s="693" t="s">
        <v>324</v>
      </c>
      <c r="AM27" s="693">
        <v>0</v>
      </c>
      <c r="AN27" s="693">
        <v>0</v>
      </c>
      <c r="AO27" s="693">
        <v>0</v>
      </c>
      <c r="AP27" s="697">
        <v>0</v>
      </c>
    </row>
    <row r="28" spans="2:42" x14ac:dyDescent="0.25">
      <c r="B28" s="658">
        <v>200</v>
      </c>
      <c r="C28" s="674" t="s">
        <v>175</v>
      </c>
      <c r="D28" s="672">
        <v>-4671.57</v>
      </c>
      <c r="E28" s="672">
        <v>0</v>
      </c>
      <c r="F28" s="672">
        <v>154378.34</v>
      </c>
      <c r="G28" s="673">
        <v>154378.34</v>
      </c>
      <c r="I28" s="696">
        <v>200</v>
      </c>
      <c r="J28" s="694" t="s">
        <v>175</v>
      </c>
      <c r="K28" s="694">
        <v>-3777.7</v>
      </c>
      <c r="L28" s="694">
        <v>0</v>
      </c>
      <c r="M28" s="694">
        <v>-17519.650000000001</v>
      </c>
      <c r="N28" s="695">
        <v>-17519.650000000001</v>
      </c>
      <c r="P28" s="696">
        <v>200</v>
      </c>
      <c r="Q28" s="694" t="s">
        <v>175</v>
      </c>
      <c r="R28" s="694">
        <v>6689.45</v>
      </c>
      <c r="S28" s="694">
        <v>0</v>
      </c>
      <c r="T28" s="694">
        <v>-71060.84</v>
      </c>
      <c r="U28" s="695">
        <v>-71060.84</v>
      </c>
      <c r="W28" s="696">
        <v>200</v>
      </c>
      <c r="X28" s="694" t="s">
        <v>175</v>
      </c>
      <c r="Y28" s="694">
        <v>-28065.7</v>
      </c>
      <c r="Z28" s="694">
        <v>0</v>
      </c>
      <c r="AA28" s="694">
        <v>-140155</v>
      </c>
      <c r="AB28" s="695">
        <v>-140155</v>
      </c>
      <c r="AD28" s="696">
        <v>200</v>
      </c>
      <c r="AE28" s="694" t="s">
        <v>175</v>
      </c>
      <c r="AF28" s="694">
        <v>-2349.11</v>
      </c>
      <c r="AG28" s="694">
        <v>0</v>
      </c>
      <c r="AH28" s="694">
        <v>-82031.490000000005</v>
      </c>
      <c r="AI28" s="695">
        <v>-82031.490000000005</v>
      </c>
      <c r="AK28" s="696">
        <v>200</v>
      </c>
      <c r="AL28" s="694" t="s">
        <v>175</v>
      </c>
      <c r="AM28" s="694">
        <v>57793.279999999999</v>
      </c>
      <c r="AN28" s="694">
        <v>0</v>
      </c>
      <c r="AO28" s="694">
        <v>305072.93</v>
      </c>
      <c r="AP28" s="695">
        <v>305072.93</v>
      </c>
    </row>
    <row r="29" spans="2:42" x14ac:dyDescent="0.25">
      <c r="B29" s="658">
        <v>210</v>
      </c>
      <c r="C29" s="674" t="s">
        <v>126</v>
      </c>
      <c r="D29" s="672">
        <v>-4671.57</v>
      </c>
      <c r="E29" s="672">
        <v>0</v>
      </c>
      <c r="F29" s="672">
        <v>154378.34</v>
      </c>
      <c r="G29" s="673">
        <v>154378.34</v>
      </c>
      <c r="I29" s="696">
        <v>210</v>
      </c>
      <c r="J29" s="694" t="s">
        <v>126</v>
      </c>
      <c r="K29" s="694">
        <v>-3777.7</v>
      </c>
      <c r="L29" s="694">
        <v>0</v>
      </c>
      <c r="M29" s="694">
        <v>-17519.650000000001</v>
      </c>
      <c r="N29" s="695">
        <v>-17519.650000000001</v>
      </c>
      <c r="P29" s="696">
        <v>210</v>
      </c>
      <c r="Q29" s="694" t="s">
        <v>126</v>
      </c>
      <c r="R29" s="694">
        <v>6689.45</v>
      </c>
      <c r="S29" s="694">
        <v>0</v>
      </c>
      <c r="T29" s="694">
        <v>-71060.84</v>
      </c>
      <c r="U29" s="695">
        <v>-71060.84</v>
      </c>
      <c r="W29" s="696">
        <v>210</v>
      </c>
      <c r="X29" s="694" t="s">
        <v>126</v>
      </c>
      <c r="Y29" s="694">
        <v>-28065.7</v>
      </c>
      <c r="Z29" s="694">
        <v>0</v>
      </c>
      <c r="AA29" s="694">
        <v>-140155</v>
      </c>
      <c r="AB29" s="695">
        <v>-140155</v>
      </c>
      <c r="AD29" s="696">
        <v>210</v>
      </c>
      <c r="AE29" s="694" t="s">
        <v>126</v>
      </c>
      <c r="AF29" s="694">
        <v>-2349.11</v>
      </c>
      <c r="AG29" s="694">
        <v>0</v>
      </c>
      <c r="AH29" s="694">
        <v>-82031.490000000005</v>
      </c>
      <c r="AI29" s="695">
        <v>-82031.490000000005</v>
      </c>
      <c r="AK29" s="696">
        <v>210</v>
      </c>
      <c r="AL29" s="694" t="s">
        <v>126</v>
      </c>
      <c r="AM29" s="694">
        <v>57793.279999999999</v>
      </c>
      <c r="AN29" s="694">
        <v>0</v>
      </c>
      <c r="AO29" s="694">
        <v>305072.93</v>
      </c>
      <c r="AP29" s="695">
        <v>305072.93</v>
      </c>
    </row>
    <row r="30" spans="2:42" x14ac:dyDescent="0.25">
      <c r="B30" s="658">
        <v>220</v>
      </c>
      <c r="C30" s="674" t="s">
        <v>176</v>
      </c>
      <c r="D30" s="672">
        <v>0</v>
      </c>
      <c r="E30" s="672">
        <v>0</v>
      </c>
      <c r="F30" s="672">
        <v>0</v>
      </c>
      <c r="G30" s="673">
        <v>0</v>
      </c>
      <c r="I30" s="696">
        <v>220</v>
      </c>
      <c r="J30" s="694" t="s">
        <v>176</v>
      </c>
      <c r="K30" s="694">
        <v>0</v>
      </c>
      <c r="L30" s="694">
        <v>0</v>
      </c>
      <c r="M30" s="694">
        <v>0</v>
      </c>
      <c r="N30" s="695">
        <v>0</v>
      </c>
      <c r="P30" s="696">
        <v>220</v>
      </c>
      <c r="Q30" s="694" t="s">
        <v>176</v>
      </c>
      <c r="R30" s="694">
        <v>0</v>
      </c>
      <c r="S30" s="694">
        <v>0</v>
      </c>
      <c r="T30" s="694">
        <v>0</v>
      </c>
      <c r="U30" s="695">
        <v>0</v>
      </c>
      <c r="W30" s="696">
        <v>220</v>
      </c>
      <c r="X30" s="694" t="s">
        <v>176</v>
      </c>
      <c r="Y30" s="694">
        <v>0</v>
      </c>
      <c r="Z30" s="694">
        <v>0</v>
      </c>
      <c r="AA30" s="694">
        <v>0</v>
      </c>
      <c r="AB30" s="695">
        <v>0</v>
      </c>
      <c r="AD30" s="696">
        <v>220</v>
      </c>
      <c r="AE30" s="694" t="s">
        <v>176</v>
      </c>
      <c r="AF30" s="694">
        <v>0</v>
      </c>
      <c r="AG30" s="694">
        <v>0</v>
      </c>
      <c r="AH30" s="694">
        <v>0</v>
      </c>
      <c r="AI30" s="695">
        <v>0</v>
      </c>
      <c r="AK30" s="696">
        <v>220</v>
      </c>
      <c r="AL30" s="694" t="s">
        <v>176</v>
      </c>
      <c r="AM30" s="694">
        <v>0</v>
      </c>
      <c r="AN30" s="694">
        <v>0</v>
      </c>
      <c r="AO30" s="694">
        <v>0</v>
      </c>
      <c r="AP30" s="695">
        <v>0</v>
      </c>
    </row>
    <row r="31" spans="2:42" x14ac:dyDescent="0.25">
      <c r="B31" s="658">
        <v>230</v>
      </c>
      <c r="C31" s="674" t="s">
        <v>128</v>
      </c>
      <c r="D31" s="672">
        <v>463.77</v>
      </c>
      <c r="E31" s="672">
        <v>-162120.34</v>
      </c>
      <c r="F31" s="672">
        <v>-2685.42</v>
      </c>
      <c r="G31" s="673">
        <v>159434.92000000001</v>
      </c>
      <c r="I31" s="696">
        <v>230</v>
      </c>
      <c r="J31" s="694" t="s">
        <v>128</v>
      </c>
      <c r="K31" s="694">
        <v>-8452.35</v>
      </c>
      <c r="L31" s="694">
        <v>-20755.93</v>
      </c>
      <c r="M31" s="694">
        <v>-21336.41</v>
      </c>
      <c r="N31" s="695">
        <v>-580.48</v>
      </c>
      <c r="P31" s="696">
        <v>230</v>
      </c>
      <c r="Q31" s="694" t="s">
        <v>128</v>
      </c>
      <c r="R31" s="694">
        <v>-14017.69</v>
      </c>
      <c r="S31" s="694">
        <v>-30060.59</v>
      </c>
      <c r="T31" s="694">
        <v>-70448.98</v>
      </c>
      <c r="U31" s="695">
        <v>-40388.39</v>
      </c>
      <c r="W31" s="696">
        <v>230</v>
      </c>
      <c r="X31" s="694" t="s">
        <v>128</v>
      </c>
      <c r="Y31" s="694">
        <v>-3761.55</v>
      </c>
      <c r="Z31" s="694">
        <v>-115789.67</v>
      </c>
      <c r="AA31" s="694">
        <v>-143894.54</v>
      </c>
      <c r="AB31" s="695">
        <v>-28104.87</v>
      </c>
      <c r="AD31" s="696">
        <v>230</v>
      </c>
      <c r="AE31" s="694" t="s">
        <v>128</v>
      </c>
      <c r="AF31" s="694">
        <v>-21577.25</v>
      </c>
      <c r="AG31" s="694">
        <v>-133357.6</v>
      </c>
      <c r="AH31" s="694">
        <v>-200458.01</v>
      </c>
      <c r="AI31" s="695">
        <v>-67100.41</v>
      </c>
      <c r="AK31" s="696">
        <v>230</v>
      </c>
      <c r="AL31" s="694" t="s">
        <v>128</v>
      </c>
      <c r="AM31" s="694">
        <v>-11850</v>
      </c>
      <c r="AN31" s="694">
        <v>-62031.03</v>
      </c>
      <c r="AO31" s="694">
        <v>-81906.84</v>
      </c>
      <c r="AP31" s="695">
        <v>-19875.810000000001</v>
      </c>
    </row>
    <row r="32" spans="2:42" x14ac:dyDescent="0.25">
      <c r="B32" s="658">
        <v>235</v>
      </c>
      <c r="C32" s="674" t="s">
        <v>129</v>
      </c>
      <c r="D32" s="672">
        <v>0</v>
      </c>
      <c r="E32" s="672">
        <v>0</v>
      </c>
      <c r="F32" s="672">
        <v>0</v>
      </c>
      <c r="G32" s="673">
        <v>0</v>
      </c>
      <c r="I32" s="696">
        <v>235</v>
      </c>
      <c r="J32" s="694" t="s">
        <v>129</v>
      </c>
      <c r="K32" s="694">
        <v>0</v>
      </c>
      <c r="L32" s="694">
        <v>-652.41</v>
      </c>
      <c r="M32" s="694">
        <v>-652.41</v>
      </c>
      <c r="N32" s="695">
        <v>0</v>
      </c>
      <c r="P32" s="696">
        <v>235</v>
      </c>
      <c r="Q32" s="694" t="s">
        <v>129</v>
      </c>
      <c r="R32" s="694">
        <v>0</v>
      </c>
      <c r="S32" s="694">
        <v>0</v>
      </c>
      <c r="T32" s="694">
        <v>0</v>
      </c>
      <c r="U32" s="695">
        <v>0</v>
      </c>
      <c r="V32" s="6">
        <f>R32</f>
        <v>0</v>
      </c>
      <c r="W32" s="696">
        <v>235</v>
      </c>
      <c r="X32" s="694" t="s">
        <v>129</v>
      </c>
      <c r="Y32" s="694">
        <v>0</v>
      </c>
      <c r="Z32" s="694">
        <v>-915</v>
      </c>
      <c r="AA32" s="694">
        <v>-915</v>
      </c>
      <c r="AB32" s="695">
        <v>0</v>
      </c>
      <c r="AD32" s="696">
        <v>235</v>
      </c>
      <c r="AE32" s="694" t="s">
        <v>129</v>
      </c>
      <c r="AF32" s="694">
        <v>0</v>
      </c>
      <c r="AG32" s="694">
        <v>0</v>
      </c>
      <c r="AH32" s="694">
        <v>0</v>
      </c>
      <c r="AI32" s="695">
        <v>0</v>
      </c>
      <c r="AK32" s="696">
        <v>235</v>
      </c>
      <c r="AL32" s="694" t="s">
        <v>129</v>
      </c>
      <c r="AM32" s="694">
        <v>0</v>
      </c>
      <c r="AN32" s="694">
        <v>0</v>
      </c>
      <c r="AO32" s="694">
        <v>0</v>
      </c>
      <c r="AP32" s="695">
        <v>0</v>
      </c>
    </row>
    <row r="33" spans="2:42" x14ac:dyDescent="0.25">
      <c r="B33" s="658">
        <v>240</v>
      </c>
      <c r="C33" s="674" t="s">
        <v>130</v>
      </c>
      <c r="D33" s="672">
        <v>0</v>
      </c>
      <c r="E33" s="672">
        <v>0</v>
      </c>
      <c r="F33" s="672">
        <v>0</v>
      </c>
      <c r="G33" s="673">
        <v>0</v>
      </c>
      <c r="I33" s="696">
        <v>240</v>
      </c>
      <c r="J33" s="694" t="s">
        <v>130</v>
      </c>
      <c r="K33" s="694">
        <v>0</v>
      </c>
      <c r="L33" s="694">
        <v>0</v>
      </c>
      <c r="M33" s="694">
        <v>0</v>
      </c>
      <c r="N33" s="695">
        <v>0</v>
      </c>
      <c r="P33" s="696">
        <v>240</v>
      </c>
      <c r="Q33" s="694" t="s">
        <v>130</v>
      </c>
      <c r="R33" s="694">
        <v>0</v>
      </c>
      <c r="S33" s="694">
        <v>0</v>
      </c>
      <c r="T33" s="694">
        <v>-544.26</v>
      </c>
      <c r="U33" s="695">
        <v>-544.26</v>
      </c>
      <c r="W33" s="696">
        <v>240</v>
      </c>
      <c r="X33" s="694" t="s">
        <v>130</v>
      </c>
      <c r="Y33" s="694">
        <v>-4695.0600000000004</v>
      </c>
      <c r="Z33" s="694">
        <v>0</v>
      </c>
      <c r="AA33" s="694">
        <v>-4695.0600000000004</v>
      </c>
      <c r="AB33" s="695">
        <v>-4695.0600000000004</v>
      </c>
      <c r="AD33" s="696">
        <v>240</v>
      </c>
      <c r="AE33" s="694" t="s">
        <v>130</v>
      </c>
      <c r="AF33" s="694">
        <v>-4906.1499999999996</v>
      </c>
      <c r="AG33" s="694">
        <v>0</v>
      </c>
      <c r="AH33" s="694">
        <v>-9906.15</v>
      </c>
      <c r="AI33" s="695">
        <v>-9906.15</v>
      </c>
      <c r="AK33" s="696">
        <v>240</v>
      </c>
      <c r="AL33" s="694" t="s">
        <v>130</v>
      </c>
      <c r="AM33" s="694">
        <v>204000</v>
      </c>
      <c r="AN33" s="694">
        <v>-2417484.7200000002</v>
      </c>
      <c r="AO33" s="694">
        <v>-2453484.7200000002</v>
      </c>
      <c r="AP33" s="695">
        <v>-36000</v>
      </c>
    </row>
    <row r="34" spans="2:42" x14ac:dyDescent="0.25">
      <c r="B34" s="658">
        <v>250</v>
      </c>
      <c r="C34" s="674" t="s">
        <v>131</v>
      </c>
      <c r="D34" s="672">
        <v>0</v>
      </c>
      <c r="E34" s="672">
        <v>-189787.44</v>
      </c>
      <c r="F34" s="672">
        <v>0</v>
      </c>
      <c r="G34" s="673">
        <v>189787.44</v>
      </c>
      <c r="I34" s="696">
        <v>250</v>
      </c>
      <c r="J34" s="694" t="s">
        <v>131</v>
      </c>
      <c r="K34" s="694">
        <v>5529.27</v>
      </c>
      <c r="L34" s="694">
        <v>-31229</v>
      </c>
      <c r="M34" s="694">
        <v>-26983.06</v>
      </c>
      <c r="N34" s="695">
        <v>4245.9399999999996</v>
      </c>
      <c r="P34" s="696">
        <v>250</v>
      </c>
      <c r="Q34" s="694" t="s">
        <v>131</v>
      </c>
      <c r="R34" s="694">
        <v>9605.33</v>
      </c>
      <c r="S34" s="694">
        <v>-46208.53</v>
      </c>
      <c r="T34" s="694">
        <v>-50677.35</v>
      </c>
      <c r="U34" s="695">
        <v>-4468.82</v>
      </c>
      <c r="W34" s="696">
        <v>250</v>
      </c>
      <c r="X34" s="694" t="s">
        <v>131</v>
      </c>
      <c r="Y34" s="694">
        <v>7622.45</v>
      </c>
      <c r="Z34" s="694">
        <v>-25645.68</v>
      </c>
      <c r="AA34" s="694">
        <v>-23405.25</v>
      </c>
      <c r="AB34" s="695">
        <v>2240.4299999999998</v>
      </c>
      <c r="AD34" s="696">
        <v>250</v>
      </c>
      <c r="AE34" s="694" t="s">
        <v>131</v>
      </c>
      <c r="AF34" s="694">
        <v>9087.69</v>
      </c>
      <c r="AG34" s="694">
        <v>-15785.15</v>
      </c>
      <c r="AH34" s="694">
        <v>-23604.81</v>
      </c>
      <c r="AI34" s="695">
        <v>-7819.66</v>
      </c>
      <c r="AK34" s="696">
        <v>250</v>
      </c>
      <c r="AL34" s="694" t="s">
        <v>131</v>
      </c>
      <c r="AM34" s="694">
        <v>0</v>
      </c>
      <c r="AN34" s="694">
        <v>0</v>
      </c>
      <c r="AO34" s="694">
        <v>0</v>
      </c>
      <c r="AP34" s="695">
        <v>0</v>
      </c>
    </row>
    <row r="35" spans="2:42" x14ac:dyDescent="0.25">
      <c r="B35" s="658">
        <v>260</v>
      </c>
      <c r="C35" s="674" t="s">
        <v>327</v>
      </c>
      <c r="D35" s="672">
        <v>0</v>
      </c>
      <c r="E35" s="672">
        <v>-2787.49</v>
      </c>
      <c r="F35" s="672">
        <v>0</v>
      </c>
      <c r="G35" s="673">
        <v>2787.49</v>
      </c>
      <c r="I35" s="696">
        <v>260</v>
      </c>
      <c r="J35" s="694"/>
      <c r="K35" s="694">
        <v>0</v>
      </c>
      <c r="L35" s="694">
        <v>0</v>
      </c>
      <c r="M35" s="694">
        <v>0</v>
      </c>
      <c r="N35" s="695">
        <v>0</v>
      </c>
      <c r="P35" s="696">
        <v>260</v>
      </c>
      <c r="Q35" s="694"/>
      <c r="R35" s="694">
        <v>0</v>
      </c>
      <c r="S35" s="694">
        <v>0</v>
      </c>
      <c r="T35" s="694">
        <v>0</v>
      </c>
      <c r="U35" s="695">
        <v>0</v>
      </c>
      <c r="W35" s="696">
        <v>260</v>
      </c>
      <c r="X35" s="694"/>
      <c r="Y35" s="694">
        <v>0</v>
      </c>
      <c r="Z35" s="694">
        <v>0</v>
      </c>
      <c r="AA35" s="694">
        <v>0</v>
      </c>
      <c r="AB35" s="695">
        <v>0</v>
      </c>
      <c r="AD35" s="696">
        <v>260</v>
      </c>
      <c r="AE35" s="694"/>
      <c r="AF35" s="694">
        <v>0</v>
      </c>
      <c r="AG35" s="694">
        <v>0</v>
      </c>
      <c r="AH35" s="694">
        <v>0</v>
      </c>
      <c r="AI35" s="695">
        <v>0</v>
      </c>
      <c r="AK35" s="696">
        <v>260</v>
      </c>
      <c r="AL35" s="694"/>
      <c r="AM35" s="716">
        <v>0</v>
      </c>
      <c r="AN35" s="694">
        <v>0</v>
      </c>
      <c r="AO35" s="694">
        <v>0</v>
      </c>
      <c r="AP35" s="695">
        <v>0</v>
      </c>
    </row>
    <row r="36" spans="2:42" x14ac:dyDescent="0.25">
      <c r="B36" s="658">
        <v>270</v>
      </c>
      <c r="C36" s="674" t="s">
        <v>132</v>
      </c>
      <c r="D36" s="672">
        <v>0</v>
      </c>
      <c r="E36" s="672">
        <v>-162855.91</v>
      </c>
      <c r="F36" s="672">
        <v>-904813.21</v>
      </c>
      <c r="G36" s="673">
        <v>-741957.3</v>
      </c>
      <c r="I36" s="696">
        <v>270</v>
      </c>
      <c r="J36" s="694" t="s">
        <v>132</v>
      </c>
      <c r="K36" s="694">
        <v>-1405.32</v>
      </c>
      <c r="L36" s="694">
        <v>-4678.62</v>
      </c>
      <c r="M36" s="694">
        <v>-20754.439999999999</v>
      </c>
      <c r="N36" s="695">
        <v>-16075.82</v>
      </c>
      <c r="P36" s="696">
        <v>270</v>
      </c>
      <c r="Q36" s="694" t="s">
        <v>132</v>
      </c>
      <c r="R36" s="694">
        <v>-982.64</v>
      </c>
      <c r="S36" s="694">
        <v>-3812.02</v>
      </c>
      <c r="T36" s="694">
        <v>-9630.26</v>
      </c>
      <c r="U36" s="695">
        <v>-5818.24</v>
      </c>
      <c r="W36" s="696">
        <v>270</v>
      </c>
      <c r="X36" s="694" t="s">
        <v>132</v>
      </c>
      <c r="Y36" s="694">
        <v>-1702.59</v>
      </c>
      <c r="Z36" s="694">
        <v>-21876.38</v>
      </c>
      <c r="AA36" s="694">
        <v>-34278.01</v>
      </c>
      <c r="AB36" s="695">
        <v>-12401.63</v>
      </c>
      <c r="AD36" s="696">
        <v>270</v>
      </c>
      <c r="AE36" s="694" t="s">
        <v>132</v>
      </c>
      <c r="AF36" s="694">
        <v>-957.61</v>
      </c>
      <c r="AG36" s="694">
        <v>-38268.239999999998</v>
      </c>
      <c r="AH36" s="694">
        <v>-30101.919999999998</v>
      </c>
      <c r="AI36" s="695">
        <v>8166.32</v>
      </c>
      <c r="AK36" s="696">
        <v>270</v>
      </c>
      <c r="AL36" s="694" t="s">
        <v>132</v>
      </c>
      <c r="AM36" s="694">
        <v>6152</v>
      </c>
      <c r="AN36" s="694">
        <v>-79431</v>
      </c>
      <c r="AO36" s="694">
        <v>-79431</v>
      </c>
      <c r="AP36" s="695">
        <v>0</v>
      </c>
    </row>
    <row r="37" spans="2:42" x14ac:dyDescent="0.25">
      <c r="B37" s="658">
        <v>300</v>
      </c>
      <c r="C37" s="674" t="s">
        <v>133</v>
      </c>
      <c r="D37" s="672">
        <v>-5616.6</v>
      </c>
      <c r="E37" s="672">
        <v>318869.68</v>
      </c>
      <c r="F37" s="672">
        <v>0</v>
      </c>
      <c r="G37" s="673">
        <v>-318869.68</v>
      </c>
      <c r="I37" s="696">
        <v>300</v>
      </c>
      <c r="J37" s="694" t="s">
        <v>133</v>
      </c>
      <c r="K37" s="694">
        <v>-1661.72</v>
      </c>
      <c r="L37" s="694">
        <v>46254.16</v>
      </c>
      <c r="M37" s="694">
        <v>10401.25</v>
      </c>
      <c r="N37" s="695">
        <v>-35852.910000000003</v>
      </c>
      <c r="P37" s="696">
        <v>300</v>
      </c>
      <c r="Q37" s="694" t="s">
        <v>133</v>
      </c>
      <c r="R37" s="694">
        <v>-33972.519999999997</v>
      </c>
      <c r="S37" s="694">
        <v>82027.03</v>
      </c>
      <c r="T37" s="694">
        <v>51145.29</v>
      </c>
      <c r="U37" s="695">
        <v>-30881.74</v>
      </c>
      <c r="W37" s="696">
        <v>300</v>
      </c>
      <c r="X37" s="694" t="s">
        <v>133</v>
      </c>
      <c r="Y37" s="694">
        <v>8643.24</v>
      </c>
      <c r="Z37" s="694">
        <v>19516.02</v>
      </c>
      <c r="AA37" s="694">
        <v>20012.7</v>
      </c>
      <c r="AB37" s="695">
        <v>496.68</v>
      </c>
      <c r="AD37" s="696">
        <v>300</v>
      </c>
      <c r="AE37" s="694" t="s">
        <v>133</v>
      </c>
      <c r="AF37" s="694">
        <v>-1055.81</v>
      </c>
      <c r="AG37" s="694">
        <v>16218</v>
      </c>
      <c r="AH37" s="694">
        <v>6781.29</v>
      </c>
      <c r="AI37" s="695">
        <v>-9436.7099999999991</v>
      </c>
      <c r="AK37" s="696">
        <v>300</v>
      </c>
      <c r="AL37" s="694" t="s">
        <v>133</v>
      </c>
      <c r="AM37" s="694">
        <v>0</v>
      </c>
      <c r="AN37" s="694">
        <v>30200</v>
      </c>
      <c r="AO37" s="694">
        <v>41490.54</v>
      </c>
      <c r="AP37" s="695">
        <v>11290.54</v>
      </c>
    </row>
    <row r="38" spans="2:42" x14ac:dyDescent="0.25">
      <c r="B38" s="658">
        <v>310</v>
      </c>
      <c r="C38" s="674" t="s">
        <v>134</v>
      </c>
      <c r="D38" s="672">
        <v>0</v>
      </c>
      <c r="E38" s="672">
        <v>0</v>
      </c>
      <c r="F38" s="672">
        <v>0</v>
      </c>
      <c r="G38" s="673">
        <v>0</v>
      </c>
      <c r="I38" s="696">
        <v>310</v>
      </c>
      <c r="J38" s="694" t="s">
        <v>134</v>
      </c>
      <c r="K38" s="694">
        <v>0</v>
      </c>
      <c r="L38" s="694">
        <v>0</v>
      </c>
      <c r="M38" s="694">
        <v>0</v>
      </c>
      <c r="N38" s="695">
        <v>0</v>
      </c>
      <c r="P38" s="696">
        <v>310</v>
      </c>
      <c r="Q38" s="694" t="s">
        <v>134</v>
      </c>
      <c r="R38" s="694">
        <v>0</v>
      </c>
      <c r="S38" s="694">
        <v>0</v>
      </c>
      <c r="T38" s="694">
        <v>0</v>
      </c>
      <c r="U38" s="695">
        <v>0</v>
      </c>
      <c r="W38" s="696">
        <v>310</v>
      </c>
      <c r="X38" s="694" t="s">
        <v>134</v>
      </c>
      <c r="Y38" s="694">
        <v>0</v>
      </c>
      <c r="Z38" s="694">
        <v>0</v>
      </c>
      <c r="AA38" s="694">
        <v>0</v>
      </c>
      <c r="AB38" s="695">
        <v>0</v>
      </c>
      <c r="AD38" s="696">
        <v>310</v>
      </c>
      <c r="AE38" s="694" t="s">
        <v>134</v>
      </c>
      <c r="AF38" s="694">
        <v>0</v>
      </c>
      <c r="AG38" s="694">
        <v>0</v>
      </c>
      <c r="AH38" s="694">
        <v>0</v>
      </c>
      <c r="AI38" s="695">
        <v>0</v>
      </c>
      <c r="AK38" s="696">
        <v>310</v>
      </c>
      <c r="AL38" s="694" t="s">
        <v>134</v>
      </c>
      <c r="AM38" s="694">
        <v>0</v>
      </c>
      <c r="AN38" s="694">
        <v>0</v>
      </c>
      <c r="AO38" s="694">
        <v>0</v>
      </c>
      <c r="AP38" s="695">
        <v>0</v>
      </c>
    </row>
    <row r="39" spans="2:42" x14ac:dyDescent="0.25">
      <c r="B39" s="658">
        <v>320</v>
      </c>
      <c r="C39" s="674" t="s">
        <v>135</v>
      </c>
      <c r="D39" s="672">
        <v>-3210.06</v>
      </c>
      <c r="E39" s="672">
        <v>29155.94</v>
      </c>
      <c r="F39" s="672">
        <v>0</v>
      </c>
      <c r="G39" s="673">
        <v>-29155.94</v>
      </c>
      <c r="I39" s="696">
        <v>320</v>
      </c>
      <c r="J39" s="694" t="s">
        <v>135</v>
      </c>
      <c r="K39" s="694">
        <v>600.28</v>
      </c>
      <c r="L39" s="694">
        <v>456.51</v>
      </c>
      <c r="M39" s="694">
        <v>600.28</v>
      </c>
      <c r="N39" s="695">
        <v>143.77000000000001</v>
      </c>
      <c r="P39" s="696">
        <v>320</v>
      </c>
      <c r="Q39" s="694" t="s">
        <v>135</v>
      </c>
      <c r="R39" s="694">
        <v>0</v>
      </c>
      <c r="S39" s="694">
        <v>260.83</v>
      </c>
      <c r="T39" s="694">
        <v>260.83</v>
      </c>
      <c r="U39" s="695">
        <v>0</v>
      </c>
      <c r="W39" s="696">
        <v>320</v>
      </c>
      <c r="X39" s="694" t="s">
        <v>135</v>
      </c>
      <c r="Y39" s="694">
        <v>203.56</v>
      </c>
      <c r="Z39" s="694">
        <v>-244.93</v>
      </c>
      <c r="AA39" s="694">
        <v>222.41</v>
      </c>
      <c r="AB39" s="695">
        <v>467.34</v>
      </c>
      <c r="AD39" s="696">
        <v>320</v>
      </c>
      <c r="AE39" s="694" t="s">
        <v>135</v>
      </c>
      <c r="AF39" s="694">
        <v>302.92</v>
      </c>
      <c r="AG39" s="694">
        <v>-253.19</v>
      </c>
      <c r="AH39" s="694">
        <v>516.02</v>
      </c>
      <c r="AI39" s="695">
        <v>769.21</v>
      </c>
      <c r="AK39" s="696">
        <v>320</v>
      </c>
      <c r="AL39" s="694" t="s">
        <v>135</v>
      </c>
      <c r="AM39" s="694">
        <v>6729.72</v>
      </c>
      <c r="AN39" s="694">
        <v>6720</v>
      </c>
      <c r="AO39" s="694">
        <v>25449.72</v>
      </c>
      <c r="AP39" s="695">
        <v>18729.72</v>
      </c>
    </row>
    <row r="40" spans="2:42" x14ac:dyDescent="0.25">
      <c r="B40" s="658">
        <v>325</v>
      </c>
      <c r="C40" s="674" t="s">
        <v>136</v>
      </c>
      <c r="D40" s="672">
        <v>-12529.05</v>
      </c>
      <c r="E40" s="672">
        <v>381221.28</v>
      </c>
      <c r="F40" s="672">
        <v>87029.07</v>
      </c>
      <c r="G40" s="673">
        <v>-294192.21000000002</v>
      </c>
      <c r="I40" s="696">
        <v>325</v>
      </c>
      <c r="J40" s="694" t="s">
        <v>136</v>
      </c>
      <c r="K40" s="694">
        <v>-25981.41</v>
      </c>
      <c r="L40" s="694">
        <v>65680.33</v>
      </c>
      <c r="M40" s="694">
        <v>40068.25</v>
      </c>
      <c r="N40" s="695">
        <v>-25612.080000000002</v>
      </c>
      <c r="P40" s="696">
        <v>325</v>
      </c>
      <c r="Q40" s="694" t="s">
        <v>136</v>
      </c>
      <c r="R40" s="694">
        <v>-65916.7</v>
      </c>
      <c r="S40" s="694">
        <v>-40304.21</v>
      </c>
      <c r="T40" s="694">
        <v>-68596.960000000006</v>
      </c>
      <c r="U40" s="695">
        <v>-28292.75</v>
      </c>
      <c r="W40" s="696">
        <v>325</v>
      </c>
      <c r="X40" s="694" t="s">
        <v>136</v>
      </c>
      <c r="Y40" s="694">
        <v>-30580.7</v>
      </c>
      <c r="Z40" s="694">
        <v>42685.41</v>
      </c>
      <c r="AA40" s="694">
        <v>29861.94</v>
      </c>
      <c r="AB40" s="695">
        <v>-12823.47</v>
      </c>
      <c r="AD40" s="696">
        <v>325</v>
      </c>
      <c r="AE40" s="694" t="s">
        <v>136</v>
      </c>
      <c r="AF40" s="694">
        <v>-42088.81</v>
      </c>
      <c r="AG40" s="694">
        <v>12844.13</v>
      </c>
      <c r="AH40" s="694">
        <v>2362.2199999999998</v>
      </c>
      <c r="AI40" s="695">
        <v>-10481.91</v>
      </c>
      <c r="AK40" s="696">
        <v>325</v>
      </c>
      <c r="AL40" s="694" t="s">
        <v>136</v>
      </c>
      <c r="AM40" s="694">
        <v>0</v>
      </c>
      <c r="AN40" s="694">
        <v>0</v>
      </c>
      <c r="AO40" s="694">
        <v>0</v>
      </c>
      <c r="AP40" s="695">
        <v>0</v>
      </c>
    </row>
    <row r="41" spans="2:42" x14ac:dyDescent="0.25">
      <c r="B41" s="658">
        <v>330</v>
      </c>
      <c r="C41" s="674" t="s">
        <v>540</v>
      </c>
      <c r="D41" s="672">
        <v>40379.129999999997</v>
      </c>
      <c r="E41" s="672">
        <v>5178541.16</v>
      </c>
      <c r="F41" s="672">
        <v>5156809.97</v>
      </c>
      <c r="G41" s="673">
        <v>-21731.19</v>
      </c>
      <c r="I41" s="696">
        <v>330</v>
      </c>
      <c r="J41" s="694" t="s">
        <v>540</v>
      </c>
      <c r="K41" s="694">
        <v>0</v>
      </c>
      <c r="L41" s="694">
        <v>1272420.6000000001</v>
      </c>
      <c r="M41" s="694">
        <v>1512362.13</v>
      </c>
      <c r="N41" s="695">
        <v>239941.53</v>
      </c>
      <c r="P41" s="696">
        <v>330</v>
      </c>
      <c r="Q41" s="694" t="s">
        <v>540</v>
      </c>
      <c r="R41" s="694">
        <v>152870.95000000001</v>
      </c>
      <c r="S41" s="694">
        <v>2147977.0099999998</v>
      </c>
      <c r="T41" s="694">
        <v>3246738.33</v>
      </c>
      <c r="U41" s="695">
        <v>1098761.32</v>
      </c>
      <c r="W41" s="696">
        <v>330</v>
      </c>
      <c r="X41" s="694" t="s">
        <v>540</v>
      </c>
      <c r="Y41" s="694">
        <v>57472</v>
      </c>
      <c r="Z41" s="694">
        <v>1540608.62</v>
      </c>
      <c r="AA41" s="694">
        <v>1692277.28</v>
      </c>
      <c r="AB41" s="695">
        <v>151668.66</v>
      </c>
      <c r="AD41" s="696">
        <v>330</v>
      </c>
      <c r="AE41" s="694" t="s">
        <v>540</v>
      </c>
      <c r="AF41" s="694">
        <v>29000</v>
      </c>
      <c r="AG41" s="694">
        <v>259190.54</v>
      </c>
      <c r="AH41" s="694">
        <v>316190.53999999998</v>
      </c>
      <c r="AI41" s="695">
        <v>57000</v>
      </c>
      <c r="AK41" s="696">
        <v>330</v>
      </c>
      <c r="AL41" s="694" t="s">
        <v>540</v>
      </c>
      <c r="AM41" s="694">
        <v>9000</v>
      </c>
      <c r="AN41" s="694">
        <v>485394</v>
      </c>
      <c r="AO41" s="694">
        <v>510394</v>
      </c>
      <c r="AP41" s="695">
        <v>25000</v>
      </c>
    </row>
    <row r="42" spans="2:42" x14ac:dyDescent="0.25">
      <c r="B42" s="658">
        <v>340</v>
      </c>
      <c r="C42" s="674" t="s">
        <v>138</v>
      </c>
      <c r="D42" s="672">
        <v>-729.88</v>
      </c>
      <c r="E42" s="672">
        <v>134521.91</v>
      </c>
      <c r="F42" s="672">
        <v>0</v>
      </c>
      <c r="G42" s="673">
        <v>-134521.91</v>
      </c>
      <c r="I42" s="696">
        <v>340</v>
      </c>
      <c r="J42" s="694" t="s">
        <v>138</v>
      </c>
      <c r="K42" s="694">
        <v>7600.1</v>
      </c>
      <c r="L42" s="694">
        <v>36817.5</v>
      </c>
      <c r="M42" s="694">
        <v>50657.87</v>
      </c>
      <c r="N42" s="695">
        <v>13840.37</v>
      </c>
      <c r="P42" s="696">
        <v>340</v>
      </c>
      <c r="Q42" s="694" t="s">
        <v>138</v>
      </c>
      <c r="R42" s="694">
        <v>8891.7999999999993</v>
      </c>
      <c r="S42" s="694">
        <v>37057.620000000003</v>
      </c>
      <c r="T42" s="694">
        <v>43864.29</v>
      </c>
      <c r="U42" s="695">
        <v>6806.67</v>
      </c>
      <c r="W42" s="696">
        <v>340</v>
      </c>
      <c r="X42" s="694" t="s">
        <v>138</v>
      </c>
      <c r="Y42" s="694">
        <v>6038.13</v>
      </c>
      <c r="Z42" s="694">
        <v>12547.75</v>
      </c>
      <c r="AA42" s="694">
        <v>1260.25</v>
      </c>
      <c r="AB42" s="695">
        <v>-11287.5</v>
      </c>
      <c r="AD42" s="696">
        <v>340</v>
      </c>
      <c r="AE42" s="694" t="s">
        <v>138</v>
      </c>
      <c r="AF42" s="694">
        <v>9702.18</v>
      </c>
      <c r="AG42" s="694">
        <v>78007.490000000005</v>
      </c>
      <c r="AH42" s="694">
        <v>80794.559999999998</v>
      </c>
      <c r="AI42" s="695">
        <v>2787.07</v>
      </c>
      <c r="AK42" s="696">
        <v>340</v>
      </c>
      <c r="AL42" s="694" t="s">
        <v>138</v>
      </c>
      <c r="AM42" s="694">
        <v>0</v>
      </c>
      <c r="AN42" s="694">
        <v>0</v>
      </c>
      <c r="AO42" s="694">
        <v>0</v>
      </c>
      <c r="AP42" s="695">
        <v>0</v>
      </c>
    </row>
    <row r="43" spans="2:42" ht="13" x14ac:dyDescent="0.3">
      <c r="B43" s="662">
        <v>380</v>
      </c>
      <c r="C43" s="671" t="s">
        <v>325</v>
      </c>
      <c r="D43" s="675">
        <v>18757.310000000001</v>
      </c>
      <c r="E43" s="675">
        <v>5524758.79</v>
      </c>
      <c r="F43" s="675">
        <v>4336340.41</v>
      </c>
      <c r="G43" s="676">
        <v>-1188418.3799999999</v>
      </c>
      <c r="I43" s="692">
        <v>380</v>
      </c>
      <c r="J43" s="693" t="s">
        <v>325</v>
      </c>
      <c r="K43" s="693">
        <v>-23771.15</v>
      </c>
      <c r="L43" s="693">
        <v>1364313.14</v>
      </c>
      <c r="M43" s="693">
        <v>1544363.46</v>
      </c>
      <c r="N43" s="697">
        <v>180050.32</v>
      </c>
      <c r="P43" s="692">
        <v>380</v>
      </c>
      <c r="Q43" s="693" t="s">
        <v>325</v>
      </c>
      <c r="R43" s="693">
        <v>56478.53</v>
      </c>
      <c r="S43" s="693">
        <v>2146937.14</v>
      </c>
      <c r="T43" s="693">
        <v>3142110.93</v>
      </c>
      <c r="U43" s="697">
        <v>995173.79</v>
      </c>
      <c r="V43" s="6"/>
      <c r="W43" s="692">
        <v>380</v>
      </c>
      <c r="X43" s="693" t="s">
        <v>325</v>
      </c>
      <c r="Y43" s="693">
        <v>39239.480000000003</v>
      </c>
      <c r="Z43" s="693">
        <v>1450886.14</v>
      </c>
      <c r="AA43" s="693">
        <v>1536446.72</v>
      </c>
      <c r="AB43" s="697">
        <v>85560.58</v>
      </c>
      <c r="AD43" s="692">
        <v>380</v>
      </c>
      <c r="AE43" s="693" t="s">
        <v>325</v>
      </c>
      <c r="AF43" s="693">
        <v>-22492.84</v>
      </c>
      <c r="AG43" s="693">
        <v>178595.98</v>
      </c>
      <c r="AH43" s="693">
        <v>142573.74</v>
      </c>
      <c r="AI43" s="697">
        <v>-36022.239999999998</v>
      </c>
      <c r="AK43" s="692">
        <v>380</v>
      </c>
      <c r="AL43" s="693" t="s">
        <v>325</v>
      </c>
      <c r="AM43" s="693">
        <v>214031.72</v>
      </c>
      <c r="AN43" s="693">
        <v>-2036632.75</v>
      </c>
      <c r="AO43" s="693">
        <v>-2037488.3</v>
      </c>
      <c r="AP43" s="697">
        <v>-855.55</v>
      </c>
    </row>
    <row r="44" spans="2:42" x14ac:dyDescent="0.25">
      <c r="B44" s="658">
        <v>390</v>
      </c>
      <c r="C44" s="674" t="s">
        <v>139</v>
      </c>
      <c r="D44" s="672">
        <v>0</v>
      </c>
      <c r="E44" s="672">
        <v>0</v>
      </c>
      <c r="F44" s="672">
        <v>0</v>
      </c>
      <c r="G44" s="673">
        <v>0</v>
      </c>
      <c r="I44" s="696">
        <v>390</v>
      </c>
      <c r="J44" s="694" t="s">
        <v>139</v>
      </c>
      <c r="K44" s="694">
        <v>0</v>
      </c>
      <c r="L44" s="694">
        <v>0</v>
      </c>
      <c r="M44" s="694">
        <v>0</v>
      </c>
      <c r="N44" s="695">
        <v>0</v>
      </c>
      <c r="P44" s="696">
        <v>390</v>
      </c>
      <c r="Q44" s="694" t="s">
        <v>139</v>
      </c>
      <c r="R44" s="694">
        <v>0</v>
      </c>
      <c r="S44" s="694">
        <v>0</v>
      </c>
      <c r="T44" s="694">
        <v>0</v>
      </c>
      <c r="U44" s="695">
        <v>0</v>
      </c>
      <c r="W44" s="696">
        <v>390</v>
      </c>
      <c r="X44" s="694" t="s">
        <v>139</v>
      </c>
      <c r="Y44" s="694">
        <v>0</v>
      </c>
      <c r="Z44" s="694">
        <v>0</v>
      </c>
      <c r="AA44" s="694">
        <v>0</v>
      </c>
      <c r="AB44" s="695">
        <v>0</v>
      </c>
      <c r="AD44" s="696">
        <v>390</v>
      </c>
      <c r="AE44" s="694" t="s">
        <v>139</v>
      </c>
      <c r="AF44" s="694">
        <v>0</v>
      </c>
      <c r="AG44" s="694">
        <v>0</v>
      </c>
      <c r="AH44" s="694">
        <v>0</v>
      </c>
      <c r="AI44" s="695">
        <v>0</v>
      </c>
      <c r="AK44" s="696">
        <v>390</v>
      </c>
      <c r="AL44" s="694" t="s">
        <v>139</v>
      </c>
      <c r="AM44" s="694">
        <v>0</v>
      </c>
      <c r="AN44" s="694">
        <v>0</v>
      </c>
      <c r="AO44" s="694">
        <v>0</v>
      </c>
      <c r="AP44" s="695">
        <v>0</v>
      </c>
    </row>
    <row r="45" spans="2:42" x14ac:dyDescent="0.25">
      <c r="B45" s="658">
        <v>400</v>
      </c>
      <c r="C45" s="674" t="s">
        <v>140</v>
      </c>
      <c r="D45" s="672">
        <v>0</v>
      </c>
      <c r="E45" s="672">
        <v>5822451.5300000003</v>
      </c>
      <c r="F45" s="672">
        <v>0</v>
      </c>
      <c r="G45" s="673">
        <v>-5822451.5300000003</v>
      </c>
      <c r="I45" s="696">
        <v>400</v>
      </c>
      <c r="J45" s="694" t="s">
        <v>140</v>
      </c>
      <c r="K45" s="694">
        <v>0</v>
      </c>
      <c r="L45" s="694">
        <v>170366.24</v>
      </c>
      <c r="M45" s="694">
        <v>0</v>
      </c>
      <c r="N45" s="695">
        <v>-170366.24</v>
      </c>
      <c r="P45" s="696">
        <v>400</v>
      </c>
      <c r="Q45" s="694" t="s">
        <v>140</v>
      </c>
      <c r="R45" s="694">
        <v>-12276.07</v>
      </c>
      <c r="S45" s="694">
        <v>3757030.47</v>
      </c>
      <c r="T45" s="694">
        <v>3369595.93</v>
      </c>
      <c r="U45" s="695">
        <v>-387434.54</v>
      </c>
      <c r="W45" s="696">
        <v>400</v>
      </c>
      <c r="X45" s="694" t="s">
        <v>140</v>
      </c>
      <c r="Y45" s="694">
        <v>0</v>
      </c>
      <c r="Z45" s="694">
        <v>0</v>
      </c>
      <c r="AA45" s="694">
        <v>0</v>
      </c>
      <c r="AB45" s="695">
        <v>0</v>
      </c>
      <c r="AD45" s="696">
        <v>400</v>
      </c>
      <c r="AE45" s="694" t="s">
        <v>140</v>
      </c>
      <c r="AF45" s="694">
        <v>0</v>
      </c>
      <c r="AG45" s="694">
        <v>0</v>
      </c>
      <c r="AH45" s="694">
        <v>0</v>
      </c>
      <c r="AI45" s="695">
        <v>0</v>
      </c>
      <c r="AK45" s="696">
        <v>400</v>
      </c>
      <c r="AL45" s="694" t="s">
        <v>140</v>
      </c>
      <c r="AM45" s="694">
        <v>-259653.47</v>
      </c>
      <c r="AN45" s="694">
        <v>5476661.2599999998</v>
      </c>
      <c r="AO45" s="694">
        <v>5081561.3</v>
      </c>
      <c r="AP45" s="695">
        <v>-395099.96</v>
      </c>
    </row>
    <row r="46" spans="2:42" x14ac:dyDescent="0.25">
      <c r="B46" s="658">
        <v>405</v>
      </c>
      <c r="C46" s="674" t="s">
        <v>141</v>
      </c>
      <c r="D46" s="672">
        <v>0</v>
      </c>
      <c r="E46" s="672">
        <v>0</v>
      </c>
      <c r="F46" s="672">
        <v>0</v>
      </c>
      <c r="G46" s="673">
        <v>0</v>
      </c>
      <c r="I46" s="696">
        <v>405</v>
      </c>
      <c r="J46" s="694" t="s">
        <v>141</v>
      </c>
      <c r="K46" s="694">
        <v>0</v>
      </c>
      <c r="L46" s="694">
        <v>0</v>
      </c>
      <c r="M46" s="694">
        <v>0</v>
      </c>
      <c r="N46" s="695">
        <v>0</v>
      </c>
      <c r="P46" s="696">
        <v>405</v>
      </c>
      <c r="Q46" s="694" t="s">
        <v>141</v>
      </c>
      <c r="R46" s="694">
        <v>-170629.95</v>
      </c>
      <c r="S46" s="694">
        <v>850000</v>
      </c>
      <c r="T46" s="694">
        <v>418257.6</v>
      </c>
      <c r="U46" s="695">
        <v>-431742.4</v>
      </c>
      <c r="W46" s="696">
        <v>405</v>
      </c>
      <c r="X46" s="694" t="s">
        <v>141</v>
      </c>
      <c r="Y46" s="694">
        <v>0</v>
      </c>
      <c r="Z46" s="694">
        <v>0</v>
      </c>
      <c r="AA46" s="694">
        <v>0</v>
      </c>
      <c r="AB46" s="695">
        <v>0</v>
      </c>
      <c r="AD46" s="696">
        <v>405</v>
      </c>
      <c r="AE46" s="694" t="s">
        <v>141</v>
      </c>
      <c r="AF46" s="694">
        <v>0</v>
      </c>
      <c r="AG46" s="694">
        <v>0</v>
      </c>
      <c r="AH46" s="694">
        <v>0</v>
      </c>
      <c r="AI46" s="695">
        <v>0</v>
      </c>
      <c r="AK46" s="696">
        <v>405</v>
      </c>
      <c r="AL46" s="694" t="s">
        <v>141</v>
      </c>
      <c r="AM46" s="694">
        <v>0</v>
      </c>
      <c r="AN46" s="694">
        <v>0</v>
      </c>
      <c r="AO46" s="694">
        <v>0</v>
      </c>
      <c r="AP46" s="695">
        <v>0</v>
      </c>
    </row>
    <row r="47" spans="2:42" x14ac:dyDescent="0.25">
      <c r="B47" s="658">
        <v>410</v>
      </c>
      <c r="C47" s="674" t="s">
        <v>142</v>
      </c>
      <c r="D47" s="672">
        <v>0</v>
      </c>
      <c r="E47" s="672">
        <v>2000</v>
      </c>
      <c r="F47" s="672">
        <v>2000</v>
      </c>
      <c r="G47" s="673">
        <v>0</v>
      </c>
      <c r="I47" s="696">
        <v>410</v>
      </c>
      <c r="J47" s="694" t="s">
        <v>142</v>
      </c>
      <c r="K47" s="694">
        <v>0</v>
      </c>
      <c r="L47" s="694">
        <v>1000</v>
      </c>
      <c r="M47" s="694">
        <v>1000</v>
      </c>
      <c r="N47" s="695">
        <v>0</v>
      </c>
      <c r="P47" s="696">
        <v>410</v>
      </c>
      <c r="Q47" s="694" t="s">
        <v>142</v>
      </c>
      <c r="R47" s="694">
        <v>0</v>
      </c>
      <c r="S47" s="694">
        <v>1000</v>
      </c>
      <c r="T47" s="694">
        <v>1000</v>
      </c>
      <c r="U47" s="695">
        <v>0</v>
      </c>
      <c r="W47" s="696">
        <v>410</v>
      </c>
      <c r="X47" s="694" t="s">
        <v>142</v>
      </c>
      <c r="Y47" s="694">
        <v>0</v>
      </c>
      <c r="Z47" s="694">
        <v>1000</v>
      </c>
      <c r="AA47" s="694">
        <v>1000</v>
      </c>
      <c r="AB47" s="695">
        <v>0</v>
      </c>
      <c r="AD47" s="696">
        <v>410</v>
      </c>
      <c r="AE47" s="694" t="s">
        <v>142</v>
      </c>
      <c r="AF47" s="694">
        <v>0</v>
      </c>
      <c r="AG47" s="694">
        <v>1000</v>
      </c>
      <c r="AH47" s="694">
        <v>1000</v>
      </c>
      <c r="AI47" s="695">
        <v>0</v>
      </c>
      <c r="AK47" s="696">
        <v>410</v>
      </c>
      <c r="AL47" s="694" t="s">
        <v>142</v>
      </c>
      <c r="AM47" s="694">
        <v>0</v>
      </c>
      <c r="AN47" s="694">
        <v>2794359.83</v>
      </c>
      <c r="AO47" s="694">
        <v>2764342.52</v>
      </c>
      <c r="AP47" s="695">
        <v>-30017.31</v>
      </c>
    </row>
    <row r="48" spans="2:42" x14ac:dyDescent="0.25">
      <c r="B48" s="658">
        <v>420</v>
      </c>
      <c r="C48" s="674" t="s">
        <v>143</v>
      </c>
      <c r="D48" s="672">
        <v>0</v>
      </c>
      <c r="E48" s="672">
        <v>3594747.53</v>
      </c>
      <c r="F48" s="672">
        <v>3594747.53</v>
      </c>
      <c r="G48" s="673">
        <v>0</v>
      </c>
      <c r="I48" s="696">
        <v>420</v>
      </c>
      <c r="J48" s="694" t="s">
        <v>143</v>
      </c>
      <c r="K48" s="694">
        <v>0</v>
      </c>
      <c r="L48" s="694">
        <v>0</v>
      </c>
      <c r="M48" s="694">
        <v>0</v>
      </c>
      <c r="N48" s="695">
        <v>0</v>
      </c>
      <c r="P48" s="696">
        <v>420</v>
      </c>
      <c r="Q48" s="694" t="s">
        <v>143</v>
      </c>
      <c r="R48" s="694">
        <v>0</v>
      </c>
      <c r="S48" s="694">
        <v>0</v>
      </c>
      <c r="T48" s="694">
        <v>0</v>
      </c>
      <c r="U48" s="695">
        <v>0</v>
      </c>
      <c r="W48" s="696">
        <v>420</v>
      </c>
      <c r="X48" s="694" t="s">
        <v>143</v>
      </c>
      <c r="Y48" s="694">
        <v>0</v>
      </c>
      <c r="Z48" s="694">
        <v>399500</v>
      </c>
      <c r="AA48" s="694">
        <v>399500</v>
      </c>
      <c r="AB48" s="695">
        <v>0</v>
      </c>
      <c r="AD48" s="696">
        <v>420</v>
      </c>
      <c r="AE48" s="694" t="s">
        <v>143</v>
      </c>
      <c r="AF48" s="694">
        <v>0</v>
      </c>
      <c r="AG48" s="694">
        <v>4000</v>
      </c>
      <c r="AH48" s="694">
        <v>4000</v>
      </c>
      <c r="AI48" s="695">
        <v>0</v>
      </c>
      <c r="AK48" s="696">
        <v>420</v>
      </c>
      <c r="AL48" s="694" t="s">
        <v>143</v>
      </c>
      <c r="AM48" s="694">
        <v>0</v>
      </c>
      <c r="AN48" s="694">
        <v>2087847.04</v>
      </c>
      <c r="AO48" s="694">
        <v>2087847.04</v>
      </c>
      <c r="AP48" s="695">
        <v>0</v>
      </c>
    </row>
    <row r="49" spans="2:42" x14ac:dyDescent="0.25">
      <c r="B49" s="658">
        <v>425</v>
      </c>
      <c r="C49" s="674" t="s">
        <v>144</v>
      </c>
      <c r="D49" s="672">
        <v>0</v>
      </c>
      <c r="E49" s="672">
        <v>0</v>
      </c>
      <c r="F49" s="672">
        <v>0</v>
      </c>
      <c r="G49" s="673">
        <v>0</v>
      </c>
      <c r="I49" s="696">
        <v>425</v>
      </c>
      <c r="J49" s="694" t="s">
        <v>144</v>
      </c>
      <c r="K49" s="694">
        <v>0</v>
      </c>
      <c r="L49" s="694">
        <v>0</v>
      </c>
      <c r="M49" s="694">
        <v>0</v>
      </c>
      <c r="N49" s="695">
        <v>0</v>
      </c>
      <c r="P49" s="696">
        <v>425</v>
      </c>
      <c r="Q49" s="694" t="s">
        <v>144</v>
      </c>
      <c r="R49" s="694">
        <v>0</v>
      </c>
      <c r="S49" s="694">
        <v>0</v>
      </c>
      <c r="T49" s="694">
        <v>0</v>
      </c>
      <c r="U49" s="695">
        <v>0</v>
      </c>
      <c r="W49" s="696">
        <v>425</v>
      </c>
      <c r="X49" s="694" t="s">
        <v>144</v>
      </c>
      <c r="Y49" s="694">
        <v>0</v>
      </c>
      <c r="Z49" s="694">
        <v>0</v>
      </c>
      <c r="AA49" s="694">
        <v>0</v>
      </c>
      <c r="AB49" s="695">
        <v>0</v>
      </c>
      <c r="AD49" s="696">
        <v>425</v>
      </c>
      <c r="AE49" s="694" t="s">
        <v>144</v>
      </c>
      <c r="AF49" s="694">
        <v>0</v>
      </c>
      <c r="AG49" s="694">
        <v>0</v>
      </c>
      <c r="AH49" s="694">
        <v>0</v>
      </c>
      <c r="AI49" s="695">
        <v>0</v>
      </c>
      <c r="AK49" s="696">
        <v>425</v>
      </c>
      <c r="AL49" s="694" t="s">
        <v>144</v>
      </c>
      <c r="AM49" s="694">
        <v>0</v>
      </c>
      <c r="AN49" s="694">
        <v>0</v>
      </c>
      <c r="AO49" s="694">
        <v>0</v>
      </c>
      <c r="AP49" s="695">
        <v>0</v>
      </c>
    </row>
    <row r="50" spans="2:42" x14ac:dyDescent="0.25">
      <c r="B50" s="658">
        <v>427</v>
      </c>
      <c r="C50" s="674" t="s">
        <v>145</v>
      </c>
      <c r="D50" s="672">
        <v>0</v>
      </c>
      <c r="E50" s="672">
        <v>0</v>
      </c>
      <c r="F50" s="672">
        <v>0</v>
      </c>
      <c r="G50" s="673">
        <v>0</v>
      </c>
      <c r="I50" s="696">
        <v>427</v>
      </c>
      <c r="J50" s="694" t="s">
        <v>145</v>
      </c>
      <c r="K50" s="694">
        <v>0</v>
      </c>
      <c r="L50" s="694">
        <v>0</v>
      </c>
      <c r="M50" s="694">
        <v>0</v>
      </c>
      <c r="N50" s="695">
        <v>0</v>
      </c>
      <c r="P50" s="696">
        <v>427</v>
      </c>
      <c r="Q50" s="694" t="s">
        <v>145</v>
      </c>
      <c r="R50" s="694">
        <v>0</v>
      </c>
      <c r="S50" s="694">
        <v>0</v>
      </c>
      <c r="T50" s="694">
        <v>0</v>
      </c>
      <c r="U50" s="695">
        <v>0</v>
      </c>
      <c r="W50" s="696">
        <v>427</v>
      </c>
      <c r="X50" s="694" t="s">
        <v>145</v>
      </c>
      <c r="Y50" s="694">
        <v>0</v>
      </c>
      <c r="Z50" s="694">
        <v>0</v>
      </c>
      <c r="AA50" s="694">
        <v>0</v>
      </c>
      <c r="AB50" s="695">
        <v>0</v>
      </c>
      <c r="AD50" s="696">
        <v>427</v>
      </c>
      <c r="AE50" s="694" t="s">
        <v>145</v>
      </c>
      <c r="AF50" s="694">
        <v>0</v>
      </c>
      <c r="AG50" s="694">
        <v>0</v>
      </c>
      <c r="AH50" s="694">
        <v>0</v>
      </c>
      <c r="AI50" s="695">
        <v>0</v>
      </c>
      <c r="AK50" s="696">
        <v>427</v>
      </c>
      <c r="AL50" s="694" t="s">
        <v>145</v>
      </c>
      <c r="AM50" s="694">
        <v>0</v>
      </c>
      <c r="AN50" s="694">
        <v>0</v>
      </c>
      <c r="AO50" s="694">
        <v>0</v>
      </c>
      <c r="AP50" s="695">
        <v>0</v>
      </c>
    </row>
    <row r="51" spans="2:42" x14ac:dyDescent="0.25">
      <c r="B51" s="658">
        <v>430</v>
      </c>
      <c r="C51" s="674" t="s">
        <v>146</v>
      </c>
      <c r="D51" s="672">
        <v>0</v>
      </c>
      <c r="E51" s="672">
        <v>-8433659.7400000002</v>
      </c>
      <c r="F51" s="672">
        <v>-8433659.7400000002</v>
      </c>
      <c r="G51" s="673">
        <v>0</v>
      </c>
      <c r="I51" s="696">
        <v>430</v>
      </c>
      <c r="J51" s="694" t="s">
        <v>146</v>
      </c>
      <c r="K51" s="694">
        <v>0</v>
      </c>
      <c r="L51" s="694">
        <v>-1007352.3</v>
      </c>
      <c r="M51" s="694">
        <v>-1007352.3</v>
      </c>
      <c r="N51" s="695">
        <v>0</v>
      </c>
      <c r="P51" s="696">
        <v>430</v>
      </c>
      <c r="Q51" s="694" t="s">
        <v>146</v>
      </c>
      <c r="R51" s="694">
        <v>0</v>
      </c>
      <c r="S51" s="694">
        <v>-3119729</v>
      </c>
      <c r="T51" s="694">
        <v>-3119729</v>
      </c>
      <c r="U51" s="695">
        <v>0</v>
      </c>
      <c r="W51" s="696">
        <v>430</v>
      </c>
      <c r="X51" s="694" t="s">
        <v>146</v>
      </c>
      <c r="Y51" s="694">
        <v>0</v>
      </c>
      <c r="Z51" s="694">
        <v>-1610700.93</v>
      </c>
      <c r="AA51" s="694">
        <v>-1610700.93</v>
      </c>
      <c r="AB51" s="695">
        <v>0</v>
      </c>
      <c r="AD51" s="696">
        <v>430</v>
      </c>
      <c r="AE51" s="694" t="s">
        <v>146</v>
      </c>
      <c r="AF51" s="694">
        <v>0</v>
      </c>
      <c r="AG51" s="694">
        <v>18910.09</v>
      </c>
      <c r="AH51" s="694">
        <v>18910.09</v>
      </c>
      <c r="AI51" s="695">
        <v>0</v>
      </c>
      <c r="AK51" s="696">
        <v>430</v>
      </c>
      <c r="AL51" s="694" t="s">
        <v>146</v>
      </c>
      <c r="AM51" s="694">
        <v>0</v>
      </c>
      <c r="AN51" s="694">
        <v>2671035.4</v>
      </c>
      <c r="AO51" s="694">
        <v>2671035.4</v>
      </c>
      <c r="AP51" s="695">
        <v>0</v>
      </c>
    </row>
    <row r="52" spans="2:42" ht="13" x14ac:dyDescent="0.3">
      <c r="B52" s="662">
        <v>440</v>
      </c>
      <c r="C52" s="671" t="s">
        <v>147</v>
      </c>
      <c r="D52" s="675">
        <v>0</v>
      </c>
      <c r="E52" s="675">
        <v>985539.32</v>
      </c>
      <c r="F52" s="675">
        <v>-4836912.21</v>
      </c>
      <c r="G52" s="676">
        <v>-5822451.5300000003</v>
      </c>
      <c r="I52" s="692">
        <v>440</v>
      </c>
      <c r="J52" s="693" t="s">
        <v>147</v>
      </c>
      <c r="K52" s="693">
        <v>0</v>
      </c>
      <c r="L52" s="693">
        <v>-835986.06</v>
      </c>
      <c r="M52" s="693">
        <v>-1006352.3</v>
      </c>
      <c r="N52" s="697">
        <v>-170366.24</v>
      </c>
      <c r="P52" s="692">
        <v>440</v>
      </c>
      <c r="Q52" s="693" t="s">
        <v>147</v>
      </c>
      <c r="R52" s="693">
        <v>-182906.02</v>
      </c>
      <c r="S52" s="693">
        <v>1488301.47</v>
      </c>
      <c r="T52" s="693">
        <v>669124.53</v>
      </c>
      <c r="U52" s="697">
        <v>-819176.94</v>
      </c>
      <c r="W52" s="692">
        <v>440</v>
      </c>
      <c r="X52" s="693" t="s">
        <v>147</v>
      </c>
      <c r="Y52" s="693">
        <v>0</v>
      </c>
      <c r="Z52" s="693">
        <v>-1210200.93</v>
      </c>
      <c r="AA52" s="693">
        <v>-1210200.93</v>
      </c>
      <c r="AB52" s="697">
        <v>0</v>
      </c>
      <c r="AD52" s="692">
        <v>440</v>
      </c>
      <c r="AE52" s="693" t="s">
        <v>147</v>
      </c>
      <c r="AF52" s="693">
        <v>0</v>
      </c>
      <c r="AG52" s="693">
        <v>23910.09</v>
      </c>
      <c r="AH52" s="693">
        <v>23910.09</v>
      </c>
      <c r="AI52" s="697">
        <v>0</v>
      </c>
      <c r="AK52" s="692">
        <v>440</v>
      </c>
      <c r="AL52" s="693" t="s">
        <v>147</v>
      </c>
      <c r="AM52" s="693">
        <v>-259653.47</v>
      </c>
      <c r="AN52" s="693">
        <v>13029903.529999999</v>
      </c>
      <c r="AO52" s="693">
        <v>12604786.26</v>
      </c>
      <c r="AP52" s="697">
        <v>-425117.27</v>
      </c>
    </row>
    <row r="53" spans="2:42" x14ac:dyDescent="0.25">
      <c r="B53" s="658">
        <v>450</v>
      </c>
      <c r="C53" s="674" t="s">
        <v>148</v>
      </c>
      <c r="D53" s="672">
        <v>0</v>
      </c>
      <c r="E53" s="672">
        <v>0</v>
      </c>
      <c r="F53" s="672">
        <v>0</v>
      </c>
      <c r="G53" s="673">
        <v>0</v>
      </c>
      <c r="I53" s="696">
        <v>450</v>
      </c>
      <c r="J53" s="694" t="s">
        <v>148</v>
      </c>
      <c r="K53" s="694">
        <v>0</v>
      </c>
      <c r="L53" s="694">
        <v>0</v>
      </c>
      <c r="M53" s="694">
        <v>0</v>
      </c>
      <c r="N53" s="695">
        <v>0</v>
      </c>
      <c r="P53" s="696">
        <v>450</v>
      </c>
      <c r="Q53" s="694" t="s">
        <v>148</v>
      </c>
      <c r="R53" s="694">
        <v>0</v>
      </c>
      <c r="S53" s="694">
        <v>0</v>
      </c>
      <c r="T53" s="694">
        <v>0</v>
      </c>
      <c r="U53" s="695">
        <v>0</v>
      </c>
      <c r="V53" s="6"/>
      <c r="W53" s="696">
        <v>450</v>
      </c>
      <c r="X53" s="694" t="s">
        <v>148</v>
      </c>
      <c r="Y53" s="694">
        <v>0</v>
      </c>
      <c r="Z53" s="694">
        <v>0</v>
      </c>
      <c r="AA53" s="694">
        <v>0</v>
      </c>
      <c r="AB53" s="695">
        <v>0</v>
      </c>
      <c r="AD53" s="696">
        <v>450</v>
      </c>
      <c r="AE53" s="694" t="s">
        <v>148</v>
      </c>
      <c r="AF53" s="694">
        <v>0</v>
      </c>
      <c r="AG53" s="694">
        <v>0</v>
      </c>
      <c r="AH53" s="694">
        <v>0</v>
      </c>
      <c r="AI53" s="695">
        <v>0</v>
      </c>
      <c r="AK53" s="696">
        <v>450</v>
      </c>
      <c r="AL53" s="694" t="s">
        <v>148</v>
      </c>
      <c r="AM53" s="694">
        <v>0</v>
      </c>
      <c r="AN53" s="694">
        <v>0</v>
      </c>
      <c r="AO53" s="694">
        <v>0</v>
      </c>
      <c r="AP53" s="695">
        <v>0</v>
      </c>
    </row>
    <row r="54" spans="2:42" x14ac:dyDescent="0.25">
      <c r="B54" s="658">
        <v>455</v>
      </c>
      <c r="C54" s="674" t="s">
        <v>149</v>
      </c>
      <c r="D54" s="672">
        <v>0</v>
      </c>
      <c r="E54" s="672">
        <v>-4889639.1500000004</v>
      </c>
      <c r="F54" s="672">
        <v>-4889639.1500000004</v>
      </c>
      <c r="G54" s="673">
        <v>0</v>
      </c>
      <c r="I54" s="696">
        <v>455</v>
      </c>
      <c r="J54" s="694" t="s">
        <v>149</v>
      </c>
      <c r="K54" s="694">
        <v>0</v>
      </c>
      <c r="L54" s="694">
        <v>-10663.87</v>
      </c>
      <c r="M54" s="694">
        <v>-10663.87</v>
      </c>
      <c r="N54" s="695">
        <v>0</v>
      </c>
      <c r="P54" s="696">
        <v>455</v>
      </c>
      <c r="Q54" s="694" t="s">
        <v>149</v>
      </c>
      <c r="R54" s="694">
        <v>0</v>
      </c>
      <c r="S54" s="694">
        <v>-602171</v>
      </c>
      <c r="T54" s="694">
        <v>-602171</v>
      </c>
      <c r="U54" s="695">
        <v>0</v>
      </c>
      <c r="W54" s="696">
        <v>455</v>
      </c>
      <c r="X54" s="694" t="s">
        <v>149</v>
      </c>
      <c r="Y54" s="694">
        <v>0</v>
      </c>
      <c r="Z54" s="694">
        <v>0</v>
      </c>
      <c r="AA54" s="694">
        <v>0</v>
      </c>
      <c r="AB54" s="695">
        <v>0</v>
      </c>
      <c r="AD54" s="696">
        <v>455</v>
      </c>
      <c r="AE54" s="694" t="s">
        <v>149</v>
      </c>
      <c r="AF54" s="694">
        <v>0</v>
      </c>
      <c r="AG54" s="694">
        <v>0</v>
      </c>
      <c r="AH54" s="694">
        <v>0</v>
      </c>
      <c r="AI54" s="695">
        <v>0</v>
      </c>
      <c r="AK54" s="696">
        <v>455</v>
      </c>
      <c r="AL54" s="694" t="s">
        <v>149</v>
      </c>
      <c r="AM54" s="694">
        <v>-3325</v>
      </c>
      <c r="AN54" s="694">
        <v>-14877466.130000001</v>
      </c>
      <c r="AO54" s="694">
        <v>-14899290.880000001</v>
      </c>
      <c r="AP54" s="695">
        <v>-21824.75</v>
      </c>
    </row>
    <row r="55" spans="2:42" x14ac:dyDescent="0.25">
      <c r="B55" s="658">
        <v>456</v>
      </c>
      <c r="C55" s="674" t="s">
        <v>150</v>
      </c>
      <c r="D55" s="672">
        <v>0</v>
      </c>
      <c r="E55" s="672">
        <v>1750200.64</v>
      </c>
      <c r="F55" s="672">
        <v>1807429.2</v>
      </c>
      <c r="G55" s="673">
        <v>57228.56</v>
      </c>
      <c r="I55" s="696">
        <v>456</v>
      </c>
      <c r="J55" s="694" t="s">
        <v>150</v>
      </c>
      <c r="K55" s="694">
        <v>649.71</v>
      </c>
      <c r="L55" s="694">
        <v>113026.83</v>
      </c>
      <c r="M55" s="694">
        <v>116925.09</v>
      </c>
      <c r="N55" s="695">
        <v>3898.26</v>
      </c>
      <c r="P55" s="696">
        <v>456</v>
      </c>
      <c r="Q55" s="694" t="s">
        <v>150</v>
      </c>
      <c r="R55" s="694">
        <v>0</v>
      </c>
      <c r="S55" s="694">
        <v>426817.44</v>
      </c>
      <c r="T55" s="694">
        <v>426817.44</v>
      </c>
      <c r="U55" s="695">
        <v>0</v>
      </c>
      <c r="W55" s="696">
        <v>456</v>
      </c>
      <c r="X55" s="694" t="s">
        <v>150</v>
      </c>
      <c r="Y55" s="694">
        <v>0</v>
      </c>
      <c r="Z55" s="694">
        <v>0</v>
      </c>
      <c r="AA55" s="694">
        <v>0</v>
      </c>
      <c r="AB55" s="695">
        <v>0</v>
      </c>
      <c r="AD55" s="696">
        <v>456</v>
      </c>
      <c r="AE55" s="694" t="s">
        <v>150</v>
      </c>
      <c r="AF55" s="694">
        <v>0</v>
      </c>
      <c r="AG55" s="694">
        <v>0</v>
      </c>
      <c r="AH55" s="694">
        <v>0</v>
      </c>
      <c r="AI55" s="695">
        <v>0</v>
      </c>
      <c r="AK55" s="696">
        <v>456</v>
      </c>
      <c r="AL55" s="694" t="s">
        <v>150</v>
      </c>
      <c r="AM55" s="694">
        <v>21002.41</v>
      </c>
      <c r="AN55" s="694">
        <v>4009918.96</v>
      </c>
      <c r="AO55" s="694">
        <v>4135933.42</v>
      </c>
      <c r="AP55" s="695">
        <v>126014.46</v>
      </c>
    </row>
    <row r="56" spans="2:42" x14ac:dyDescent="0.25">
      <c r="B56" s="658">
        <v>460</v>
      </c>
      <c r="C56" s="674" t="s">
        <v>151</v>
      </c>
      <c r="D56" s="672">
        <v>0</v>
      </c>
      <c r="E56" s="672">
        <v>-3011845.7</v>
      </c>
      <c r="F56" s="672">
        <v>-3014040.31</v>
      </c>
      <c r="G56" s="673">
        <v>-2194.61</v>
      </c>
      <c r="I56" s="696">
        <v>460</v>
      </c>
      <c r="J56" s="694" t="s">
        <v>151</v>
      </c>
      <c r="K56" s="694">
        <v>0</v>
      </c>
      <c r="L56" s="694">
        <v>-253947.03</v>
      </c>
      <c r="M56" s="694">
        <v>-253947.03</v>
      </c>
      <c r="N56" s="695">
        <v>0</v>
      </c>
      <c r="P56" s="696">
        <v>460</v>
      </c>
      <c r="Q56" s="694" t="s">
        <v>151</v>
      </c>
      <c r="R56" s="694">
        <v>-1282.0999999999999</v>
      </c>
      <c r="S56" s="694">
        <v>-1288969.1399999999</v>
      </c>
      <c r="T56" s="694">
        <v>-1298845.54</v>
      </c>
      <c r="U56" s="695">
        <v>-9876.4</v>
      </c>
      <c r="W56" s="696">
        <v>460</v>
      </c>
      <c r="X56" s="694" t="s">
        <v>151</v>
      </c>
      <c r="Y56" s="694">
        <v>0</v>
      </c>
      <c r="Z56" s="694">
        <v>-487343.91</v>
      </c>
      <c r="AA56" s="694">
        <v>-487343.91</v>
      </c>
      <c r="AB56" s="695">
        <v>0</v>
      </c>
      <c r="AD56" s="696">
        <v>460</v>
      </c>
      <c r="AE56" s="694" t="s">
        <v>151</v>
      </c>
      <c r="AF56" s="694">
        <v>0</v>
      </c>
      <c r="AG56" s="694">
        <v>-433458.85</v>
      </c>
      <c r="AH56" s="694">
        <v>-439267.14</v>
      </c>
      <c r="AI56" s="695">
        <v>-5808.29</v>
      </c>
      <c r="AK56" s="696">
        <v>460</v>
      </c>
      <c r="AL56" s="694" t="s">
        <v>151</v>
      </c>
      <c r="AM56" s="694">
        <v>0</v>
      </c>
      <c r="AN56" s="694">
        <v>-1921687.96</v>
      </c>
      <c r="AO56" s="694">
        <v>-1921687.96</v>
      </c>
      <c r="AP56" s="695">
        <v>0</v>
      </c>
    </row>
    <row r="57" spans="2:42" x14ac:dyDescent="0.25">
      <c r="B57" s="658">
        <v>470</v>
      </c>
      <c r="C57" s="674" t="s">
        <v>152</v>
      </c>
      <c r="D57" s="672">
        <v>0</v>
      </c>
      <c r="E57" s="672">
        <v>3010521.06</v>
      </c>
      <c r="F57" s="672">
        <v>3010521.06</v>
      </c>
      <c r="G57" s="673">
        <v>0</v>
      </c>
      <c r="I57" s="696">
        <v>470</v>
      </c>
      <c r="J57" s="694" t="s">
        <v>152</v>
      </c>
      <c r="K57" s="694">
        <v>-19976.96</v>
      </c>
      <c r="L57" s="694">
        <v>264758.34000000003</v>
      </c>
      <c r="M57" s="694">
        <v>247806.5</v>
      </c>
      <c r="N57" s="695">
        <v>-16951.84</v>
      </c>
      <c r="P57" s="696">
        <v>470</v>
      </c>
      <c r="Q57" s="694" t="s">
        <v>152</v>
      </c>
      <c r="R57" s="694">
        <v>2089.35</v>
      </c>
      <c r="S57" s="694">
        <v>754419.56</v>
      </c>
      <c r="T57" s="694">
        <v>765700.16</v>
      </c>
      <c r="U57" s="695">
        <v>11280.6</v>
      </c>
      <c r="W57" s="696">
        <v>470</v>
      </c>
      <c r="X57" s="694" t="s">
        <v>152</v>
      </c>
      <c r="Y57" s="694">
        <v>7634.62</v>
      </c>
      <c r="Z57" s="694">
        <v>227563.45</v>
      </c>
      <c r="AA57" s="694">
        <v>273371.17</v>
      </c>
      <c r="AB57" s="695">
        <v>45807.72</v>
      </c>
      <c r="AD57" s="696">
        <v>470</v>
      </c>
      <c r="AE57" s="694" t="s">
        <v>152</v>
      </c>
      <c r="AF57" s="694">
        <v>0</v>
      </c>
      <c r="AG57" s="694">
        <v>467510.64</v>
      </c>
      <c r="AH57" s="694">
        <v>489263.52</v>
      </c>
      <c r="AI57" s="695">
        <v>21752.880000000001</v>
      </c>
      <c r="AK57" s="696">
        <v>470</v>
      </c>
      <c r="AL57" s="694" t="s">
        <v>152</v>
      </c>
      <c r="AM57" s="694">
        <v>0</v>
      </c>
      <c r="AN57" s="694">
        <v>129731.1</v>
      </c>
      <c r="AO57" s="694">
        <v>129731.1</v>
      </c>
      <c r="AP57" s="695">
        <v>0</v>
      </c>
    </row>
    <row r="58" spans="2:42" x14ac:dyDescent="0.25">
      <c r="B58" s="658">
        <v>480</v>
      </c>
      <c r="C58" s="674" t="s">
        <v>153</v>
      </c>
      <c r="D58" s="672">
        <v>0</v>
      </c>
      <c r="E58" s="672">
        <v>0</v>
      </c>
      <c r="F58" s="672">
        <v>0</v>
      </c>
      <c r="G58" s="673">
        <v>0</v>
      </c>
      <c r="I58" s="696">
        <v>480</v>
      </c>
      <c r="J58" s="694" t="s">
        <v>153</v>
      </c>
      <c r="K58" s="694">
        <v>0</v>
      </c>
      <c r="L58" s="694">
        <v>-29292.45</v>
      </c>
      <c r="M58" s="694">
        <v>-29292.45</v>
      </c>
      <c r="N58" s="695">
        <v>0</v>
      </c>
      <c r="P58" s="696">
        <v>480</v>
      </c>
      <c r="Q58" s="694" t="s">
        <v>153</v>
      </c>
      <c r="R58" s="694">
        <v>0</v>
      </c>
      <c r="S58" s="694">
        <v>0</v>
      </c>
      <c r="T58" s="694">
        <v>0</v>
      </c>
      <c r="U58" s="695">
        <v>0</v>
      </c>
      <c r="W58" s="696">
        <v>480</v>
      </c>
      <c r="X58" s="694" t="s">
        <v>153</v>
      </c>
      <c r="Y58" s="694">
        <v>0</v>
      </c>
      <c r="Z58" s="694">
        <v>0</v>
      </c>
      <c r="AA58" s="694">
        <v>-990</v>
      </c>
      <c r="AB58" s="695">
        <v>-990</v>
      </c>
      <c r="AD58" s="696">
        <v>480</v>
      </c>
      <c r="AE58" s="694" t="s">
        <v>153</v>
      </c>
      <c r="AF58" s="694">
        <v>0</v>
      </c>
      <c r="AG58" s="694">
        <v>-26859.01</v>
      </c>
      <c r="AH58" s="694">
        <v>-26859.01</v>
      </c>
      <c r="AI58" s="695">
        <v>0</v>
      </c>
      <c r="AK58" s="696">
        <v>480</v>
      </c>
      <c r="AL58" s="694" t="s">
        <v>153</v>
      </c>
      <c r="AM58" s="694">
        <v>0</v>
      </c>
      <c r="AN58" s="694">
        <v>0</v>
      </c>
      <c r="AO58" s="694">
        <v>0</v>
      </c>
      <c r="AP58" s="695">
        <v>0</v>
      </c>
    </row>
    <row r="59" spans="2:42" x14ac:dyDescent="0.25">
      <c r="B59" s="658">
        <v>490</v>
      </c>
      <c r="C59" s="674" t="s">
        <v>154</v>
      </c>
      <c r="D59" s="672">
        <v>0</v>
      </c>
      <c r="E59" s="672">
        <v>-236894.7</v>
      </c>
      <c r="F59" s="672">
        <v>-236894.7</v>
      </c>
      <c r="G59" s="673">
        <v>0</v>
      </c>
      <c r="I59" s="696">
        <v>490</v>
      </c>
      <c r="J59" s="694" t="s">
        <v>154</v>
      </c>
      <c r="K59" s="694">
        <v>20733.240000000002</v>
      </c>
      <c r="L59" s="694">
        <v>-20733.240000000002</v>
      </c>
      <c r="M59" s="694">
        <v>0</v>
      </c>
      <c r="N59" s="695">
        <v>20733.240000000002</v>
      </c>
      <c r="P59" s="696">
        <v>490</v>
      </c>
      <c r="Q59" s="694" t="s">
        <v>154</v>
      </c>
      <c r="R59" s="694">
        <v>0</v>
      </c>
      <c r="S59" s="694">
        <v>0</v>
      </c>
      <c r="T59" s="694">
        <v>0</v>
      </c>
      <c r="U59" s="695">
        <v>0</v>
      </c>
      <c r="W59" s="696">
        <v>490</v>
      </c>
      <c r="X59" s="694" t="s">
        <v>154</v>
      </c>
      <c r="Y59" s="694">
        <v>0</v>
      </c>
      <c r="Z59" s="694">
        <v>0</v>
      </c>
      <c r="AA59" s="694">
        <v>0</v>
      </c>
      <c r="AB59" s="695">
        <v>0</v>
      </c>
      <c r="AD59" s="696">
        <v>490</v>
      </c>
      <c r="AE59" s="694" t="s">
        <v>154</v>
      </c>
      <c r="AF59" s="694">
        <v>0</v>
      </c>
      <c r="AG59" s="694">
        <v>660</v>
      </c>
      <c r="AH59" s="694">
        <v>660</v>
      </c>
      <c r="AI59" s="695">
        <v>0</v>
      </c>
      <c r="AK59" s="696">
        <v>490</v>
      </c>
      <c r="AL59" s="694" t="s">
        <v>154</v>
      </c>
      <c r="AM59" s="694">
        <v>0</v>
      </c>
      <c r="AN59" s="694">
        <v>0</v>
      </c>
      <c r="AO59" s="694">
        <v>0</v>
      </c>
      <c r="AP59" s="695">
        <v>0</v>
      </c>
    </row>
    <row r="60" spans="2:42" x14ac:dyDescent="0.25">
      <c r="B60" s="658">
        <v>500</v>
      </c>
      <c r="C60" s="674" t="s">
        <v>155</v>
      </c>
      <c r="D60" s="672">
        <v>0</v>
      </c>
      <c r="E60" s="672">
        <v>0</v>
      </c>
      <c r="F60" s="672">
        <v>0</v>
      </c>
      <c r="G60" s="673">
        <v>0</v>
      </c>
      <c r="I60" s="696">
        <v>500</v>
      </c>
      <c r="J60" s="694" t="s">
        <v>155</v>
      </c>
      <c r="K60" s="694">
        <v>0</v>
      </c>
      <c r="L60" s="694">
        <v>0</v>
      </c>
      <c r="M60" s="694">
        <v>0</v>
      </c>
      <c r="N60" s="695">
        <v>0</v>
      </c>
      <c r="P60" s="696">
        <v>500</v>
      </c>
      <c r="Q60" s="694" t="s">
        <v>155</v>
      </c>
      <c r="R60" s="694">
        <v>0</v>
      </c>
      <c r="S60" s="694">
        <v>0</v>
      </c>
      <c r="T60" s="694">
        <v>0</v>
      </c>
      <c r="U60" s="695">
        <v>0</v>
      </c>
      <c r="W60" s="696">
        <v>500</v>
      </c>
      <c r="X60" s="694" t="s">
        <v>155</v>
      </c>
      <c r="Y60" s="694">
        <v>0</v>
      </c>
      <c r="Z60" s="694">
        <v>0</v>
      </c>
      <c r="AA60" s="694">
        <v>0</v>
      </c>
      <c r="AB60" s="695">
        <v>0</v>
      </c>
      <c r="AD60" s="696">
        <v>500</v>
      </c>
      <c r="AE60" s="694" t="s">
        <v>155</v>
      </c>
      <c r="AF60" s="694">
        <v>0</v>
      </c>
      <c r="AG60" s="694">
        <v>0</v>
      </c>
      <c r="AH60" s="694">
        <v>0</v>
      </c>
      <c r="AI60" s="695">
        <v>0</v>
      </c>
      <c r="AK60" s="696">
        <v>500</v>
      </c>
      <c r="AL60" s="694" t="s">
        <v>155</v>
      </c>
      <c r="AM60" s="694">
        <v>0</v>
      </c>
      <c r="AN60" s="694">
        <v>0</v>
      </c>
      <c r="AO60" s="694">
        <v>0</v>
      </c>
      <c r="AP60" s="695">
        <v>0</v>
      </c>
    </row>
    <row r="61" spans="2:42" x14ac:dyDescent="0.25">
      <c r="B61" s="658">
        <v>510</v>
      </c>
      <c r="C61" s="674" t="s">
        <v>156</v>
      </c>
      <c r="D61" s="672">
        <v>0</v>
      </c>
      <c r="E61" s="672">
        <v>-140650.65</v>
      </c>
      <c r="F61" s="672">
        <v>-140650.65</v>
      </c>
      <c r="G61" s="673">
        <v>0</v>
      </c>
      <c r="I61" s="696">
        <v>510</v>
      </c>
      <c r="J61" s="694" t="s">
        <v>156</v>
      </c>
      <c r="K61" s="694">
        <v>0</v>
      </c>
      <c r="L61" s="694">
        <v>11934.95</v>
      </c>
      <c r="M61" s="694">
        <v>11934.95</v>
      </c>
      <c r="N61" s="695">
        <v>0</v>
      </c>
      <c r="P61" s="696">
        <v>510</v>
      </c>
      <c r="Q61" s="694" t="s">
        <v>156</v>
      </c>
      <c r="R61" s="694">
        <v>0</v>
      </c>
      <c r="S61" s="694">
        <v>0</v>
      </c>
      <c r="T61" s="694">
        <v>0</v>
      </c>
      <c r="U61" s="695">
        <v>0</v>
      </c>
      <c r="W61" s="696">
        <v>510</v>
      </c>
      <c r="X61" s="694" t="s">
        <v>156</v>
      </c>
      <c r="Y61" s="694">
        <v>0</v>
      </c>
      <c r="Z61" s="694">
        <v>0</v>
      </c>
      <c r="AA61" s="694">
        <v>0</v>
      </c>
      <c r="AB61" s="695">
        <v>0</v>
      </c>
      <c r="AD61" s="696">
        <v>510</v>
      </c>
      <c r="AE61" s="694" t="s">
        <v>156</v>
      </c>
      <c r="AF61" s="694">
        <v>0</v>
      </c>
      <c r="AG61" s="694">
        <v>0</v>
      </c>
      <c r="AH61" s="694">
        <v>0</v>
      </c>
      <c r="AI61" s="695">
        <v>0</v>
      </c>
      <c r="AK61" s="696">
        <v>510</v>
      </c>
      <c r="AL61" s="694" t="s">
        <v>156</v>
      </c>
      <c r="AM61" s="694">
        <v>0</v>
      </c>
      <c r="AN61" s="694">
        <v>0</v>
      </c>
      <c r="AO61" s="694">
        <v>0</v>
      </c>
      <c r="AP61" s="695">
        <v>0</v>
      </c>
    </row>
    <row r="62" spans="2:42" x14ac:dyDescent="0.25">
      <c r="B62" s="658">
        <v>512</v>
      </c>
      <c r="C62" s="674" t="s">
        <v>157</v>
      </c>
      <c r="D62" s="672">
        <v>0</v>
      </c>
      <c r="E62" s="672">
        <v>-232601.06</v>
      </c>
      <c r="F62" s="672">
        <v>-232601.06</v>
      </c>
      <c r="G62" s="673">
        <v>0</v>
      </c>
      <c r="I62" s="696">
        <v>512</v>
      </c>
      <c r="J62" s="694" t="s">
        <v>157</v>
      </c>
      <c r="K62" s="694">
        <v>0</v>
      </c>
      <c r="L62" s="694">
        <v>0</v>
      </c>
      <c r="M62" s="694">
        <v>0</v>
      </c>
      <c r="N62" s="695">
        <v>0</v>
      </c>
      <c r="P62" s="696">
        <v>512</v>
      </c>
      <c r="Q62" s="694" t="s">
        <v>157</v>
      </c>
      <c r="R62" s="694">
        <v>0</v>
      </c>
      <c r="S62" s="694">
        <v>0</v>
      </c>
      <c r="T62" s="694">
        <v>0</v>
      </c>
      <c r="U62" s="695">
        <v>0</v>
      </c>
      <c r="W62" s="696">
        <v>512</v>
      </c>
      <c r="X62" s="694" t="s">
        <v>157</v>
      </c>
      <c r="Y62" s="694">
        <v>0</v>
      </c>
      <c r="Z62" s="694">
        <v>0</v>
      </c>
      <c r="AA62" s="694">
        <v>0</v>
      </c>
      <c r="AB62" s="695">
        <v>0</v>
      </c>
      <c r="AD62" s="696">
        <v>512</v>
      </c>
      <c r="AE62" s="694" t="s">
        <v>157</v>
      </c>
      <c r="AF62" s="694">
        <v>0</v>
      </c>
      <c r="AG62" s="694">
        <v>0</v>
      </c>
      <c r="AH62" s="694">
        <v>0</v>
      </c>
      <c r="AI62" s="695">
        <v>0</v>
      </c>
      <c r="AK62" s="696">
        <v>512</v>
      </c>
      <c r="AL62" s="694" t="s">
        <v>157</v>
      </c>
      <c r="AM62" s="694">
        <v>0</v>
      </c>
      <c r="AN62" s="694">
        <v>0</v>
      </c>
      <c r="AO62" s="694">
        <v>0</v>
      </c>
      <c r="AP62" s="695">
        <v>0</v>
      </c>
    </row>
    <row r="63" spans="2:42" x14ac:dyDescent="0.25">
      <c r="B63" s="658">
        <v>514</v>
      </c>
      <c r="C63" s="674" t="s">
        <v>158</v>
      </c>
      <c r="D63" s="672">
        <v>0</v>
      </c>
      <c r="E63" s="672">
        <v>232601</v>
      </c>
      <c r="F63" s="672">
        <v>232601</v>
      </c>
      <c r="G63" s="673">
        <v>0</v>
      </c>
      <c r="I63" s="696">
        <v>514</v>
      </c>
      <c r="J63" s="694" t="s">
        <v>158</v>
      </c>
      <c r="K63" s="694">
        <v>0</v>
      </c>
      <c r="L63" s="694">
        <v>0</v>
      </c>
      <c r="M63" s="694">
        <v>0</v>
      </c>
      <c r="N63" s="695">
        <v>0</v>
      </c>
      <c r="P63" s="696">
        <v>514</v>
      </c>
      <c r="Q63" s="694" t="s">
        <v>158</v>
      </c>
      <c r="R63" s="694">
        <v>0</v>
      </c>
      <c r="S63" s="694">
        <v>0</v>
      </c>
      <c r="T63" s="694">
        <v>0</v>
      </c>
      <c r="U63" s="695">
        <v>0</v>
      </c>
      <c r="W63" s="696">
        <v>514</v>
      </c>
      <c r="X63" s="694" t="s">
        <v>158</v>
      </c>
      <c r="Y63" s="694">
        <v>0</v>
      </c>
      <c r="Z63" s="694">
        <v>0</v>
      </c>
      <c r="AA63" s="694">
        <v>0</v>
      </c>
      <c r="AB63" s="695">
        <v>0</v>
      </c>
      <c r="AD63" s="696">
        <v>514</v>
      </c>
      <c r="AE63" s="694" t="s">
        <v>158</v>
      </c>
      <c r="AF63" s="694">
        <v>0</v>
      </c>
      <c r="AG63" s="694">
        <v>0</v>
      </c>
      <c r="AH63" s="694">
        <v>0</v>
      </c>
      <c r="AI63" s="695">
        <v>0</v>
      </c>
      <c r="AK63" s="696">
        <v>514</v>
      </c>
      <c r="AL63" s="694" t="s">
        <v>158</v>
      </c>
      <c r="AM63" s="694">
        <v>0</v>
      </c>
      <c r="AN63" s="694">
        <v>0</v>
      </c>
      <c r="AO63" s="694">
        <v>0</v>
      </c>
      <c r="AP63" s="695">
        <v>0</v>
      </c>
    </row>
    <row r="64" spans="2:42" x14ac:dyDescent="0.25">
      <c r="B64" s="658">
        <v>520</v>
      </c>
      <c r="C64" s="674" t="s">
        <v>541</v>
      </c>
      <c r="D64" s="672">
        <v>0</v>
      </c>
      <c r="E64" s="672">
        <v>-10000</v>
      </c>
      <c r="F64" s="672">
        <v>-10000</v>
      </c>
      <c r="G64" s="673">
        <v>0</v>
      </c>
      <c r="I64" s="696">
        <v>520</v>
      </c>
      <c r="J64" s="694" t="s">
        <v>541</v>
      </c>
      <c r="K64" s="694">
        <v>0</v>
      </c>
      <c r="L64" s="694">
        <v>0</v>
      </c>
      <c r="M64" s="694">
        <v>0</v>
      </c>
      <c r="N64" s="695">
        <v>0</v>
      </c>
      <c r="P64" s="696">
        <v>520</v>
      </c>
      <c r="Q64" s="694" t="s">
        <v>541</v>
      </c>
      <c r="R64" s="694">
        <v>0</v>
      </c>
      <c r="S64" s="694">
        <v>0</v>
      </c>
      <c r="T64" s="694">
        <v>0</v>
      </c>
      <c r="U64" s="695">
        <v>0</v>
      </c>
      <c r="W64" s="696">
        <v>520</v>
      </c>
      <c r="X64" s="694" t="s">
        <v>541</v>
      </c>
      <c r="Y64" s="694">
        <v>0</v>
      </c>
      <c r="Z64" s="694">
        <v>0</v>
      </c>
      <c r="AA64" s="694">
        <v>0</v>
      </c>
      <c r="AB64" s="695">
        <v>0</v>
      </c>
      <c r="AD64" s="696">
        <v>520</v>
      </c>
      <c r="AE64" s="694" t="s">
        <v>541</v>
      </c>
      <c r="AF64" s="694">
        <v>0</v>
      </c>
      <c r="AG64" s="694">
        <v>0</v>
      </c>
      <c r="AH64" s="694">
        <v>0</v>
      </c>
      <c r="AI64" s="695">
        <v>0</v>
      </c>
      <c r="AK64" s="696">
        <v>520</v>
      </c>
      <c r="AL64" s="694" t="s">
        <v>541</v>
      </c>
      <c r="AM64" s="694">
        <v>0</v>
      </c>
      <c r="AN64" s="694">
        <v>0</v>
      </c>
      <c r="AO64" s="694">
        <v>0</v>
      </c>
      <c r="AP64" s="695">
        <v>0</v>
      </c>
    </row>
    <row r="65" spans="2:42" x14ac:dyDescent="0.25">
      <c r="B65" s="658">
        <v>530</v>
      </c>
      <c r="C65" s="674" t="s">
        <v>542</v>
      </c>
      <c r="D65" s="672">
        <v>0</v>
      </c>
      <c r="E65" s="672">
        <v>139291</v>
      </c>
      <c r="F65" s="672">
        <v>139291</v>
      </c>
      <c r="G65" s="673">
        <v>0</v>
      </c>
      <c r="I65" s="696">
        <v>530</v>
      </c>
      <c r="J65" s="694" t="s">
        <v>542</v>
      </c>
      <c r="K65" s="694">
        <v>0</v>
      </c>
      <c r="L65" s="694">
        <v>0</v>
      </c>
      <c r="M65" s="694">
        <v>0</v>
      </c>
      <c r="N65" s="695">
        <v>0</v>
      </c>
      <c r="P65" s="696">
        <v>530</v>
      </c>
      <c r="Q65" s="694" t="s">
        <v>542</v>
      </c>
      <c r="R65" s="694">
        <v>999.96</v>
      </c>
      <c r="S65" s="694">
        <v>293008.88</v>
      </c>
      <c r="T65" s="694">
        <v>299008.64000000001</v>
      </c>
      <c r="U65" s="695">
        <v>5999.76</v>
      </c>
      <c r="W65" s="696">
        <v>530</v>
      </c>
      <c r="X65" s="694" t="s">
        <v>542</v>
      </c>
      <c r="Y65" s="694">
        <v>0</v>
      </c>
      <c r="Z65" s="694">
        <v>0</v>
      </c>
      <c r="AA65" s="694">
        <v>0</v>
      </c>
      <c r="AB65" s="695">
        <v>0</v>
      </c>
      <c r="AD65" s="696">
        <v>530</v>
      </c>
      <c r="AE65" s="694" t="s">
        <v>542</v>
      </c>
      <c r="AF65" s="694">
        <v>0</v>
      </c>
      <c r="AG65" s="694">
        <v>0</v>
      </c>
      <c r="AH65" s="694">
        <v>0</v>
      </c>
      <c r="AI65" s="695">
        <v>0</v>
      </c>
      <c r="AK65" s="696">
        <v>530</v>
      </c>
      <c r="AL65" s="694" t="s">
        <v>542</v>
      </c>
      <c r="AM65" s="694">
        <v>0</v>
      </c>
      <c r="AN65" s="694">
        <v>0</v>
      </c>
      <c r="AO65" s="694">
        <v>0</v>
      </c>
      <c r="AP65" s="695">
        <v>0</v>
      </c>
    </row>
    <row r="66" spans="2:42" x14ac:dyDescent="0.25">
      <c r="B66" s="658">
        <v>540</v>
      </c>
      <c r="C66" s="674" t="s">
        <v>543</v>
      </c>
      <c r="D66" s="672">
        <v>0</v>
      </c>
      <c r="E66" s="672">
        <v>-259732.53</v>
      </c>
      <c r="F66" s="672">
        <v>-259732.53</v>
      </c>
      <c r="G66" s="673">
        <v>0</v>
      </c>
      <c r="I66" s="696">
        <v>540</v>
      </c>
      <c r="J66" s="694" t="s">
        <v>543</v>
      </c>
      <c r="K66" s="694">
        <v>0</v>
      </c>
      <c r="L66" s="694">
        <v>-97000</v>
      </c>
      <c r="M66" s="694">
        <v>-97000</v>
      </c>
      <c r="N66" s="695">
        <v>0</v>
      </c>
      <c r="P66" s="696">
        <v>540</v>
      </c>
      <c r="Q66" s="694" t="s">
        <v>543</v>
      </c>
      <c r="R66" s="694">
        <v>0</v>
      </c>
      <c r="S66" s="694">
        <v>-194984</v>
      </c>
      <c r="T66" s="694">
        <v>-194984</v>
      </c>
      <c r="U66" s="695">
        <v>0</v>
      </c>
      <c r="W66" s="696">
        <v>540</v>
      </c>
      <c r="X66" s="694" t="s">
        <v>543</v>
      </c>
      <c r="Y66" s="694">
        <v>0</v>
      </c>
      <c r="Z66" s="694">
        <v>-34400</v>
      </c>
      <c r="AA66" s="694">
        <v>-34400</v>
      </c>
      <c r="AB66" s="695">
        <v>0</v>
      </c>
      <c r="AD66" s="696">
        <v>540</v>
      </c>
      <c r="AE66" s="694" t="s">
        <v>543</v>
      </c>
      <c r="AF66" s="694">
        <v>0</v>
      </c>
      <c r="AG66" s="694">
        <v>0</v>
      </c>
      <c r="AH66" s="694">
        <v>0</v>
      </c>
      <c r="AI66" s="695">
        <v>0</v>
      </c>
      <c r="AK66" s="696">
        <v>540</v>
      </c>
      <c r="AL66" s="694" t="s">
        <v>543</v>
      </c>
      <c r="AM66" s="694">
        <v>0</v>
      </c>
      <c r="AN66" s="694">
        <v>0</v>
      </c>
      <c r="AO66" s="694">
        <v>0</v>
      </c>
      <c r="AP66" s="695">
        <v>0</v>
      </c>
    </row>
    <row r="67" spans="2:42" x14ac:dyDescent="0.25">
      <c r="B67" s="658">
        <v>550</v>
      </c>
      <c r="C67" s="674" t="s">
        <v>544</v>
      </c>
      <c r="D67" s="672">
        <v>0</v>
      </c>
      <c r="E67" s="672">
        <v>0</v>
      </c>
      <c r="F67" s="672">
        <v>0</v>
      </c>
      <c r="G67" s="673">
        <v>0</v>
      </c>
      <c r="I67" s="696">
        <v>550</v>
      </c>
      <c r="J67" s="694" t="s">
        <v>544</v>
      </c>
      <c r="K67" s="694">
        <v>0</v>
      </c>
      <c r="L67" s="694">
        <v>0</v>
      </c>
      <c r="M67" s="694">
        <v>0</v>
      </c>
      <c r="N67" s="695">
        <v>0</v>
      </c>
      <c r="P67" s="696">
        <v>550</v>
      </c>
      <c r="Q67" s="694" t="s">
        <v>544</v>
      </c>
      <c r="R67" s="694">
        <v>0</v>
      </c>
      <c r="S67" s="694">
        <v>153325.04</v>
      </c>
      <c r="T67" s="694">
        <v>153325.04</v>
      </c>
      <c r="U67" s="695">
        <v>0</v>
      </c>
      <c r="W67" s="696">
        <v>550</v>
      </c>
      <c r="X67" s="694" t="s">
        <v>544</v>
      </c>
      <c r="Y67" s="694">
        <v>0</v>
      </c>
      <c r="Z67" s="694">
        <v>0</v>
      </c>
      <c r="AA67" s="694">
        <v>0</v>
      </c>
      <c r="AB67" s="695">
        <v>0</v>
      </c>
      <c r="AD67" s="696">
        <v>550</v>
      </c>
      <c r="AE67" s="694" t="s">
        <v>544</v>
      </c>
      <c r="AF67" s="694">
        <v>0</v>
      </c>
      <c r="AG67" s="694">
        <v>0</v>
      </c>
      <c r="AH67" s="694">
        <v>0</v>
      </c>
      <c r="AI67" s="695">
        <v>0</v>
      </c>
      <c r="AK67" s="696">
        <v>550</v>
      </c>
      <c r="AL67" s="694" t="s">
        <v>544</v>
      </c>
      <c r="AM67" s="694">
        <v>0</v>
      </c>
      <c r="AN67" s="694">
        <v>0</v>
      </c>
      <c r="AO67" s="694">
        <v>0</v>
      </c>
      <c r="AP67" s="695">
        <v>0</v>
      </c>
    </row>
    <row r="68" spans="2:42" x14ac:dyDescent="0.25">
      <c r="B68" s="658">
        <v>560</v>
      </c>
      <c r="C68" s="674" t="s">
        <v>545</v>
      </c>
      <c r="D68" s="672">
        <v>0</v>
      </c>
      <c r="E68" s="672">
        <v>-1566891.01</v>
      </c>
      <c r="F68" s="672">
        <v>-1566891.01</v>
      </c>
      <c r="G68" s="673">
        <v>0</v>
      </c>
      <c r="I68" s="696">
        <v>560</v>
      </c>
      <c r="J68" s="694" t="s">
        <v>545</v>
      </c>
      <c r="K68" s="694">
        <v>0</v>
      </c>
      <c r="L68" s="694">
        <v>-75000</v>
      </c>
      <c r="M68" s="694">
        <v>-75000</v>
      </c>
      <c r="N68" s="695">
        <v>0</v>
      </c>
      <c r="P68" s="696">
        <v>560</v>
      </c>
      <c r="Q68" s="694" t="s">
        <v>545</v>
      </c>
      <c r="R68" s="694">
        <v>0</v>
      </c>
      <c r="S68" s="694">
        <v>-945126</v>
      </c>
      <c r="T68" s="694">
        <v>-945126</v>
      </c>
      <c r="U68" s="695">
        <v>0</v>
      </c>
      <c r="W68" s="696">
        <v>560</v>
      </c>
      <c r="X68" s="694" t="s">
        <v>545</v>
      </c>
      <c r="Y68" s="694">
        <v>0</v>
      </c>
      <c r="Z68" s="694">
        <v>-101810</v>
      </c>
      <c r="AA68" s="694">
        <v>-101810</v>
      </c>
      <c r="AB68" s="695">
        <v>0</v>
      </c>
      <c r="AD68" s="696">
        <v>560</v>
      </c>
      <c r="AE68" s="694" t="s">
        <v>545</v>
      </c>
      <c r="AF68" s="694">
        <v>0</v>
      </c>
      <c r="AG68" s="694">
        <v>-374496</v>
      </c>
      <c r="AH68" s="694">
        <v>-374496</v>
      </c>
      <c r="AI68" s="695">
        <v>0</v>
      </c>
      <c r="AK68" s="696">
        <v>560</v>
      </c>
      <c r="AL68" s="694" t="s">
        <v>545</v>
      </c>
      <c r="AM68" s="694">
        <v>0</v>
      </c>
      <c r="AN68" s="694">
        <v>-188839.31</v>
      </c>
      <c r="AO68" s="694">
        <v>-188839.31</v>
      </c>
      <c r="AP68" s="695">
        <v>0</v>
      </c>
    </row>
    <row r="69" spans="2:42" x14ac:dyDescent="0.25">
      <c r="B69" s="658">
        <v>570</v>
      </c>
      <c r="C69" s="674" t="s">
        <v>546</v>
      </c>
      <c r="D69" s="672">
        <v>0</v>
      </c>
      <c r="E69" s="672">
        <v>1562641.55</v>
      </c>
      <c r="F69" s="672">
        <v>1566942.19</v>
      </c>
      <c r="G69" s="673">
        <v>4300.6400000000003</v>
      </c>
      <c r="I69" s="696">
        <v>570</v>
      </c>
      <c r="J69" s="694" t="s">
        <v>546</v>
      </c>
      <c r="K69" s="694">
        <v>307.69</v>
      </c>
      <c r="L69" s="694">
        <v>60955.56</v>
      </c>
      <c r="M69" s="694">
        <v>62801.7</v>
      </c>
      <c r="N69" s="695">
        <v>1846.14</v>
      </c>
      <c r="P69" s="696">
        <v>570</v>
      </c>
      <c r="Q69" s="694" t="s">
        <v>546</v>
      </c>
      <c r="R69" s="694">
        <v>0</v>
      </c>
      <c r="S69" s="694">
        <v>251459.6</v>
      </c>
      <c r="T69" s="694">
        <v>251459.6</v>
      </c>
      <c r="U69" s="695">
        <v>0</v>
      </c>
      <c r="W69" s="696">
        <v>570</v>
      </c>
      <c r="X69" s="694" t="s">
        <v>546</v>
      </c>
      <c r="Y69" s="694">
        <v>0</v>
      </c>
      <c r="Z69" s="694">
        <v>0</v>
      </c>
      <c r="AA69" s="694">
        <v>0</v>
      </c>
      <c r="AB69" s="695">
        <v>0</v>
      </c>
      <c r="AD69" s="696">
        <v>570</v>
      </c>
      <c r="AE69" s="694" t="s">
        <v>546</v>
      </c>
      <c r="AF69" s="694">
        <v>0</v>
      </c>
      <c r="AG69" s="694">
        <v>5527.48</v>
      </c>
      <c r="AH69" s="694">
        <v>5527.48</v>
      </c>
      <c r="AI69" s="695">
        <v>0</v>
      </c>
      <c r="AK69" s="696">
        <v>570</v>
      </c>
      <c r="AL69" s="694" t="s">
        <v>546</v>
      </c>
      <c r="AM69" s="694">
        <v>0</v>
      </c>
      <c r="AN69" s="694">
        <v>61303.8</v>
      </c>
      <c r="AO69" s="694">
        <v>61303.8</v>
      </c>
      <c r="AP69" s="695">
        <v>0</v>
      </c>
    </row>
    <row r="70" spans="2:42" x14ac:dyDescent="0.25">
      <c r="B70" s="658">
        <v>580</v>
      </c>
      <c r="C70" s="674" t="s">
        <v>160</v>
      </c>
      <c r="D70" s="672">
        <v>0</v>
      </c>
      <c r="E70" s="672">
        <v>0</v>
      </c>
      <c r="F70" s="672">
        <v>0</v>
      </c>
      <c r="G70" s="673">
        <v>0</v>
      </c>
      <c r="I70" s="696">
        <v>580</v>
      </c>
      <c r="J70" s="694" t="s">
        <v>160</v>
      </c>
      <c r="K70" s="694">
        <v>0</v>
      </c>
      <c r="L70" s="694">
        <v>0</v>
      </c>
      <c r="M70" s="694">
        <v>0</v>
      </c>
      <c r="N70" s="695">
        <v>0</v>
      </c>
      <c r="P70" s="696">
        <v>580</v>
      </c>
      <c r="Q70" s="694" t="s">
        <v>160</v>
      </c>
      <c r="R70" s="694">
        <v>0</v>
      </c>
      <c r="S70" s="694">
        <v>0</v>
      </c>
      <c r="T70" s="694">
        <v>0</v>
      </c>
      <c r="U70" s="695">
        <v>0</v>
      </c>
      <c r="W70" s="696">
        <v>580</v>
      </c>
      <c r="X70" s="694" t="s">
        <v>160</v>
      </c>
      <c r="Y70" s="694">
        <v>0</v>
      </c>
      <c r="Z70" s="694">
        <v>0</v>
      </c>
      <c r="AA70" s="694">
        <v>0</v>
      </c>
      <c r="AB70" s="695">
        <v>0</v>
      </c>
      <c r="AD70" s="696">
        <v>580</v>
      </c>
      <c r="AE70" s="694" t="s">
        <v>160</v>
      </c>
      <c r="AF70" s="694">
        <v>0</v>
      </c>
      <c r="AG70" s="694">
        <v>0</v>
      </c>
      <c r="AH70" s="694">
        <v>0</v>
      </c>
      <c r="AI70" s="695">
        <v>0</v>
      </c>
      <c r="AK70" s="696">
        <v>580</v>
      </c>
      <c r="AL70" s="694" t="s">
        <v>160</v>
      </c>
      <c r="AM70" s="694">
        <v>0</v>
      </c>
      <c r="AN70" s="694">
        <v>0</v>
      </c>
      <c r="AO70" s="694">
        <v>0</v>
      </c>
      <c r="AP70" s="695">
        <v>0</v>
      </c>
    </row>
    <row r="71" spans="2:42" x14ac:dyDescent="0.25">
      <c r="B71" s="658">
        <v>590</v>
      </c>
      <c r="C71" s="674" t="s">
        <v>102</v>
      </c>
      <c r="D71" s="672">
        <v>0</v>
      </c>
      <c r="E71" s="672">
        <v>0</v>
      </c>
      <c r="F71" s="672">
        <v>0</v>
      </c>
      <c r="G71" s="673">
        <v>0</v>
      </c>
      <c r="I71" s="696">
        <v>590</v>
      </c>
      <c r="J71" s="694" t="s">
        <v>102</v>
      </c>
      <c r="K71" s="694">
        <v>0</v>
      </c>
      <c r="L71" s="694">
        <v>0</v>
      </c>
      <c r="M71" s="694">
        <v>0</v>
      </c>
      <c r="N71" s="695">
        <v>0</v>
      </c>
      <c r="P71" s="696">
        <v>590</v>
      </c>
      <c r="Q71" s="694" t="s">
        <v>102</v>
      </c>
      <c r="R71" s="694">
        <v>0</v>
      </c>
      <c r="S71" s="694">
        <v>0</v>
      </c>
      <c r="T71" s="694">
        <v>0</v>
      </c>
      <c r="U71" s="695">
        <v>0</v>
      </c>
      <c r="W71" s="696">
        <v>590</v>
      </c>
      <c r="X71" s="694" t="s">
        <v>102</v>
      </c>
      <c r="Y71" s="694">
        <v>0</v>
      </c>
      <c r="Z71" s="694">
        <v>0</v>
      </c>
      <c r="AA71" s="694">
        <v>0</v>
      </c>
      <c r="AB71" s="695">
        <v>0</v>
      </c>
      <c r="AD71" s="696">
        <v>590</v>
      </c>
      <c r="AE71" s="694" t="s">
        <v>102</v>
      </c>
      <c r="AF71" s="694">
        <v>0</v>
      </c>
      <c r="AG71" s="694">
        <v>0</v>
      </c>
      <c r="AH71" s="694">
        <v>0</v>
      </c>
      <c r="AI71" s="695">
        <v>0</v>
      </c>
      <c r="AK71" s="696">
        <v>590</v>
      </c>
      <c r="AL71" s="694" t="s">
        <v>102</v>
      </c>
      <c r="AM71" s="694">
        <v>0</v>
      </c>
      <c r="AN71" s="694">
        <v>0</v>
      </c>
      <c r="AO71" s="694">
        <v>0</v>
      </c>
      <c r="AP71" s="695">
        <v>0</v>
      </c>
    </row>
    <row r="72" spans="2:42" x14ac:dyDescent="0.25">
      <c r="B72" s="658">
        <v>600</v>
      </c>
      <c r="C72" s="674" t="s">
        <v>25</v>
      </c>
      <c r="D72" s="672">
        <v>0</v>
      </c>
      <c r="E72" s="672">
        <v>-2628643.83</v>
      </c>
      <c r="F72" s="672">
        <v>-2628643.83</v>
      </c>
      <c r="G72" s="673">
        <v>0</v>
      </c>
      <c r="I72" s="696">
        <v>600</v>
      </c>
      <c r="J72" s="694" t="s">
        <v>25</v>
      </c>
      <c r="K72" s="694">
        <v>0</v>
      </c>
      <c r="L72" s="694">
        <v>-433914.24</v>
      </c>
      <c r="M72" s="694">
        <v>-433914.24</v>
      </c>
      <c r="N72" s="695">
        <v>0</v>
      </c>
      <c r="P72" s="696">
        <v>600</v>
      </c>
      <c r="Q72" s="694" t="s">
        <v>25</v>
      </c>
      <c r="R72" s="694">
        <v>0</v>
      </c>
      <c r="S72" s="694">
        <v>-1448274.85</v>
      </c>
      <c r="T72" s="694">
        <v>-1478706.85</v>
      </c>
      <c r="U72" s="695">
        <v>-30432</v>
      </c>
      <c r="W72" s="696">
        <v>600</v>
      </c>
      <c r="X72" s="694" t="s">
        <v>25</v>
      </c>
      <c r="Y72" s="694">
        <v>-0.12</v>
      </c>
      <c r="Z72" s="694">
        <v>-364429.64</v>
      </c>
      <c r="AA72" s="694">
        <v>-364429.76</v>
      </c>
      <c r="AB72" s="695">
        <v>-0.12</v>
      </c>
      <c r="AD72" s="696">
        <v>600</v>
      </c>
      <c r="AE72" s="694" t="s">
        <v>25</v>
      </c>
      <c r="AF72" s="694">
        <v>0</v>
      </c>
      <c r="AG72" s="694">
        <v>-441548.25</v>
      </c>
      <c r="AH72" s="694">
        <v>-441548.25</v>
      </c>
      <c r="AI72" s="695">
        <v>0</v>
      </c>
      <c r="AK72" s="696">
        <v>600</v>
      </c>
      <c r="AL72" s="694" t="s">
        <v>25</v>
      </c>
      <c r="AM72" s="694">
        <v>0</v>
      </c>
      <c r="AN72" s="694">
        <v>0</v>
      </c>
      <c r="AO72" s="694">
        <v>0</v>
      </c>
      <c r="AP72" s="695">
        <v>0</v>
      </c>
    </row>
    <row r="73" spans="2:42" x14ac:dyDescent="0.25">
      <c r="B73" s="658">
        <v>610</v>
      </c>
      <c r="C73" s="674" t="s">
        <v>326</v>
      </c>
      <c r="D73" s="672">
        <v>0</v>
      </c>
      <c r="E73" s="672">
        <v>0</v>
      </c>
      <c r="F73" s="672">
        <v>0</v>
      </c>
      <c r="G73" s="673">
        <v>0</v>
      </c>
      <c r="I73" s="696">
        <v>610</v>
      </c>
      <c r="J73" s="694" t="s">
        <v>326</v>
      </c>
      <c r="K73" s="694">
        <v>149.63999999999999</v>
      </c>
      <c r="L73" s="694">
        <v>14057.4</v>
      </c>
      <c r="M73" s="694">
        <v>14955.24</v>
      </c>
      <c r="N73" s="695">
        <v>897.84</v>
      </c>
      <c r="P73" s="696">
        <v>610</v>
      </c>
      <c r="Q73" s="694" t="s">
        <v>326</v>
      </c>
      <c r="R73" s="694">
        <v>0</v>
      </c>
      <c r="S73" s="694">
        <v>0</v>
      </c>
      <c r="T73" s="694">
        <v>0</v>
      </c>
      <c r="U73" s="695">
        <v>0</v>
      </c>
      <c r="W73" s="696">
        <v>610</v>
      </c>
      <c r="X73" s="694" t="s">
        <v>326</v>
      </c>
      <c r="Y73" s="694">
        <v>1607.26</v>
      </c>
      <c r="Z73" s="694">
        <v>566417.99</v>
      </c>
      <c r="AA73" s="694">
        <v>576060.94999999995</v>
      </c>
      <c r="AB73" s="695">
        <v>9642.9599999999991</v>
      </c>
      <c r="AD73" s="696">
        <v>610</v>
      </c>
      <c r="AE73" s="694" t="s">
        <v>326</v>
      </c>
      <c r="AF73" s="694">
        <v>5119.0200000000004</v>
      </c>
      <c r="AG73" s="694">
        <v>635392.32999999996</v>
      </c>
      <c r="AH73" s="694">
        <v>682773.01</v>
      </c>
      <c r="AI73" s="695">
        <v>47380.68</v>
      </c>
      <c r="AK73" s="696">
        <v>610</v>
      </c>
      <c r="AL73" s="694" t="s">
        <v>326</v>
      </c>
      <c r="AM73" s="694">
        <v>0</v>
      </c>
      <c r="AN73" s="694">
        <v>0</v>
      </c>
      <c r="AO73" s="694">
        <v>0</v>
      </c>
      <c r="AP73" s="695">
        <v>0</v>
      </c>
    </row>
    <row r="74" spans="2:42" x14ac:dyDescent="0.25">
      <c r="B74" s="658">
        <v>615</v>
      </c>
      <c r="C74" s="674" t="s">
        <v>177</v>
      </c>
      <c r="D74" s="672">
        <v>0</v>
      </c>
      <c r="E74" s="672">
        <v>-41043.22</v>
      </c>
      <c r="F74" s="672">
        <v>6592588.8600000003</v>
      </c>
      <c r="G74" s="673">
        <v>6633632.0800000001</v>
      </c>
      <c r="I74" s="696">
        <v>615</v>
      </c>
      <c r="J74" s="694" t="s">
        <v>177</v>
      </c>
      <c r="K74" s="694">
        <v>-400.68</v>
      </c>
      <c r="L74" s="694">
        <v>0</v>
      </c>
      <c r="M74" s="694">
        <v>-48870.96</v>
      </c>
      <c r="N74" s="695">
        <v>-48870.96</v>
      </c>
      <c r="P74" s="696">
        <v>615</v>
      </c>
      <c r="Q74" s="694" t="s">
        <v>177</v>
      </c>
      <c r="R74" s="694">
        <v>-20119.689999999999</v>
      </c>
      <c r="S74" s="694">
        <v>-1057656.52</v>
      </c>
      <c r="T74" s="694">
        <v>-1112050.56</v>
      </c>
      <c r="U74" s="695">
        <v>-54394.04</v>
      </c>
      <c r="W74" s="696">
        <v>615</v>
      </c>
      <c r="X74" s="694" t="s">
        <v>177</v>
      </c>
      <c r="Y74" s="694">
        <v>0</v>
      </c>
      <c r="Z74" s="694">
        <v>0</v>
      </c>
      <c r="AA74" s="694">
        <v>0</v>
      </c>
      <c r="AB74" s="695">
        <v>0</v>
      </c>
      <c r="AD74" s="696">
        <v>615</v>
      </c>
      <c r="AE74" s="694" t="s">
        <v>177</v>
      </c>
      <c r="AF74" s="694">
        <v>0</v>
      </c>
      <c r="AG74" s="694">
        <v>0</v>
      </c>
      <c r="AH74" s="694">
        <v>0</v>
      </c>
      <c r="AI74" s="695">
        <v>0</v>
      </c>
      <c r="AK74" s="696">
        <v>615</v>
      </c>
      <c r="AL74" s="694" t="s">
        <v>177</v>
      </c>
      <c r="AM74" s="694">
        <v>0</v>
      </c>
      <c r="AN74" s="694">
        <v>0</v>
      </c>
      <c r="AO74" s="694">
        <v>0</v>
      </c>
      <c r="AP74" s="695">
        <v>0</v>
      </c>
    </row>
    <row r="75" spans="2:42" x14ac:dyDescent="0.25">
      <c r="B75" s="658">
        <v>620</v>
      </c>
      <c r="C75" s="674" t="s">
        <v>22</v>
      </c>
      <c r="D75" s="672">
        <v>0</v>
      </c>
      <c r="E75" s="672">
        <v>0</v>
      </c>
      <c r="F75" s="672">
        <v>0</v>
      </c>
      <c r="G75" s="673">
        <v>0</v>
      </c>
      <c r="I75" s="696">
        <v>620</v>
      </c>
      <c r="J75" s="694" t="s">
        <v>22</v>
      </c>
      <c r="K75" s="694">
        <v>0</v>
      </c>
      <c r="L75" s="694">
        <v>0</v>
      </c>
      <c r="M75" s="694">
        <v>0</v>
      </c>
      <c r="N75" s="695">
        <v>0</v>
      </c>
      <c r="P75" s="696">
        <v>620</v>
      </c>
      <c r="Q75" s="694" t="s">
        <v>22</v>
      </c>
      <c r="R75" s="694">
        <v>0</v>
      </c>
      <c r="S75" s="694">
        <v>0</v>
      </c>
      <c r="T75" s="694">
        <v>0</v>
      </c>
      <c r="U75" s="695">
        <v>0</v>
      </c>
      <c r="W75" s="696">
        <v>620</v>
      </c>
      <c r="X75" s="694" t="s">
        <v>22</v>
      </c>
      <c r="Y75" s="694">
        <v>0</v>
      </c>
      <c r="Z75" s="694">
        <v>0</v>
      </c>
      <c r="AA75" s="694">
        <v>0</v>
      </c>
      <c r="AB75" s="695">
        <v>0</v>
      </c>
      <c r="AD75" s="696">
        <v>620</v>
      </c>
      <c r="AE75" s="694" t="s">
        <v>22</v>
      </c>
      <c r="AF75" s="694">
        <v>0</v>
      </c>
      <c r="AG75" s="694">
        <v>0</v>
      </c>
      <c r="AH75" s="694">
        <v>0</v>
      </c>
      <c r="AI75" s="695">
        <v>0</v>
      </c>
      <c r="AK75" s="696">
        <v>620</v>
      </c>
      <c r="AL75" s="694" t="s">
        <v>22</v>
      </c>
      <c r="AM75" s="694">
        <v>0</v>
      </c>
      <c r="AN75" s="694">
        <v>0</v>
      </c>
      <c r="AO75" s="694">
        <v>0</v>
      </c>
      <c r="AP75" s="695">
        <v>0</v>
      </c>
    </row>
    <row r="76" spans="2:42" x14ac:dyDescent="0.25">
      <c r="B76" s="658">
        <v>630</v>
      </c>
      <c r="C76" s="674" t="s">
        <v>23</v>
      </c>
      <c r="D76" s="672">
        <v>0</v>
      </c>
      <c r="E76" s="672">
        <v>-56847</v>
      </c>
      <c r="F76" s="672">
        <v>-56847</v>
      </c>
      <c r="G76" s="673">
        <v>0</v>
      </c>
      <c r="I76" s="696">
        <v>630</v>
      </c>
      <c r="J76" s="694" t="s">
        <v>23</v>
      </c>
      <c r="K76" s="694">
        <v>0</v>
      </c>
      <c r="L76" s="694">
        <v>-21317</v>
      </c>
      <c r="M76" s="694">
        <v>-21317</v>
      </c>
      <c r="N76" s="695">
        <v>0</v>
      </c>
      <c r="P76" s="696">
        <v>630</v>
      </c>
      <c r="Q76" s="694" t="s">
        <v>23</v>
      </c>
      <c r="R76" s="694">
        <v>0</v>
      </c>
      <c r="S76" s="694">
        <v>-21055</v>
      </c>
      <c r="T76" s="694">
        <v>-21055</v>
      </c>
      <c r="U76" s="695">
        <v>0</v>
      </c>
      <c r="W76" s="696">
        <v>630</v>
      </c>
      <c r="X76" s="694" t="s">
        <v>23</v>
      </c>
      <c r="Y76" s="694">
        <v>0</v>
      </c>
      <c r="Z76" s="694">
        <v>-21317</v>
      </c>
      <c r="AA76" s="694">
        <v>-21317</v>
      </c>
      <c r="AB76" s="695">
        <v>0</v>
      </c>
      <c r="AD76" s="696">
        <v>630</v>
      </c>
      <c r="AE76" s="694" t="s">
        <v>23</v>
      </c>
      <c r="AF76" s="694">
        <v>0</v>
      </c>
      <c r="AG76" s="694">
        <v>-21317</v>
      </c>
      <c r="AH76" s="694">
        <v>-21317</v>
      </c>
      <c r="AI76" s="695">
        <v>0</v>
      </c>
      <c r="AK76" s="696">
        <v>630</v>
      </c>
      <c r="AL76" s="694" t="s">
        <v>23</v>
      </c>
      <c r="AM76" s="694">
        <v>0</v>
      </c>
      <c r="AN76" s="694">
        <v>0</v>
      </c>
      <c r="AO76" s="694">
        <v>0</v>
      </c>
      <c r="AP76" s="695">
        <v>0</v>
      </c>
    </row>
    <row r="77" spans="2:42" ht="13" x14ac:dyDescent="0.3">
      <c r="B77" s="658">
        <v>635</v>
      </c>
      <c r="C77" s="674" t="s">
        <v>178</v>
      </c>
      <c r="D77" s="672">
        <v>0</v>
      </c>
      <c r="E77" s="672">
        <v>0</v>
      </c>
      <c r="F77" s="672">
        <v>0</v>
      </c>
      <c r="G77" s="673">
        <v>0</v>
      </c>
      <c r="I77" s="662">
        <v>635</v>
      </c>
      <c r="J77" s="674" t="s">
        <v>178</v>
      </c>
      <c r="K77" s="693">
        <v>0</v>
      </c>
      <c r="L77" s="674">
        <v>0</v>
      </c>
      <c r="M77" s="674">
        <v>0</v>
      </c>
      <c r="N77" s="697">
        <v>0</v>
      </c>
      <c r="P77" s="662">
        <v>635</v>
      </c>
      <c r="Q77" s="674" t="s">
        <v>178</v>
      </c>
      <c r="R77" s="693">
        <v>0</v>
      </c>
      <c r="S77" s="674">
        <v>0</v>
      </c>
      <c r="T77" s="674">
        <v>0</v>
      </c>
      <c r="U77" s="697">
        <v>0</v>
      </c>
      <c r="W77" s="662">
        <v>635</v>
      </c>
      <c r="X77" s="674" t="s">
        <v>178</v>
      </c>
      <c r="Y77" s="693">
        <v>0</v>
      </c>
      <c r="Z77" s="712">
        <v>0</v>
      </c>
      <c r="AA77" s="712">
        <v>0</v>
      </c>
      <c r="AB77" s="697">
        <v>0</v>
      </c>
      <c r="AD77" s="662">
        <v>635</v>
      </c>
      <c r="AE77" s="674" t="s">
        <v>178</v>
      </c>
      <c r="AF77" s="693">
        <v>0</v>
      </c>
      <c r="AG77" s="674">
        <v>0</v>
      </c>
      <c r="AH77" s="674">
        <v>0</v>
      </c>
      <c r="AI77" s="697">
        <v>0</v>
      </c>
      <c r="AK77" s="662">
        <v>635</v>
      </c>
      <c r="AL77" s="674" t="s">
        <v>178</v>
      </c>
      <c r="AM77" s="693">
        <v>0</v>
      </c>
      <c r="AN77" s="674">
        <v>0</v>
      </c>
      <c r="AO77" s="674">
        <v>0</v>
      </c>
      <c r="AP77" s="697">
        <v>0</v>
      </c>
    </row>
    <row r="78" spans="2:42" ht="13" x14ac:dyDescent="0.3">
      <c r="B78" s="662">
        <v>640</v>
      </c>
      <c r="C78" s="671" t="s">
        <v>24</v>
      </c>
      <c r="D78" s="675">
        <v>0</v>
      </c>
      <c r="E78" s="675">
        <v>-6379533.5999999996</v>
      </c>
      <c r="F78" s="675">
        <v>313433.07</v>
      </c>
      <c r="G78" s="676">
        <v>6692966.6699999999</v>
      </c>
      <c r="I78" s="662">
        <v>640</v>
      </c>
      <c r="J78" s="671" t="s">
        <v>24</v>
      </c>
      <c r="K78" s="698">
        <v>1462.64</v>
      </c>
      <c r="L78" s="698">
        <v>-477134.75</v>
      </c>
      <c r="M78" s="698">
        <v>-515582.07</v>
      </c>
      <c r="N78" s="697">
        <v>-38447.32</v>
      </c>
      <c r="P78" s="662">
        <v>640</v>
      </c>
      <c r="Q78" s="671" t="s">
        <v>24</v>
      </c>
      <c r="R78" s="698">
        <v>-18312.48</v>
      </c>
      <c r="S78" s="698">
        <v>-3679205.99</v>
      </c>
      <c r="T78" s="698">
        <v>-3756628.07</v>
      </c>
      <c r="U78" s="697">
        <v>-77422.080000000002</v>
      </c>
      <c r="W78" s="662">
        <v>640</v>
      </c>
      <c r="X78" s="671" t="s">
        <v>24</v>
      </c>
      <c r="Y78" s="698">
        <v>9241.76</v>
      </c>
      <c r="Z78" s="698">
        <v>-215319.11</v>
      </c>
      <c r="AA78" s="698">
        <v>-160858.54999999999</v>
      </c>
      <c r="AB78" s="697">
        <v>54460.56</v>
      </c>
      <c r="AD78" s="662">
        <v>640</v>
      </c>
      <c r="AE78" s="671" t="s">
        <v>24</v>
      </c>
      <c r="AF78" s="698">
        <v>5119.0200000000004</v>
      </c>
      <c r="AG78" s="698">
        <v>-188588.66</v>
      </c>
      <c r="AH78" s="698">
        <v>-125263.39</v>
      </c>
      <c r="AI78" s="697">
        <v>63325.27</v>
      </c>
      <c r="AK78" s="662">
        <v>640</v>
      </c>
      <c r="AL78" s="671" t="s">
        <v>24</v>
      </c>
      <c r="AM78" s="698">
        <v>17677.41</v>
      </c>
      <c r="AN78" s="698">
        <v>-12787039.539999999</v>
      </c>
      <c r="AO78" s="698">
        <v>-12682849.83</v>
      </c>
      <c r="AP78" s="665">
        <v>104189.71</v>
      </c>
    </row>
    <row r="79" spans="2:42" ht="13" x14ac:dyDescent="0.3">
      <c r="B79" s="667">
        <v>650</v>
      </c>
      <c r="C79" s="668" t="s">
        <v>161</v>
      </c>
      <c r="D79" s="677">
        <v>14085.74</v>
      </c>
      <c r="E79" s="677">
        <v>130764.51</v>
      </c>
      <c r="F79" s="677">
        <v>-32760.39</v>
      </c>
      <c r="G79" s="678">
        <v>-163524.9</v>
      </c>
      <c r="I79" s="667">
        <v>650</v>
      </c>
      <c r="J79" s="668" t="s">
        <v>161</v>
      </c>
      <c r="K79" s="699">
        <v>-26086.21</v>
      </c>
      <c r="L79" s="699">
        <v>51192.33</v>
      </c>
      <c r="M79" s="699">
        <v>4909.4399999999996</v>
      </c>
      <c r="N79" s="700">
        <v>-46282.89</v>
      </c>
      <c r="P79" s="667">
        <v>650</v>
      </c>
      <c r="Q79" s="668" t="s">
        <v>161</v>
      </c>
      <c r="R79" s="699">
        <v>-138050.51999999999</v>
      </c>
      <c r="S79" s="699">
        <v>-43967.38</v>
      </c>
      <c r="T79" s="699">
        <v>-16453.45</v>
      </c>
      <c r="U79" s="700">
        <v>27513.93</v>
      </c>
      <c r="W79" s="667">
        <v>650</v>
      </c>
      <c r="X79" s="668" t="s">
        <v>161</v>
      </c>
      <c r="Y79" s="699">
        <v>20415.54</v>
      </c>
      <c r="Z79" s="699">
        <v>25366.1</v>
      </c>
      <c r="AA79" s="699">
        <v>25232.240000000002</v>
      </c>
      <c r="AB79" s="700">
        <v>-133.86000000000001</v>
      </c>
      <c r="AD79" s="667">
        <v>650</v>
      </c>
      <c r="AE79" s="668" t="s">
        <v>161</v>
      </c>
      <c r="AF79" s="699">
        <v>-19722.93</v>
      </c>
      <c r="AG79" s="699">
        <v>13917.41</v>
      </c>
      <c r="AH79" s="699">
        <v>-40811.050000000003</v>
      </c>
      <c r="AI79" s="700">
        <v>-54728.46</v>
      </c>
      <c r="AK79" s="687">
        <v>650</v>
      </c>
      <c r="AL79" s="688" t="s">
        <v>161</v>
      </c>
      <c r="AM79" s="717">
        <v>29848.94</v>
      </c>
      <c r="AN79" s="717">
        <v>-1793768.76</v>
      </c>
      <c r="AO79" s="717">
        <v>-1810478.94</v>
      </c>
      <c r="AP79" s="718">
        <v>-16710.18</v>
      </c>
    </row>
    <row r="80" spans="2:42" x14ac:dyDescent="0.25">
      <c r="B80" s="674"/>
      <c r="C80" s="674"/>
      <c r="D80" s="694"/>
      <c r="E80" s="694"/>
      <c r="F80" s="694"/>
      <c r="G80" s="694"/>
    </row>
    <row r="103" spans="4:6" x14ac:dyDescent="0.25">
      <c r="D103" s="117"/>
      <c r="E103" s="117"/>
      <c r="F103" s="117"/>
    </row>
    <row r="104" spans="4:6" x14ac:dyDescent="0.25">
      <c r="D104" s="117"/>
      <c r="E104" s="117"/>
      <c r="F104" s="117"/>
    </row>
    <row r="105" spans="4:6" x14ac:dyDescent="0.25">
      <c r="D105" s="117"/>
      <c r="E105" s="117"/>
      <c r="F105" s="117"/>
    </row>
    <row r="106" spans="4:6" x14ac:dyDescent="0.25">
      <c r="D106" s="117"/>
      <c r="E106" s="117"/>
      <c r="F106" s="117"/>
    </row>
    <row r="107" spans="4:6" x14ac:dyDescent="0.25">
      <c r="D107" s="117"/>
      <c r="E107" s="117"/>
      <c r="F107" s="117"/>
    </row>
    <row r="108" spans="4:6" x14ac:dyDescent="0.25">
      <c r="D108" s="117"/>
      <c r="E108" s="117"/>
      <c r="F108" s="117"/>
    </row>
    <row r="109" spans="4:6" x14ac:dyDescent="0.25">
      <c r="D109" s="117"/>
      <c r="E109" s="117"/>
      <c r="F109" s="117"/>
    </row>
    <row r="110" spans="4:6" x14ac:dyDescent="0.25">
      <c r="D110" s="117"/>
      <c r="E110" s="117"/>
      <c r="F110" s="117"/>
    </row>
    <row r="111" spans="4:6" x14ac:dyDescent="0.25">
      <c r="D111" s="117"/>
      <c r="E111" s="117"/>
      <c r="F111" s="117"/>
    </row>
    <row r="112" spans="4:6" x14ac:dyDescent="0.25">
      <c r="D112" s="117"/>
      <c r="E112" s="117"/>
      <c r="F112" s="117"/>
    </row>
    <row r="113" spans="4:6" x14ac:dyDescent="0.25">
      <c r="D113" s="117"/>
      <c r="E113" s="117"/>
      <c r="F113" s="117"/>
    </row>
    <row r="114" spans="4:6" x14ac:dyDescent="0.25">
      <c r="D114" s="117"/>
      <c r="E114" s="117"/>
      <c r="F114" s="117"/>
    </row>
    <row r="115" spans="4:6" x14ac:dyDescent="0.25">
      <c r="D115" s="117"/>
      <c r="E115" s="117"/>
      <c r="F115" s="117"/>
    </row>
    <row r="116" spans="4:6" x14ac:dyDescent="0.25">
      <c r="D116" s="117"/>
      <c r="E116" s="117"/>
      <c r="F116" s="117"/>
    </row>
    <row r="117" spans="4:6" x14ac:dyDescent="0.25">
      <c r="D117" s="117"/>
      <c r="E117" s="117"/>
      <c r="F117" s="117"/>
    </row>
    <row r="118" spans="4:6" x14ac:dyDescent="0.25">
      <c r="D118" s="117"/>
      <c r="E118" s="117"/>
      <c r="F118" s="117"/>
    </row>
    <row r="119" spans="4:6" x14ac:dyDescent="0.25">
      <c r="D119" s="117"/>
      <c r="E119" s="117"/>
      <c r="F119" s="117"/>
    </row>
    <row r="120" spans="4:6" x14ac:dyDescent="0.25">
      <c r="D120" s="117"/>
      <c r="E120" s="117"/>
      <c r="F120" s="117"/>
    </row>
    <row r="121" spans="4:6" x14ac:dyDescent="0.25">
      <c r="D121" s="117"/>
      <c r="E121" s="117"/>
      <c r="F121" s="117"/>
    </row>
    <row r="122" spans="4:6" x14ac:dyDescent="0.25">
      <c r="D122" s="117"/>
      <c r="E122" s="117"/>
      <c r="F122" s="117"/>
    </row>
    <row r="123" spans="4:6" x14ac:dyDescent="0.25">
      <c r="D123" s="117"/>
      <c r="E123" s="117"/>
      <c r="F123" s="117"/>
    </row>
    <row r="124" spans="4:6" x14ac:dyDescent="0.25">
      <c r="D124" s="117"/>
      <c r="E124" s="117"/>
      <c r="F124" s="117"/>
    </row>
    <row r="125" spans="4:6" x14ac:dyDescent="0.25">
      <c r="D125" s="117"/>
      <c r="E125" s="117"/>
      <c r="F125" s="117"/>
    </row>
    <row r="126" spans="4:6" x14ac:dyDescent="0.25">
      <c r="D126" s="117"/>
      <c r="E126" s="117"/>
      <c r="F126" s="117"/>
    </row>
    <row r="127" spans="4:6" x14ac:dyDescent="0.25">
      <c r="D127" s="117"/>
      <c r="E127" s="117"/>
      <c r="F127" s="117"/>
    </row>
    <row r="128" spans="4:6" x14ac:dyDescent="0.25">
      <c r="D128" s="117"/>
      <c r="E128" s="117"/>
      <c r="F128" s="117"/>
    </row>
    <row r="129" spans="4:6" x14ac:dyDescent="0.25">
      <c r="D129" s="117"/>
      <c r="E129" s="117"/>
      <c r="F129" s="117"/>
    </row>
    <row r="130" spans="4:6" x14ac:dyDescent="0.25">
      <c r="D130" s="117"/>
      <c r="E130" s="117"/>
      <c r="F130" s="117"/>
    </row>
    <row r="131" spans="4:6" x14ac:dyDescent="0.25">
      <c r="D131" s="117"/>
      <c r="E131" s="117"/>
      <c r="F131" s="117"/>
    </row>
    <row r="132" spans="4:6" x14ac:dyDescent="0.25">
      <c r="D132" s="117"/>
      <c r="E132" s="117"/>
      <c r="F132" s="117"/>
    </row>
    <row r="133" spans="4:6" x14ac:dyDescent="0.25">
      <c r="D133" s="117"/>
      <c r="E133" s="117"/>
      <c r="F133" s="117"/>
    </row>
    <row r="134" spans="4:6" x14ac:dyDescent="0.25">
      <c r="D134" s="117"/>
      <c r="E134" s="117"/>
      <c r="F134" s="117"/>
    </row>
    <row r="135" spans="4:6" x14ac:dyDescent="0.25">
      <c r="D135" s="117"/>
      <c r="E135" s="117"/>
      <c r="F135" s="117"/>
    </row>
    <row r="136" spans="4:6" x14ac:dyDescent="0.25">
      <c r="D136" s="117"/>
      <c r="E136" s="117"/>
      <c r="F136" s="117"/>
    </row>
    <row r="137" spans="4:6" x14ac:dyDescent="0.25">
      <c r="D137" s="117"/>
      <c r="E137" s="117"/>
      <c r="F137" s="117"/>
    </row>
    <row r="138" spans="4:6" x14ac:dyDescent="0.25">
      <c r="D138" s="117"/>
      <c r="E138" s="117"/>
      <c r="F138" s="117"/>
    </row>
    <row r="139" spans="4:6" x14ac:dyDescent="0.25">
      <c r="D139" s="117"/>
      <c r="E139" s="117"/>
      <c r="F139" s="117"/>
    </row>
    <row r="140" spans="4:6" x14ac:dyDescent="0.25">
      <c r="D140" s="117"/>
      <c r="E140" s="117"/>
      <c r="F140" s="117"/>
    </row>
    <row r="141" spans="4:6" x14ac:dyDescent="0.25">
      <c r="D141" s="117"/>
      <c r="E141" s="117"/>
      <c r="F141" s="117"/>
    </row>
    <row r="142" spans="4:6" x14ac:dyDescent="0.25">
      <c r="D142" s="117"/>
      <c r="E142" s="117"/>
      <c r="F142" s="117"/>
    </row>
    <row r="143" spans="4:6" x14ac:dyDescent="0.25">
      <c r="D143" s="117"/>
      <c r="E143" s="117"/>
      <c r="F143" s="117"/>
    </row>
    <row r="144" spans="4:6" x14ac:dyDescent="0.25">
      <c r="D144" s="117"/>
      <c r="E144" s="117"/>
      <c r="F144" s="117"/>
    </row>
    <row r="145" spans="4:6" x14ac:dyDescent="0.25">
      <c r="D145" s="117"/>
      <c r="E145" s="117"/>
      <c r="F145" s="117"/>
    </row>
    <row r="146" spans="4:6" x14ac:dyDescent="0.25">
      <c r="D146" s="117"/>
      <c r="E146" s="117"/>
      <c r="F146" s="117"/>
    </row>
    <row r="147" spans="4:6" x14ac:dyDescent="0.25">
      <c r="D147" s="117"/>
      <c r="E147" s="117"/>
      <c r="F147" s="117"/>
    </row>
    <row r="148" spans="4:6" x14ac:dyDescent="0.25">
      <c r="D148" s="117"/>
      <c r="E148" s="117"/>
      <c r="F148" s="117"/>
    </row>
    <row r="149" spans="4:6" x14ac:dyDescent="0.25">
      <c r="D149" s="117"/>
      <c r="E149" s="117"/>
      <c r="F149" s="117"/>
    </row>
    <row r="150" spans="4:6" x14ac:dyDescent="0.25">
      <c r="D150" s="117"/>
      <c r="E150" s="117"/>
      <c r="F150" s="117"/>
    </row>
    <row r="151" spans="4:6" x14ac:dyDescent="0.25">
      <c r="D151" s="117"/>
      <c r="E151" s="117"/>
      <c r="F151" s="117"/>
    </row>
    <row r="152" spans="4:6" x14ac:dyDescent="0.25">
      <c r="D152" s="117"/>
      <c r="E152" s="117"/>
      <c r="F152" s="117"/>
    </row>
    <row r="153" spans="4:6" x14ac:dyDescent="0.25">
      <c r="D153" s="117"/>
      <c r="E153" s="117"/>
      <c r="F153" s="117"/>
    </row>
    <row r="177" spans="4:8" x14ac:dyDescent="0.25">
      <c r="D177" s="117"/>
      <c r="E177" s="117"/>
      <c r="F177" s="117"/>
      <c r="H177" s="6"/>
    </row>
    <row r="178" spans="4:8" x14ac:dyDescent="0.25">
      <c r="D178" s="117"/>
      <c r="E178" s="117"/>
      <c r="F178" s="117"/>
      <c r="H178" s="6"/>
    </row>
    <row r="179" spans="4:8" x14ac:dyDescent="0.25">
      <c r="D179" s="117"/>
      <c r="E179" s="117"/>
      <c r="F179" s="117"/>
      <c r="H179" s="6"/>
    </row>
    <row r="180" spans="4:8" x14ac:dyDescent="0.25">
      <c r="D180" s="117"/>
      <c r="E180" s="117"/>
      <c r="F180" s="117"/>
      <c r="H180" s="6"/>
    </row>
    <row r="181" spans="4:8" x14ac:dyDescent="0.25">
      <c r="D181" s="117"/>
      <c r="E181" s="117"/>
      <c r="F181" s="117"/>
      <c r="H181" s="6"/>
    </row>
    <row r="182" spans="4:8" x14ac:dyDescent="0.25">
      <c r="D182" s="117"/>
      <c r="E182" s="117"/>
      <c r="F182" s="117"/>
      <c r="H182" s="6"/>
    </row>
    <row r="183" spans="4:8" x14ac:dyDescent="0.25">
      <c r="D183" s="117"/>
      <c r="E183" s="117"/>
      <c r="F183" s="117"/>
      <c r="H183" s="6"/>
    </row>
    <row r="184" spans="4:8" x14ac:dyDescent="0.25">
      <c r="D184" s="117"/>
      <c r="E184" s="117"/>
      <c r="F184" s="117"/>
      <c r="H184" s="6"/>
    </row>
    <row r="185" spans="4:8" x14ac:dyDescent="0.25">
      <c r="D185" s="117"/>
      <c r="E185" s="117"/>
      <c r="F185" s="117"/>
      <c r="H185" s="6"/>
    </row>
    <row r="186" spans="4:8" x14ac:dyDescent="0.25">
      <c r="D186" s="117"/>
      <c r="E186" s="117"/>
      <c r="F186" s="117"/>
      <c r="H186" s="6"/>
    </row>
    <row r="187" spans="4:8" x14ac:dyDescent="0.25">
      <c r="D187" s="117"/>
      <c r="E187" s="117"/>
      <c r="F187" s="117"/>
      <c r="H187" s="6"/>
    </row>
    <row r="188" spans="4:8" x14ac:dyDescent="0.25">
      <c r="D188" s="117"/>
      <c r="E188" s="117"/>
      <c r="F188" s="117"/>
      <c r="H188" s="6"/>
    </row>
    <row r="189" spans="4:8" x14ac:dyDescent="0.25">
      <c r="D189" s="117"/>
      <c r="E189" s="117"/>
      <c r="F189" s="117"/>
      <c r="H189" s="6"/>
    </row>
    <row r="190" spans="4:8" x14ac:dyDescent="0.25">
      <c r="D190" s="117"/>
      <c r="E190" s="117"/>
      <c r="F190" s="117"/>
      <c r="H190" s="6"/>
    </row>
    <row r="191" spans="4:8" x14ac:dyDescent="0.25">
      <c r="D191" s="117"/>
      <c r="E191" s="117"/>
      <c r="F191" s="117"/>
      <c r="H191" s="6"/>
    </row>
    <row r="192" spans="4:8" x14ac:dyDescent="0.25">
      <c r="D192" s="117"/>
      <c r="E192" s="117"/>
      <c r="F192" s="117"/>
      <c r="H192" s="6"/>
    </row>
    <row r="193" spans="4:8" x14ac:dyDescent="0.25">
      <c r="D193" s="117"/>
      <c r="E193" s="117"/>
      <c r="F193" s="117"/>
      <c r="H193" s="6"/>
    </row>
    <row r="194" spans="4:8" x14ac:dyDescent="0.25">
      <c r="D194" s="117"/>
      <c r="E194" s="117"/>
      <c r="F194" s="117"/>
      <c r="H194" s="6"/>
    </row>
    <row r="195" spans="4:8" x14ac:dyDescent="0.25">
      <c r="D195" s="117"/>
      <c r="E195" s="117"/>
      <c r="F195" s="117"/>
      <c r="H195" s="6"/>
    </row>
    <row r="196" spans="4:8" x14ac:dyDescent="0.25">
      <c r="D196" s="117"/>
      <c r="E196" s="117"/>
      <c r="F196" s="117"/>
      <c r="H196" s="6"/>
    </row>
    <row r="197" spans="4:8" x14ac:dyDescent="0.25">
      <c r="D197" s="117"/>
      <c r="E197" s="117"/>
      <c r="F197" s="117"/>
      <c r="H197" s="6"/>
    </row>
    <row r="198" spans="4:8" x14ac:dyDescent="0.25">
      <c r="D198" s="117"/>
      <c r="E198" s="117"/>
      <c r="F198" s="117"/>
      <c r="H198" s="6"/>
    </row>
    <row r="199" spans="4:8" x14ac:dyDescent="0.25">
      <c r="D199" s="117"/>
      <c r="E199" s="117"/>
      <c r="F199" s="117"/>
      <c r="H199" s="6"/>
    </row>
    <row r="200" spans="4:8" x14ac:dyDescent="0.25">
      <c r="D200" s="117"/>
      <c r="E200" s="117"/>
      <c r="F200" s="117"/>
      <c r="H200" s="6"/>
    </row>
    <row r="201" spans="4:8" x14ac:dyDescent="0.25">
      <c r="D201" s="117"/>
      <c r="E201" s="117"/>
      <c r="F201" s="117"/>
      <c r="H201" s="6"/>
    </row>
    <row r="202" spans="4:8" x14ac:dyDescent="0.25">
      <c r="D202" s="117"/>
      <c r="E202" s="117"/>
      <c r="F202" s="117"/>
      <c r="H202" s="6"/>
    </row>
    <row r="203" spans="4:8" x14ac:dyDescent="0.25">
      <c r="D203" s="117"/>
      <c r="E203" s="117"/>
      <c r="F203" s="117"/>
      <c r="H203" s="6"/>
    </row>
    <row r="204" spans="4:8" x14ac:dyDescent="0.25">
      <c r="D204" s="117"/>
      <c r="E204" s="117"/>
      <c r="F204" s="117"/>
      <c r="H204" s="6"/>
    </row>
    <row r="205" spans="4:8" x14ac:dyDescent="0.25">
      <c r="D205" s="117"/>
      <c r="E205" s="117"/>
      <c r="F205" s="117"/>
      <c r="H205" s="6"/>
    </row>
    <row r="206" spans="4:8" x14ac:dyDescent="0.25">
      <c r="D206" s="117"/>
      <c r="E206" s="117"/>
      <c r="F206" s="117"/>
      <c r="H206" s="6"/>
    </row>
    <row r="207" spans="4:8" x14ac:dyDescent="0.25">
      <c r="D207" s="117"/>
      <c r="E207" s="117"/>
      <c r="F207" s="117"/>
      <c r="H207" s="6"/>
    </row>
    <row r="208" spans="4:8" x14ac:dyDescent="0.25">
      <c r="D208" s="117"/>
      <c r="E208" s="117"/>
      <c r="F208" s="117"/>
      <c r="H208" s="6"/>
    </row>
    <row r="209" spans="4:8" x14ac:dyDescent="0.25">
      <c r="D209" s="117"/>
      <c r="E209" s="117"/>
      <c r="F209" s="117"/>
      <c r="H209" s="6"/>
    </row>
    <row r="210" spans="4:8" x14ac:dyDescent="0.25">
      <c r="D210" s="117"/>
      <c r="E210" s="117"/>
      <c r="F210" s="117"/>
      <c r="H210" s="6"/>
    </row>
    <row r="211" spans="4:8" x14ac:dyDescent="0.25">
      <c r="D211" s="117"/>
      <c r="E211" s="117"/>
      <c r="F211" s="117"/>
      <c r="H211" s="6"/>
    </row>
    <row r="212" spans="4:8" x14ac:dyDescent="0.25">
      <c r="D212" s="117"/>
      <c r="E212" s="117"/>
      <c r="F212" s="117"/>
      <c r="H212" s="6"/>
    </row>
    <row r="213" spans="4:8" x14ac:dyDescent="0.25">
      <c r="D213" s="117"/>
      <c r="E213" s="117"/>
      <c r="F213" s="117"/>
      <c r="H213" s="6"/>
    </row>
    <row r="214" spans="4:8" x14ac:dyDescent="0.25">
      <c r="D214" s="117"/>
      <c r="E214" s="117"/>
      <c r="F214" s="117"/>
      <c r="H214" s="6"/>
    </row>
    <row r="215" spans="4:8" x14ac:dyDescent="0.25">
      <c r="D215" s="117"/>
      <c r="E215" s="117"/>
      <c r="F215" s="117"/>
      <c r="H215" s="6"/>
    </row>
    <row r="216" spans="4:8" x14ac:dyDescent="0.25">
      <c r="D216" s="117"/>
      <c r="E216" s="117"/>
      <c r="F216" s="117"/>
      <c r="H216" s="6"/>
    </row>
    <row r="217" spans="4:8" x14ac:dyDescent="0.25">
      <c r="D217" s="117"/>
      <c r="E217" s="117"/>
      <c r="F217" s="117"/>
      <c r="H217" s="6"/>
    </row>
    <row r="218" spans="4:8" x14ac:dyDescent="0.25">
      <c r="D218" s="117"/>
      <c r="E218" s="117"/>
      <c r="F218" s="117"/>
      <c r="H218" s="6"/>
    </row>
    <row r="219" spans="4:8" x14ac:dyDescent="0.25">
      <c r="D219" s="117"/>
      <c r="E219" s="117"/>
      <c r="F219" s="117"/>
      <c r="H219" s="6"/>
    </row>
    <row r="220" spans="4:8" x14ac:dyDescent="0.25">
      <c r="D220" s="117"/>
      <c r="E220" s="117"/>
      <c r="F220" s="117"/>
      <c r="H220" s="6"/>
    </row>
    <row r="221" spans="4:8" x14ac:dyDescent="0.25">
      <c r="D221" s="117"/>
      <c r="E221" s="117"/>
      <c r="F221" s="117"/>
      <c r="H221" s="6"/>
    </row>
    <row r="222" spans="4:8" x14ac:dyDescent="0.25">
      <c r="D222" s="117"/>
      <c r="E222" s="117"/>
      <c r="F222" s="117"/>
      <c r="H222" s="6"/>
    </row>
    <row r="223" spans="4:8" x14ac:dyDescent="0.25">
      <c r="D223" s="117"/>
      <c r="E223" s="117"/>
      <c r="F223" s="117"/>
      <c r="H223" s="6"/>
    </row>
    <row r="224" spans="4:8" x14ac:dyDescent="0.25">
      <c r="D224" s="117"/>
      <c r="E224" s="117"/>
      <c r="F224" s="117"/>
      <c r="H224" s="6"/>
    </row>
    <row r="225" spans="4:8" x14ac:dyDescent="0.25">
      <c r="D225" s="117"/>
      <c r="E225" s="117"/>
      <c r="F225" s="117"/>
      <c r="H225" s="6"/>
    </row>
    <row r="226" spans="4:8" x14ac:dyDescent="0.25">
      <c r="D226" s="117"/>
      <c r="E226" s="117"/>
      <c r="F226" s="117"/>
      <c r="H226" s="6"/>
    </row>
    <row r="227" spans="4:8" x14ac:dyDescent="0.25">
      <c r="D227" s="117"/>
      <c r="E227" s="117"/>
      <c r="F227" s="117"/>
      <c r="H227" s="6"/>
    </row>
    <row r="251" spans="4:6" x14ac:dyDescent="0.25">
      <c r="D251" s="117"/>
      <c r="E251" s="117"/>
      <c r="F251" s="117"/>
    </row>
    <row r="252" spans="4:6" x14ac:dyDescent="0.25">
      <c r="D252" s="117"/>
      <c r="E252" s="117"/>
      <c r="F252" s="117"/>
    </row>
    <row r="253" spans="4:6" x14ac:dyDescent="0.25">
      <c r="D253" s="117"/>
      <c r="E253" s="117"/>
      <c r="F253" s="117"/>
    </row>
    <row r="254" spans="4:6" x14ac:dyDescent="0.25">
      <c r="D254" s="117"/>
      <c r="E254" s="117"/>
      <c r="F254" s="117"/>
    </row>
    <row r="255" spans="4:6" x14ac:dyDescent="0.25">
      <c r="D255" s="117"/>
      <c r="E255" s="117"/>
      <c r="F255" s="117"/>
    </row>
    <row r="256" spans="4:6" x14ac:dyDescent="0.25">
      <c r="D256" s="117"/>
      <c r="E256" s="117"/>
      <c r="F256" s="117"/>
    </row>
    <row r="257" spans="4:6" x14ac:dyDescent="0.25">
      <c r="D257" s="117"/>
      <c r="E257" s="117"/>
      <c r="F257" s="117"/>
    </row>
    <row r="258" spans="4:6" x14ac:dyDescent="0.25">
      <c r="D258" s="117"/>
      <c r="E258" s="117"/>
      <c r="F258" s="117"/>
    </row>
    <row r="259" spans="4:6" x14ac:dyDescent="0.25">
      <c r="D259" s="117"/>
      <c r="E259" s="117"/>
      <c r="F259" s="117"/>
    </row>
    <row r="260" spans="4:6" x14ac:dyDescent="0.25">
      <c r="D260" s="117"/>
      <c r="E260" s="117"/>
      <c r="F260" s="117"/>
    </row>
    <row r="261" spans="4:6" x14ac:dyDescent="0.25">
      <c r="D261" s="117"/>
      <c r="E261" s="117"/>
      <c r="F261" s="117"/>
    </row>
    <row r="262" spans="4:6" x14ac:dyDescent="0.25">
      <c r="D262" s="117"/>
      <c r="E262" s="117"/>
      <c r="F262" s="117"/>
    </row>
    <row r="263" spans="4:6" x14ac:dyDescent="0.25">
      <c r="D263" s="117"/>
      <c r="E263" s="117"/>
      <c r="F263" s="117"/>
    </row>
    <row r="264" spans="4:6" x14ac:dyDescent="0.25">
      <c r="D264" s="117"/>
      <c r="E264" s="117"/>
      <c r="F264" s="117"/>
    </row>
    <row r="265" spans="4:6" x14ac:dyDescent="0.25">
      <c r="D265" s="117"/>
      <c r="E265" s="117"/>
      <c r="F265" s="117"/>
    </row>
    <row r="266" spans="4:6" x14ac:dyDescent="0.25">
      <c r="D266" s="117"/>
      <c r="E266" s="117"/>
      <c r="F266" s="117"/>
    </row>
    <row r="267" spans="4:6" x14ac:dyDescent="0.25">
      <c r="D267" s="117"/>
      <c r="E267" s="117"/>
      <c r="F267" s="117"/>
    </row>
    <row r="268" spans="4:6" x14ac:dyDescent="0.25">
      <c r="D268" s="117"/>
      <c r="E268" s="117"/>
      <c r="F268" s="117"/>
    </row>
    <row r="269" spans="4:6" x14ac:dyDescent="0.25">
      <c r="D269" s="117"/>
      <c r="E269" s="117"/>
      <c r="F269" s="117"/>
    </row>
    <row r="270" spans="4:6" x14ac:dyDescent="0.25">
      <c r="D270" s="117"/>
      <c r="E270" s="117"/>
      <c r="F270" s="117"/>
    </row>
    <row r="271" spans="4:6" x14ac:dyDescent="0.25">
      <c r="D271" s="117"/>
      <c r="E271" s="117"/>
      <c r="F271" s="117"/>
    </row>
    <row r="272" spans="4:6" x14ac:dyDescent="0.25">
      <c r="D272" s="117"/>
      <c r="E272" s="117"/>
      <c r="F272" s="117"/>
    </row>
    <row r="273" spans="4:6" x14ac:dyDescent="0.25">
      <c r="D273" s="117"/>
      <c r="E273" s="117"/>
      <c r="F273" s="117"/>
    </row>
    <row r="274" spans="4:6" x14ac:dyDescent="0.25">
      <c r="D274" s="117"/>
      <c r="E274" s="117"/>
      <c r="F274" s="117"/>
    </row>
    <row r="275" spans="4:6" x14ac:dyDescent="0.25">
      <c r="D275" s="117"/>
      <c r="E275" s="117"/>
      <c r="F275" s="117"/>
    </row>
    <row r="276" spans="4:6" x14ac:dyDescent="0.25">
      <c r="D276" s="117"/>
      <c r="E276" s="117"/>
      <c r="F276" s="117"/>
    </row>
    <row r="277" spans="4:6" x14ac:dyDescent="0.25">
      <c r="D277" s="117"/>
      <c r="E277" s="117"/>
      <c r="F277" s="117"/>
    </row>
    <row r="278" spans="4:6" x14ac:dyDescent="0.25">
      <c r="D278" s="117"/>
      <c r="E278" s="117"/>
      <c r="F278" s="117"/>
    </row>
    <row r="279" spans="4:6" x14ac:dyDescent="0.25">
      <c r="D279" s="117"/>
      <c r="E279" s="117"/>
      <c r="F279" s="117"/>
    </row>
    <row r="280" spans="4:6" x14ac:dyDescent="0.25">
      <c r="D280" s="117"/>
      <c r="E280" s="117"/>
      <c r="F280" s="117"/>
    </row>
    <row r="281" spans="4:6" x14ac:dyDescent="0.25">
      <c r="D281" s="117"/>
      <c r="E281" s="117"/>
      <c r="F281" s="117"/>
    </row>
    <row r="282" spans="4:6" x14ac:dyDescent="0.25">
      <c r="D282" s="117"/>
      <c r="E282" s="117"/>
      <c r="F282" s="117"/>
    </row>
    <row r="283" spans="4:6" x14ac:dyDescent="0.25">
      <c r="D283" s="117"/>
      <c r="E283" s="117"/>
      <c r="F283" s="117"/>
    </row>
    <row r="284" spans="4:6" x14ac:dyDescent="0.25">
      <c r="D284" s="117"/>
      <c r="E284" s="117"/>
      <c r="F284" s="117"/>
    </row>
    <row r="285" spans="4:6" x14ac:dyDescent="0.25">
      <c r="D285" s="117"/>
      <c r="E285" s="117"/>
      <c r="F285" s="117"/>
    </row>
    <row r="286" spans="4:6" x14ac:dyDescent="0.25">
      <c r="D286" s="117"/>
      <c r="E286" s="117"/>
      <c r="F286" s="117"/>
    </row>
    <row r="287" spans="4:6" x14ac:dyDescent="0.25">
      <c r="D287" s="117"/>
      <c r="E287" s="117"/>
      <c r="F287" s="117"/>
    </row>
    <row r="288" spans="4:6" x14ac:dyDescent="0.25">
      <c r="D288" s="117"/>
      <c r="E288" s="117"/>
      <c r="F288" s="117"/>
    </row>
    <row r="289" spans="4:6" x14ac:dyDescent="0.25">
      <c r="D289" s="117"/>
      <c r="E289" s="117"/>
      <c r="F289" s="117"/>
    </row>
    <row r="290" spans="4:6" x14ac:dyDescent="0.25">
      <c r="D290" s="117"/>
      <c r="E290" s="117"/>
      <c r="F290" s="117"/>
    </row>
    <row r="291" spans="4:6" x14ac:dyDescent="0.25">
      <c r="D291" s="117"/>
      <c r="E291" s="117"/>
      <c r="F291" s="117"/>
    </row>
    <row r="292" spans="4:6" x14ac:dyDescent="0.25">
      <c r="D292" s="117"/>
      <c r="E292" s="117"/>
      <c r="F292" s="117"/>
    </row>
    <row r="293" spans="4:6" x14ac:dyDescent="0.25">
      <c r="D293" s="117"/>
      <c r="E293" s="117"/>
      <c r="F293" s="117"/>
    </row>
    <row r="294" spans="4:6" x14ac:dyDescent="0.25">
      <c r="D294" s="117"/>
      <c r="E294" s="117"/>
      <c r="F294" s="117"/>
    </row>
    <row r="295" spans="4:6" x14ac:dyDescent="0.25">
      <c r="D295" s="117"/>
      <c r="E295" s="117"/>
      <c r="F295" s="117"/>
    </row>
    <row r="296" spans="4:6" x14ac:dyDescent="0.25">
      <c r="D296" s="117"/>
      <c r="E296" s="117"/>
      <c r="F296" s="117"/>
    </row>
    <row r="297" spans="4:6" x14ac:dyDescent="0.25">
      <c r="D297" s="117"/>
      <c r="E297" s="117"/>
      <c r="F297" s="117"/>
    </row>
    <row r="298" spans="4:6" x14ac:dyDescent="0.25">
      <c r="D298" s="117"/>
      <c r="E298" s="117"/>
      <c r="F298" s="117"/>
    </row>
    <row r="299" spans="4:6" x14ac:dyDescent="0.25">
      <c r="D299" s="117"/>
      <c r="E299" s="117"/>
      <c r="F299" s="117"/>
    </row>
    <row r="300" spans="4:6" x14ac:dyDescent="0.25">
      <c r="D300" s="117"/>
      <c r="E300" s="117"/>
      <c r="F300" s="117"/>
    </row>
    <row r="301" spans="4:6" x14ac:dyDescent="0.25">
      <c r="D301" s="117"/>
      <c r="E301" s="117"/>
      <c r="F301" s="117"/>
    </row>
  </sheetData>
  <phoneticPr fontId="0" type="noConversion"/>
  <pageMargins left="0.1" right="0.17" top="0.27" bottom="0.22" header="0" footer="0.17"/>
  <pageSetup paperSize="5" scale="60" orientation="landscape" horizontalDpi="4294967293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92D050"/>
  </sheetPr>
  <dimension ref="B5:Q30"/>
  <sheetViews>
    <sheetView showGridLines="0" topLeftCell="A3" zoomScale="80" zoomScaleNormal="80" workbookViewId="0">
      <selection activeCell="B9" sqref="B9:Q20"/>
    </sheetView>
  </sheetViews>
  <sheetFormatPr baseColWidth="10" defaultColWidth="10.90625" defaultRowHeight="12.5" x14ac:dyDescent="0.25"/>
  <cols>
    <col min="3" max="3" width="21.81640625" customWidth="1"/>
    <col min="4" max="4" width="14.453125" bestFit="1" customWidth="1"/>
    <col min="5" max="5" width="15" bestFit="1" customWidth="1"/>
    <col min="6" max="6" width="10.54296875" customWidth="1"/>
    <col min="7" max="7" width="10.36328125" customWidth="1"/>
    <col min="8" max="8" width="4.7265625" bestFit="1" customWidth="1"/>
    <col min="9" max="10" width="14.7265625" bestFit="1" customWidth="1"/>
    <col min="11" max="11" width="11.90625" bestFit="1" customWidth="1"/>
    <col min="12" max="12" width="11.81640625" bestFit="1" customWidth="1"/>
    <col min="14" max="14" width="13.36328125" bestFit="1" customWidth="1"/>
    <col min="15" max="15" width="13.26953125" bestFit="1" customWidth="1"/>
  </cols>
  <sheetData>
    <row r="5" spans="2:17" ht="13" x14ac:dyDescent="0.3">
      <c r="B5" s="111" t="s">
        <v>121</v>
      </c>
      <c r="C5" s="111">
        <v>599</v>
      </c>
      <c r="D5" s="378"/>
      <c r="E5" s="378"/>
      <c r="F5" s="378"/>
      <c r="G5" s="378"/>
      <c r="H5" s="378"/>
    </row>
    <row r="6" spans="2:17" ht="13" x14ac:dyDescent="0.3">
      <c r="B6" s="595" t="s">
        <v>164</v>
      </c>
      <c r="C6" s="596" t="s">
        <v>165</v>
      </c>
      <c r="D6" s="614" t="s">
        <v>447</v>
      </c>
      <c r="E6" s="614" t="s">
        <v>448</v>
      </c>
      <c r="F6" s="614" t="s">
        <v>449</v>
      </c>
      <c r="G6" s="614" t="s">
        <v>450</v>
      </c>
      <c r="H6" s="614" t="s">
        <v>446</v>
      </c>
      <c r="I6" s="614" t="s">
        <v>442</v>
      </c>
      <c r="J6" s="614" t="s">
        <v>443</v>
      </c>
      <c r="K6" s="614" t="s">
        <v>444</v>
      </c>
      <c r="L6" s="630" t="s">
        <v>445</v>
      </c>
      <c r="M6" s="614" t="s">
        <v>446</v>
      </c>
      <c r="N6" s="614" t="s">
        <v>442</v>
      </c>
      <c r="O6" s="614" t="s">
        <v>443</v>
      </c>
      <c r="P6" s="614" t="s">
        <v>444</v>
      </c>
      <c r="Q6" s="630" t="s">
        <v>445</v>
      </c>
    </row>
    <row r="7" spans="2:17" ht="13" x14ac:dyDescent="0.3">
      <c r="B7" s="601" t="s">
        <v>181</v>
      </c>
      <c r="C7" s="602" t="s">
        <v>181</v>
      </c>
      <c r="D7" s="602"/>
      <c r="E7" s="602"/>
      <c r="F7" s="602"/>
      <c r="G7" s="602"/>
      <c r="H7" s="602"/>
      <c r="I7" s="602"/>
      <c r="J7" s="602"/>
      <c r="K7" s="602"/>
      <c r="L7" s="631"/>
      <c r="M7" s="602"/>
      <c r="N7" s="602"/>
      <c r="O7" s="602"/>
      <c r="P7" s="602"/>
      <c r="Q7" s="631"/>
    </row>
    <row r="8" spans="2:17" ht="13" x14ac:dyDescent="0.3">
      <c r="B8" s="601"/>
      <c r="C8" s="602"/>
      <c r="D8" s="602"/>
      <c r="E8" s="602"/>
      <c r="F8" s="602"/>
      <c r="G8" s="602"/>
      <c r="H8" s="602"/>
      <c r="I8" s="602"/>
      <c r="J8" s="602"/>
      <c r="K8" s="602"/>
      <c r="L8" s="631"/>
      <c r="M8" s="602"/>
      <c r="N8" s="602"/>
      <c r="O8" s="602"/>
      <c r="P8" s="602"/>
      <c r="Q8" s="631"/>
    </row>
    <row r="9" spans="2:17" ht="13" x14ac:dyDescent="0.3">
      <c r="B9" s="691">
        <v>10</v>
      </c>
      <c r="C9" s="723" t="s">
        <v>436</v>
      </c>
      <c r="D9" s="724">
        <v>0</v>
      </c>
      <c r="E9" s="724">
        <v>0</v>
      </c>
      <c r="F9" s="724">
        <v>0</v>
      </c>
      <c r="G9" s="724">
        <v>0</v>
      </c>
      <c r="H9" s="725">
        <v>0</v>
      </c>
      <c r="I9" s="725">
        <v>0</v>
      </c>
      <c r="J9" s="726">
        <v>0</v>
      </c>
      <c r="K9" s="725">
        <v>0</v>
      </c>
      <c r="L9" s="727">
        <v>0</v>
      </c>
      <c r="M9" s="725">
        <v>0</v>
      </c>
      <c r="N9" s="725">
        <v>0</v>
      </c>
      <c r="O9" s="726">
        <v>0</v>
      </c>
      <c r="P9" s="725">
        <v>0</v>
      </c>
      <c r="Q9" s="727">
        <v>0</v>
      </c>
    </row>
    <row r="10" spans="2:17" x14ac:dyDescent="0.25">
      <c r="B10" s="658">
        <v>11</v>
      </c>
      <c r="C10" s="659" t="s">
        <v>300</v>
      </c>
      <c r="D10" s="728">
        <v>5822451.5300000003</v>
      </c>
      <c r="E10" s="728">
        <v>0</v>
      </c>
      <c r="F10" s="728">
        <v>0</v>
      </c>
      <c r="G10" s="728">
        <v>5822451.5300000003</v>
      </c>
      <c r="H10" s="728">
        <v>0</v>
      </c>
      <c r="I10" s="728">
        <v>5822451.5300000003</v>
      </c>
      <c r="J10" s="728">
        <v>5690625</v>
      </c>
      <c r="K10" s="728">
        <v>131826.53</v>
      </c>
      <c r="L10" s="673">
        <v>131826.53</v>
      </c>
      <c r="M10" s="728">
        <v>0</v>
      </c>
      <c r="N10" s="728">
        <v>6426507.0300000003</v>
      </c>
      <c r="O10" s="728">
        <v>6212115.5999999996</v>
      </c>
      <c r="P10" s="728">
        <v>34842.980000000003</v>
      </c>
      <c r="Q10" s="673">
        <v>214391.43</v>
      </c>
    </row>
    <row r="11" spans="2:17" ht="13" x14ac:dyDescent="0.3">
      <c r="B11" s="662">
        <v>20</v>
      </c>
      <c r="C11" s="663" t="s">
        <v>437</v>
      </c>
      <c r="D11" s="728">
        <v>0</v>
      </c>
      <c r="E11" s="728">
        <v>0</v>
      </c>
      <c r="F11" s="728">
        <v>0</v>
      </c>
      <c r="G11" s="728">
        <v>0</v>
      </c>
      <c r="H11" s="728">
        <v>0</v>
      </c>
      <c r="I11" s="728">
        <v>0</v>
      </c>
      <c r="J11" s="728">
        <v>0</v>
      </c>
      <c r="K11" s="728">
        <v>0</v>
      </c>
      <c r="L11" s="673">
        <v>0</v>
      </c>
      <c r="M11" s="728">
        <v>0</v>
      </c>
      <c r="N11" s="728">
        <v>0</v>
      </c>
      <c r="O11" s="728">
        <v>0</v>
      </c>
      <c r="P11" s="728">
        <v>0</v>
      </c>
      <c r="Q11" s="673">
        <v>0</v>
      </c>
    </row>
    <row r="12" spans="2:17" x14ac:dyDescent="0.25">
      <c r="B12" s="658">
        <v>21</v>
      </c>
      <c r="C12" s="659" t="s">
        <v>300</v>
      </c>
      <c r="D12" s="728">
        <v>3757030.47</v>
      </c>
      <c r="E12" s="728">
        <v>3369595.93</v>
      </c>
      <c r="F12" s="728">
        <v>12276.07</v>
      </c>
      <c r="G12" s="728">
        <v>387434.54</v>
      </c>
      <c r="H12" s="728">
        <v>0</v>
      </c>
      <c r="I12" s="728">
        <v>3757030.47</v>
      </c>
      <c r="J12" s="728">
        <v>3689155</v>
      </c>
      <c r="K12" s="728">
        <v>67875.47</v>
      </c>
      <c r="L12" s="673">
        <v>67875.47</v>
      </c>
      <c r="M12" s="728">
        <v>0</v>
      </c>
      <c r="N12" s="728">
        <v>3930711.62</v>
      </c>
      <c r="O12" s="728">
        <v>3848723.16</v>
      </c>
      <c r="P12" s="728">
        <v>15431.08</v>
      </c>
      <c r="Q12" s="673">
        <v>81988.460000000006</v>
      </c>
    </row>
    <row r="13" spans="2:17" ht="13" x14ac:dyDescent="0.3">
      <c r="B13" s="662">
        <v>30</v>
      </c>
      <c r="C13" s="663" t="s">
        <v>438</v>
      </c>
      <c r="D13" s="728">
        <v>0</v>
      </c>
      <c r="E13" s="728">
        <v>0</v>
      </c>
      <c r="F13" s="728">
        <v>0</v>
      </c>
      <c r="G13" s="728">
        <v>0</v>
      </c>
      <c r="H13" s="728">
        <v>0</v>
      </c>
      <c r="I13" s="728">
        <v>0</v>
      </c>
      <c r="J13" s="728">
        <v>0</v>
      </c>
      <c r="K13" s="728">
        <v>0</v>
      </c>
      <c r="L13" s="673">
        <v>0</v>
      </c>
      <c r="M13" s="728">
        <v>0</v>
      </c>
      <c r="N13" s="728">
        <v>0</v>
      </c>
      <c r="O13" s="728">
        <v>0</v>
      </c>
      <c r="P13" s="728">
        <v>0</v>
      </c>
      <c r="Q13" s="673">
        <v>0</v>
      </c>
    </row>
    <row r="14" spans="2:17" x14ac:dyDescent="0.25">
      <c r="B14" s="658">
        <v>31</v>
      </c>
      <c r="C14" s="659" t="s">
        <v>300</v>
      </c>
      <c r="D14" s="728">
        <v>170366.24</v>
      </c>
      <c r="E14" s="728">
        <v>0</v>
      </c>
      <c r="F14" s="728">
        <v>0</v>
      </c>
      <c r="G14" s="728">
        <v>170366.24</v>
      </c>
      <c r="H14" s="728">
        <v>0</v>
      </c>
      <c r="I14" s="728">
        <v>170366.24</v>
      </c>
      <c r="J14" s="728">
        <v>1010154</v>
      </c>
      <c r="K14" s="728">
        <v>-839787.76</v>
      </c>
      <c r="L14" s="673">
        <v>-839787.76</v>
      </c>
      <c r="M14" s="728">
        <v>0</v>
      </c>
      <c r="N14" s="728">
        <v>210528.5</v>
      </c>
      <c r="O14" s="728">
        <v>203277.48</v>
      </c>
      <c r="P14" s="728">
        <v>1174.57</v>
      </c>
      <c r="Q14" s="673">
        <v>7251.02</v>
      </c>
    </row>
    <row r="15" spans="2:17" ht="13" x14ac:dyDescent="0.3">
      <c r="B15" s="662">
        <v>40</v>
      </c>
      <c r="C15" s="663" t="s">
        <v>439</v>
      </c>
      <c r="D15" s="728">
        <v>0</v>
      </c>
      <c r="E15" s="728">
        <v>0</v>
      </c>
      <c r="F15" s="728">
        <v>0</v>
      </c>
      <c r="G15" s="728">
        <v>0</v>
      </c>
      <c r="H15" s="728">
        <v>0</v>
      </c>
      <c r="I15" s="728">
        <v>0</v>
      </c>
      <c r="J15" s="728">
        <v>0</v>
      </c>
      <c r="K15" s="728">
        <v>0</v>
      </c>
      <c r="L15" s="673">
        <v>0</v>
      </c>
      <c r="M15" s="728">
        <v>0</v>
      </c>
      <c r="N15" s="728">
        <v>0</v>
      </c>
      <c r="O15" s="728">
        <v>0</v>
      </c>
      <c r="P15" s="728">
        <v>0</v>
      </c>
      <c r="Q15" s="673">
        <v>0</v>
      </c>
    </row>
    <row r="16" spans="2:17" x14ac:dyDescent="0.25">
      <c r="B16" s="658">
        <v>41</v>
      </c>
      <c r="C16" s="659" t="s">
        <v>300</v>
      </c>
      <c r="D16" s="728">
        <v>0</v>
      </c>
      <c r="E16" s="728">
        <v>0</v>
      </c>
      <c r="F16" s="728">
        <v>0</v>
      </c>
      <c r="G16" s="728">
        <v>0</v>
      </c>
      <c r="H16" s="728">
        <v>0</v>
      </c>
      <c r="I16" s="728">
        <v>0</v>
      </c>
      <c r="J16" s="728">
        <v>261190</v>
      </c>
      <c r="K16" s="728">
        <v>-261190</v>
      </c>
      <c r="L16" s="673">
        <v>-261190</v>
      </c>
      <c r="M16" s="728">
        <v>0</v>
      </c>
      <c r="N16" s="728">
        <v>554452.84</v>
      </c>
      <c r="O16" s="728">
        <v>487228.99</v>
      </c>
      <c r="P16" s="728">
        <v>7906.93</v>
      </c>
      <c r="Q16" s="673">
        <v>67223.850000000006</v>
      </c>
    </row>
    <row r="17" spans="2:17" ht="13" x14ac:dyDescent="0.3">
      <c r="B17" s="662">
        <v>50</v>
      </c>
      <c r="C17" s="663" t="s">
        <v>440</v>
      </c>
      <c r="D17" s="728">
        <v>0</v>
      </c>
      <c r="E17" s="728">
        <v>0</v>
      </c>
      <c r="F17" s="728">
        <v>0</v>
      </c>
      <c r="G17" s="728">
        <v>0</v>
      </c>
      <c r="H17" s="728">
        <v>0</v>
      </c>
      <c r="I17" s="728">
        <v>0</v>
      </c>
      <c r="J17" s="728">
        <v>0</v>
      </c>
      <c r="K17" s="728">
        <v>0</v>
      </c>
      <c r="L17" s="673">
        <v>0</v>
      </c>
      <c r="M17" s="728">
        <v>0</v>
      </c>
      <c r="N17" s="728">
        <v>0</v>
      </c>
      <c r="O17" s="728">
        <v>0</v>
      </c>
      <c r="P17" s="728">
        <v>0</v>
      </c>
      <c r="Q17" s="673">
        <v>0</v>
      </c>
    </row>
    <row r="18" spans="2:17" x14ac:dyDescent="0.25">
      <c r="B18" s="658">
        <v>51</v>
      </c>
      <c r="C18" s="659" t="s">
        <v>300</v>
      </c>
      <c r="D18" s="728">
        <v>0</v>
      </c>
      <c r="E18" s="728">
        <v>0</v>
      </c>
      <c r="F18" s="728">
        <v>0</v>
      </c>
      <c r="G18" s="728">
        <v>0</v>
      </c>
      <c r="H18" s="728">
        <v>0</v>
      </c>
      <c r="I18" s="728">
        <v>0</v>
      </c>
      <c r="J18" s="728">
        <v>1548610</v>
      </c>
      <c r="K18" s="728">
        <v>-1548610</v>
      </c>
      <c r="L18" s="673">
        <v>-1548610</v>
      </c>
      <c r="M18" s="728">
        <v>0</v>
      </c>
      <c r="N18" s="728">
        <v>186067.87</v>
      </c>
      <c r="O18" s="728">
        <v>153019.29999999999</v>
      </c>
      <c r="P18" s="728">
        <v>2408.94</v>
      </c>
      <c r="Q18" s="673">
        <v>33048.57</v>
      </c>
    </row>
    <row r="19" spans="2:17" ht="13" x14ac:dyDescent="0.3">
      <c r="B19" s="662">
        <v>60</v>
      </c>
      <c r="C19" s="663" t="s">
        <v>441</v>
      </c>
      <c r="D19" s="728">
        <v>0</v>
      </c>
      <c r="E19" s="728">
        <v>0</v>
      </c>
      <c r="F19" s="728">
        <v>0</v>
      </c>
      <c r="G19" s="728">
        <v>0</v>
      </c>
      <c r="H19" s="728">
        <v>0</v>
      </c>
      <c r="I19" s="728">
        <v>0</v>
      </c>
      <c r="J19" s="728">
        <v>0</v>
      </c>
      <c r="K19" s="728">
        <v>0</v>
      </c>
      <c r="L19" s="673">
        <v>0</v>
      </c>
      <c r="M19" s="728">
        <v>0</v>
      </c>
      <c r="N19" s="728">
        <v>0</v>
      </c>
      <c r="O19" s="728">
        <v>0</v>
      </c>
      <c r="P19" s="728">
        <v>0</v>
      </c>
      <c r="Q19" s="673">
        <v>0</v>
      </c>
    </row>
    <row r="20" spans="2:17" x14ac:dyDescent="0.25">
      <c r="B20" s="687">
        <v>61</v>
      </c>
      <c r="C20" s="688" t="s">
        <v>300</v>
      </c>
      <c r="D20" s="729">
        <v>5476661.2599999998</v>
      </c>
      <c r="E20" s="729">
        <v>5081561.3</v>
      </c>
      <c r="F20" s="729">
        <v>262974.64</v>
      </c>
      <c r="G20" s="729">
        <v>395099.96</v>
      </c>
      <c r="H20" s="729">
        <v>0</v>
      </c>
      <c r="I20" s="729">
        <v>5476661.2599999998</v>
      </c>
      <c r="J20" s="729">
        <v>4560357</v>
      </c>
      <c r="K20" s="729">
        <v>916304.26</v>
      </c>
      <c r="L20" s="730">
        <v>916304.26</v>
      </c>
      <c r="M20" s="729">
        <v>0</v>
      </c>
      <c r="N20" s="729">
        <v>5994420.6100000003</v>
      </c>
      <c r="O20" s="729">
        <v>5775045.5700000003</v>
      </c>
      <c r="P20" s="729">
        <v>38990.339999999997</v>
      </c>
      <c r="Q20" s="730">
        <v>219375.04</v>
      </c>
    </row>
    <row r="21" spans="2:17" x14ac:dyDescent="0.25">
      <c r="D21" s="380"/>
      <c r="E21" s="380"/>
      <c r="F21" s="380"/>
      <c r="H21" s="380"/>
      <c r="I21" s="380"/>
      <c r="K21" s="380"/>
      <c r="L21" s="380"/>
      <c r="M21" s="380"/>
      <c r="N21" s="380"/>
      <c r="O21" s="380"/>
      <c r="P21" s="380"/>
      <c r="Q21" s="380"/>
    </row>
    <row r="22" spans="2:17" x14ac:dyDescent="0.25">
      <c r="D22" s="380"/>
      <c r="E22" s="380"/>
      <c r="F22" s="380"/>
      <c r="H22" s="380"/>
      <c r="I22" s="380"/>
      <c r="K22" s="380"/>
      <c r="L22" s="380"/>
      <c r="M22" s="380"/>
      <c r="P22" s="380"/>
      <c r="Q22" s="380"/>
    </row>
    <row r="25" spans="2:17" x14ac:dyDescent="0.25">
      <c r="D25" s="380"/>
      <c r="E25" s="380"/>
      <c r="F25" s="380"/>
      <c r="H25" s="380"/>
      <c r="I25" s="380"/>
      <c r="K25" s="380"/>
      <c r="L25" s="380"/>
      <c r="M25" s="380"/>
      <c r="N25" s="380"/>
      <c r="O25" s="380"/>
      <c r="P25" s="380"/>
      <c r="Q25" s="380"/>
    </row>
    <row r="26" spans="2:17" x14ac:dyDescent="0.25">
      <c r="D26" s="380"/>
      <c r="E26" s="380"/>
      <c r="F26" s="380"/>
      <c r="H26" s="380"/>
      <c r="I26" s="380"/>
      <c r="K26" s="380"/>
      <c r="L26" s="380"/>
      <c r="M26" s="380"/>
      <c r="N26" s="380"/>
      <c r="O26" s="380"/>
      <c r="P26" s="380"/>
      <c r="Q26" s="380"/>
    </row>
    <row r="27" spans="2:17" x14ac:dyDescent="0.25">
      <c r="D27" s="380"/>
      <c r="E27" s="380"/>
      <c r="F27" s="380"/>
      <c r="H27" s="380"/>
      <c r="I27" s="380"/>
      <c r="K27" s="380"/>
      <c r="O27" s="380"/>
      <c r="P27" s="380"/>
      <c r="Q27" s="380"/>
    </row>
    <row r="29" spans="2:17" x14ac:dyDescent="0.25">
      <c r="D29" s="380"/>
      <c r="E29" s="380"/>
      <c r="F29" s="380"/>
      <c r="H29" s="380"/>
      <c r="I29" s="380"/>
      <c r="K29" s="380"/>
      <c r="L29" s="380"/>
      <c r="M29" s="380"/>
      <c r="N29" s="380"/>
      <c r="O29" s="380"/>
      <c r="P29" s="380"/>
      <c r="Q29" s="380"/>
    </row>
    <row r="30" spans="2:17" x14ac:dyDescent="0.25">
      <c r="D30" s="380"/>
      <c r="E30" s="380"/>
      <c r="F30" s="380"/>
      <c r="H30" s="380"/>
      <c r="I30" s="380"/>
      <c r="K30" s="380"/>
      <c r="L30" s="380"/>
      <c r="M30" s="380"/>
      <c r="N30" s="380"/>
      <c r="O30" s="380"/>
      <c r="P30" s="380"/>
      <c r="Q30" s="38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B1:CA250"/>
  <sheetViews>
    <sheetView showGridLines="0" zoomScale="50" zoomScaleNormal="50" workbookViewId="0">
      <selection activeCell="C65" sqref="C65"/>
    </sheetView>
  </sheetViews>
  <sheetFormatPr baseColWidth="10" defaultColWidth="8.7265625" defaultRowHeight="12.5" x14ac:dyDescent="0.25"/>
  <cols>
    <col min="1" max="1" width="8.7265625" style="120"/>
    <col min="2" max="2" width="10.54296875" style="120" customWidth="1"/>
    <col min="3" max="3" width="38.81640625" style="120" customWidth="1"/>
    <col min="4" max="4" width="14.453125" style="121" bestFit="1" customWidth="1"/>
    <col min="5" max="5" width="8" style="121" customWidth="1"/>
    <col min="6" max="6" width="12.81640625" style="121" customWidth="1"/>
    <col min="7" max="7" width="5.54296875" style="121" bestFit="1" customWidth="1"/>
    <col min="8" max="8" width="16.453125" style="121" bestFit="1" customWidth="1"/>
    <col min="9" max="9" width="6.81640625" style="121" customWidth="1"/>
    <col min="10" max="10" width="15.81640625" style="121" customWidth="1"/>
    <col min="11" max="11" width="14.81640625" style="121" bestFit="1" customWidth="1"/>
    <col min="12" max="12" width="14.453125" style="121" customWidth="1"/>
    <col min="13" max="13" width="13" style="121" bestFit="1" customWidth="1"/>
    <col min="14" max="14" width="13" style="121" customWidth="1"/>
    <col min="15" max="15" width="8.7265625" style="120"/>
    <col min="16" max="16" width="40" style="120" customWidth="1"/>
    <col min="17" max="17" width="15.54296875" style="121" customWidth="1"/>
    <col min="18" max="18" width="7.453125" style="121" customWidth="1"/>
    <col min="19" max="19" width="11.81640625" style="121" bestFit="1" customWidth="1"/>
    <col min="20" max="20" width="5.54296875" style="121" bestFit="1" customWidth="1"/>
    <col min="21" max="21" width="16.1796875" style="121" bestFit="1" customWidth="1"/>
    <col min="22" max="22" width="6.54296875" style="121" customWidth="1"/>
    <col min="23" max="23" width="15.54296875" style="121" bestFit="1" customWidth="1"/>
    <col min="24" max="24" width="14.54296875" style="121" bestFit="1" customWidth="1"/>
    <col min="25" max="25" width="13.1796875" style="121" bestFit="1" customWidth="1"/>
    <col min="26" max="26" width="12.81640625" style="121" bestFit="1" customWidth="1"/>
    <col min="27" max="27" width="12.81640625" style="121" customWidth="1"/>
    <col min="28" max="28" width="9.1796875" style="120"/>
    <col min="29" max="29" width="33.54296875" style="120" bestFit="1" customWidth="1"/>
    <col min="30" max="30" width="15.54296875" style="121" bestFit="1" customWidth="1"/>
    <col min="31" max="31" width="9.453125" style="121" bestFit="1" customWidth="1"/>
    <col min="32" max="32" width="11.81640625" style="121" bestFit="1" customWidth="1"/>
    <col min="33" max="33" width="9.453125" style="121" bestFit="1" customWidth="1"/>
    <col min="34" max="34" width="15.54296875" style="121" bestFit="1" customWidth="1"/>
    <col min="35" max="35" width="9.453125" style="121" bestFit="1" customWidth="1"/>
    <col min="36" max="37" width="14.54296875" style="121" bestFit="1" customWidth="1"/>
    <col min="38" max="38" width="13.1796875" style="121" bestFit="1" customWidth="1"/>
    <col min="39" max="39" width="12.81640625" style="121" bestFit="1" customWidth="1"/>
    <col min="40" max="40" width="12.81640625" style="121" customWidth="1"/>
    <col min="41" max="41" width="9.1796875" style="120"/>
    <col min="42" max="42" width="33.453125" style="120" customWidth="1"/>
    <col min="43" max="43" width="12.81640625" style="120" bestFit="1" customWidth="1"/>
    <col min="44" max="46" width="9.453125" style="120" bestFit="1" customWidth="1"/>
    <col min="47" max="47" width="11.54296875" style="120" bestFit="1" customWidth="1"/>
    <col min="48" max="48" width="9.453125" style="120" bestFit="1" customWidth="1"/>
    <col min="49" max="49" width="11.453125" style="120" customWidth="1"/>
    <col min="50" max="50" width="11.453125" style="120" bestFit="1" customWidth="1"/>
    <col min="51" max="51" width="12.453125" style="120" customWidth="1"/>
    <col min="52" max="52" width="11.81640625" style="120" bestFit="1" customWidth="1"/>
    <col min="53" max="53" width="11.81640625" style="120" customWidth="1"/>
    <col min="54" max="54" width="7.26953125" style="120" bestFit="1" customWidth="1"/>
    <col min="55" max="55" width="30.453125" style="120" customWidth="1"/>
    <col min="56" max="56" width="12.453125" style="120" bestFit="1" customWidth="1"/>
    <col min="57" max="57" width="5.453125" style="120" customWidth="1"/>
    <col min="58" max="58" width="8.7265625" style="120"/>
    <col min="59" max="59" width="4.54296875" style="120" customWidth="1"/>
    <col min="60" max="60" width="10.7265625" style="120" customWidth="1"/>
    <col min="61" max="61" width="6.1796875" style="120" customWidth="1"/>
    <col min="62" max="62" width="16.453125" style="120" bestFit="1" customWidth="1"/>
    <col min="63" max="63" width="15.54296875" style="120" bestFit="1" customWidth="1"/>
    <col min="64" max="64" width="12.453125" style="120" bestFit="1" customWidth="1"/>
    <col min="65" max="66" width="12.1796875" style="120" customWidth="1"/>
    <col min="67" max="67" width="8.7265625" style="120"/>
    <col min="68" max="68" width="28.453125" style="120" customWidth="1"/>
    <col min="69" max="69" width="18.54296875" style="122" customWidth="1"/>
    <col min="70" max="70" width="8.7265625" style="120"/>
    <col min="71" max="71" width="12.1796875" style="120" bestFit="1" customWidth="1"/>
    <col min="72" max="72" width="8.7265625" style="120"/>
    <col min="73" max="73" width="16" style="120" bestFit="1" customWidth="1"/>
    <col min="74" max="74" width="8.7265625" style="120"/>
    <col min="75" max="75" width="12.81640625" style="120" customWidth="1"/>
    <col min="76" max="76" width="12" style="120" customWidth="1"/>
    <col min="77" max="77" width="14.453125" style="120" customWidth="1"/>
    <col min="78" max="78" width="13.54296875" style="120" customWidth="1"/>
    <col min="79" max="16384" width="8.7265625" style="120"/>
  </cols>
  <sheetData>
    <row r="1" spans="2:79" x14ac:dyDescent="0.25">
      <c r="AQ1" s="120" t="s">
        <v>181</v>
      </c>
    </row>
    <row r="3" spans="2:79" x14ac:dyDescent="0.25">
      <c r="AC3" s="123"/>
    </row>
    <row r="5" spans="2:79" ht="13" x14ac:dyDescent="0.3">
      <c r="O5" s="124" t="s">
        <v>120</v>
      </c>
      <c r="P5" s="125"/>
      <c r="AB5" s="124" t="s">
        <v>119</v>
      </c>
      <c r="AO5" s="124" t="s">
        <v>185</v>
      </c>
      <c r="BB5" s="124" t="s">
        <v>188</v>
      </c>
      <c r="BD5" s="126"/>
      <c r="BE5" s="127"/>
      <c r="BO5" s="124" t="s">
        <v>209</v>
      </c>
      <c r="BR5" s="122"/>
    </row>
    <row r="6" spans="2:79" s="254" customFormat="1" ht="13" x14ac:dyDescent="0.3">
      <c r="B6" s="120"/>
      <c r="C6" s="120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256"/>
      <c r="O6" s="255">
        <v>610</v>
      </c>
      <c r="Q6" s="256"/>
      <c r="R6" s="256"/>
      <c r="S6" s="256"/>
      <c r="T6" s="256"/>
      <c r="U6" s="256"/>
      <c r="V6" s="256"/>
      <c r="W6" s="256"/>
      <c r="X6" s="256"/>
      <c r="Y6" s="256"/>
      <c r="Z6" s="256"/>
      <c r="AA6" s="256"/>
      <c r="AB6" s="255">
        <v>610</v>
      </c>
      <c r="AD6" s="256"/>
      <c r="AE6" s="256"/>
      <c r="AF6" s="256"/>
      <c r="AG6" s="256"/>
      <c r="AH6" s="256"/>
      <c r="AI6" s="256"/>
      <c r="AJ6" s="256"/>
      <c r="AK6" s="256"/>
      <c r="AL6" s="256"/>
      <c r="AM6" s="256"/>
      <c r="AN6" s="256"/>
      <c r="AO6" s="255">
        <v>610</v>
      </c>
      <c r="BB6" s="255"/>
      <c r="BD6" s="254" t="s">
        <v>256</v>
      </c>
      <c r="BE6" s="254" t="s">
        <v>10</v>
      </c>
      <c r="BF6" s="254" t="s">
        <v>257</v>
      </c>
      <c r="BG6" s="254" t="s">
        <v>10</v>
      </c>
      <c r="BH6" s="254" t="s">
        <v>11</v>
      </c>
      <c r="BI6" s="254" t="s">
        <v>10</v>
      </c>
      <c r="BJ6" s="254" t="s">
        <v>11</v>
      </c>
      <c r="BK6" s="254" t="s">
        <v>11</v>
      </c>
      <c r="BL6" s="254" t="s">
        <v>258</v>
      </c>
      <c r="BM6" s="254" t="s">
        <v>259</v>
      </c>
      <c r="BO6" s="255">
        <v>610</v>
      </c>
      <c r="BQ6" s="257"/>
    </row>
    <row r="7" spans="2:79" ht="13" x14ac:dyDescent="0.3">
      <c r="B7" s="124" t="s">
        <v>412</v>
      </c>
      <c r="BB7" s="120" t="s">
        <v>181</v>
      </c>
      <c r="BC7" s="120" t="s">
        <v>181</v>
      </c>
      <c r="BD7" s="120" t="s">
        <v>260</v>
      </c>
      <c r="BF7" s="120" t="s">
        <v>260</v>
      </c>
      <c r="BH7" s="120" t="s">
        <v>261</v>
      </c>
      <c r="BJ7" s="120" t="s">
        <v>262</v>
      </c>
      <c r="BK7" s="120" t="s">
        <v>12</v>
      </c>
      <c r="BL7" s="120" t="s">
        <v>263</v>
      </c>
      <c r="BN7" s="254"/>
    </row>
    <row r="8" spans="2:79" ht="13" x14ac:dyDescent="0.3">
      <c r="B8" s="595" t="s">
        <v>164</v>
      </c>
      <c r="C8" s="596" t="s">
        <v>165</v>
      </c>
      <c r="D8" s="638" t="s">
        <v>256</v>
      </c>
      <c r="E8" s="638" t="s">
        <v>10</v>
      </c>
      <c r="F8" s="638" t="s">
        <v>257</v>
      </c>
      <c r="G8" s="638" t="s">
        <v>10</v>
      </c>
      <c r="H8" s="638" t="s">
        <v>11</v>
      </c>
      <c r="I8" s="638" t="s">
        <v>10</v>
      </c>
      <c r="J8" s="638" t="s">
        <v>11</v>
      </c>
      <c r="K8" s="638" t="s">
        <v>11</v>
      </c>
      <c r="L8" s="638" t="s">
        <v>258</v>
      </c>
      <c r="M8" s="639" t="s">
        <v>259</v>
      </c>
      <c r="O8" s="595" t="s">
        <v>164</v>
      </c>
      <c r="P8" s="614" t="s">
        <v>165</v>
      </c>
      <c r="Q8" s="615" t="s">
        <v>256</v>
      </c>
      <c r="R8" s="615" t="s">
        <v>10</v>
      </c>
      <c r="S8" s="615" t="s">
        <v>257</v>
      </c>
      <c r="T8" s="615" t="s">
        <v>10</v>
      </c>
      <c r="U8" s="615" t="s">
        <v>11</v>
      </c>
      <c r="V8" s="615" t="s">
        <v>10</v>
      </c>
      <c r="W8" s="615" t="s">
        <v>11</v>
      </c>
      <c r="X8" s="615" t="s">
        <v>11</v>
      </c>
      <c r="Y8" s="615" t="s">
        <v>258</v>
      </c>
      <c r="Z8" s="615" t="s">
        <v>259</v>
      </c>
      <c r="AB8" s="595" t="s">
        <v>164</v>
      </c>
      <c r="AC8" s="614" t="s">
        <v>165</v>
      </c>
      <c r="AD8" s="615" t="s">
        <v>256</v>
      </c>
      <c r="AE8" s="615" t="s">
        <v>10</v>
      </c>
      <c r="AF8" s="615" t="s">
        <v>257</v>
      </c>
      <c r="AG8" s="615" t="s">
        <v>10</v>
      </c>
      <c r="AH8" s="615" t="s">
        <v>11</v>
      </c>
      <c r="AI8" s="615" t="s">
        <v>10</v>
      </c>
      <c r="AJ8" s="615" t="s">
        <v>11</v>
      </c>
      <c r="AK8" s="615" t="s">
        <v>11</v>
      </c>
      <c r="AL8" s="615" t="s">
        <v>258</v>
      </c>
      <c r="AM8" s="616" t="s">
        <v>259</v>
      </c>
      <c r="AO8" s="595" t="s">
        <v>164</v>
      </c>
      <c r="AP8" s="614" t="s">
        <v>165</v>
      </c>
      <c r="AQ8" s="615" t="s">
        <v>256</v>
      </c>
      <c r="AR8" s="615" t="s">
        <v>10</v>
      </c>
      <c r="AS8" s="615" t="s">
        <v>257</v>
      </c>
      <c r="AT8" s="615" t="s">
        <v>10</v>
      </c>
      <c r="AU8" s="615" t="s">
        <v>11</v>
      </c>
      <c r="AV8" s="615" t="s">
        <v>10</v>
      </c>
      <c r="AW8" s="615" t="s">
        <v>11</v>
      </c>
      <c r="AX8" s="615" t="s">
        <v>11</v>
      </c>
      <c r="AY8" s="615" t="s">
        <v>258</v>
      </c>
      <c r="AZ8" s="616" t="s">
        <v>259</v>
      </c>
      <c r="BB8" s="595" t="s">
        <v>164</v>
      </c>
      <c r="BC8" s="614" t="s">
        <v>165</v>
      </c>
      <c r="BD8" s="615" t="s">
        <v>256</v>
      </c>
      <c r="BE8" s="615" t="s">
        <v>10</v>
      </c>
      <c r="BF8" s="615" t="s">
        <v>257</v>
      </c>
      <c r="BG8" s="615" t="s">
        <v>10</v>
      </c>
      <c r="BH8" s="615" t="s">
        <v>11</v>
      </c>
      <c r="BI8" s="615" t="s">
        <v>10</v>
      </c>
      <c r="BJ8" s="615" t="s">
        <v>11</v>
      </c>
      <c r="BK8" s="615" t="s">
        <v>11</v>
      </c>
      <c r="BL8" s="615" t="s">
        <v>258</v>
      </c>
      <c r="BM8" s="616" t="s">
        <v>259</v>
      </c>
      <c r="BN8" s="254"/>
      <c r="BO8" s="643" t="s">
        <v>164</v>
      </c>
      <c r="BP8" s="644" t="s">
        <v>165</v>
      </c>
      <c r="BQ8" s="645" t="s">
        <v>256</v>
      </c>
      <c r="BR8" s="645" t="s">
        <v>10</v>
      </c>
      <c r="BS8" s="645" t="s">
        <v>257</v>
      </c>
      <c r="BT8" s="645" t="s">
        <v>10</v>
      </c>
      <c r="BU8" s="645" t="s">
        <v>11</v>
      </c>
      <c r="BV8" s="645" t="s">
        <v>10</v>
      </c>
      <c r="BW8" s="645" t="s">
        <v>11</v>
      </c>
      <c r="BX8" s="645" t="s">
        <v>11</v>
      </c>
      <c r="BY8" s="645" t="s">
        <v>258</v>
      </c>
      <c r="BZ8" s="646" t="s">
        <v>259</v>
      </c>
    </row>
    <row r="9" spans="2:79" ht="13" x14ac:dyDescent="0.3">
      <c r="B9" s="601" t="s">
        <v>181</v>
      </c>
      <c r="C9" s="602" t="s">
        <v>181</v>
      </c>
      <c r="D9" s="624" t="s">
        <v>260</v>
      </c>
      <c r="E9" s="624"/>
      <c r="F9" s="624" t="s">
        <v>260</v>
      </c>
      <c r="G9" s="624"/>
      <c r="H9" s="624" t="s">
        <v>261</v>
      </c>
      <c r="I9" s="624"/>
      <c r="J9" s="624" t="s">
        <v>262</v>
      </c>
      <c r="K9" s="624" t="s">
        <v>12</v>
      </c>
      <c r="L9" s="624" t="s">
        <v>263</v>
      </c>
      <c r="M9" s="625"/>
      <c r="O9" s="601" t="s">
        <v>181</v>
      </c>
      <c r="P9" s="626" t="s">
        <v>181</v>
      </c>
      <c r="Q9" s="627" t="s">
        <v>260</v>
      </c>
      <c r="R9" s="627"/>
      <c r="S9" s="627" t="s">
        <v>260</v>
      </c>
      <c r="T9" s="627"/>
      <c r="U9" s="627" t="s">
        <v>261</v>
      </c>
      <c r="V9" s="627"/>
      <c r="W9" s="627" t="s">
        <v>262</v>
      </c>
      <c r="X9" s="627" t="s">
        <v>12</v>
      </c>
      <c r="Y9" s="627" t="s">
        <v>263</v>
      </c>
      <c r="Z9" s="627"/>
      <c r="AB9" s="601" t="s">
        <v>181</v>
      </c>
      <c r="AC9" s="617" t="s">
        <v>181</v>
      </c>
      <c r="AD9" s="618" t="s">
        <v>260</v>
      </c>
      <c r="AE9" s="618"/>
      <c r="AF9" s="618" t="s">
        <v>260</v>
      </c>
      <c r="AG9" s="618"/>
      <c r="AH9" s="618" t="s">
        <v>261</v>
      </c>
      <c r="AI9" s="618"/>
      <c r="AJ9" s="618" t="s">
        <v>262</v>
      </c>
      <c r="AK9" s="618" t="s">
        <v>12</v>
      </c>
      <c r="AL9" s="618" t="s">
        <v>263</v>
      </c>
      <c r="AM9" s="619"/>
      <c r="AO9" s="601" t="s">
        <v>181</v>
      </c>
      <c r="AP9" s="617" t="s">
        <v>181</v>
      </c>
      <c r="AQ9" s="618" t="s">
        <v>260</v>
      </c>
      <c r="AR9" s="618"/>
      <c r="AS9" s="618" t="s">
        <v>260</v>
      </c>
      <c r="AT9" s="618"/>
      <c r="AU9" s="618" t="s">
        <v>261</v>
      </c>
      <c r="AV9" s="618"/>
      <c r="AW9" s="618" t="s">
        <v>262</v>
      </c>
      <c r="AX9" s="618" t="s">
        <v>12</v>
      </c>
      <c r="AY9" s="618" t="s">
        <v>263</v>
      </c>
      <c r="AZ9" s="619"/>
      <c r="BB9" s="601" t="s">
        <v>181</v>
      </c>
      <c r="BC9" s="626" t="s">
        <v>181</v>
      </c>
      <c r="BD9" s="627" t="s">
        <v>260</v>
      </c>
      <c r="BE9" s="627"/>
      <c r="BF9" s="627" t="s">
        <v>260</v>
      </c>
      <c r="BG9" s="627"/>
      <c r="BH9" s="627" t="s">
        <v>261</v>
      </c>
      <c r="BI9" s="627"/>
      <c r="BJ9" s="627" t="s">
        <v>262</v>
      </c>
      <c r="BK9" s="627" t="s">
        <v>12</v>
      </c>
      <c r="BL9" s="627" t="s">
        <v>263</v>
      </c>
      <c r="BM9" s="619"/>
      <c r="BN9" s="254"/>
      <c r="BO9" s="620" t="s">
        <v>181</v>
      </c>
      <c r="BP9" s="647" t="s">
        <v>181</v>
      </c>
      <c r="BQ9" s="648" t="s">
        <v>260</v>
      </c>
      <c r="BR9" s="648"/>
      <c r="BS9" s="648" t="s">
        <v>260</v>
      </c>
      <c r="BT9" s="648"/>
      <c r="BU9" s="648" t="s">
        <v>261</v>
      </c>
      <c r="BV9" s="648"/>
      <c r="BW9" s="648" t="s">
        <v>262</v>
      </c>
      <c r="BX9" s="648" t="s">
        <v>12</v>
      </c>
      <c r="BY9" s="648" t="s">
        <v>263</v>
      </c>
      <c r="BZ9" s="649"/>
    </row>
    <row r="10" spans="2:79" x14ac:dyDescent="0.25">
      <c r="B10" s="620"/>
      <c r="C10" s="621"/>
      <c r="D10" s="622"/>
      <c r="E10" s="622"/>
      <c r="F10" s="622"/>
      <c r="G10" s="622"/>
      <c r="H10" s="622"/>
      <c r="I10" s="622"/>
      <c r="J10" s="622"/>
      <c r="K10" s="622"/>
      <c r="L10" s="622"/>
      <c r="M10" s="623"/>
      <c r="O10" s="620"/>
      <c r="P10" s="628"/>
      <c r="Q10" s="629"/>
      <c r="R10" s="629"/>
      <c r="S10" s="629"/>
      <c r="T10" s="629"/>
      <c r="U10" s="629"/>
      <c r="V10" s="629"/>
      <c r="W10" s="629"/>
      <c r="X10" s="629"/>
      <c r="Y10" s="629"/>
      <c r="Z10" s="629"/>
      <c r="AB10" s="620"/>
      <c r="AC10" s="621"/>
      <c r="AD10" s="622"/>
      <c r="AE10" s="622"/>
      <c r="AF10" s="622"/>
      <c r="AG10" s="622"/>
      <c r="AH10" s="622"/>
      <c r="AI10" s="622"/>
      <c r="AJ10" s="622"/>
      <c r="AK10" s="622"/>
      <c r="AL10" s="622"/>
      <c r="AM10" s="623"/>
      <c r="AO10" s="620"/>
      <c r="AP10" s="621"/>
      <c r="AQ10" s="622"/>
      <c r="AR10" s="622"/>
      <c r="AS10" s="622"/>
      <c r="AT10" s="622"/>
      <c r="AU10" s="622"/>
      <c r="AV10" s="622"/>
      <c r="AW10" s="622"/>
      <c r="AX10" s="622"/>
      <c r="AY10" s="622"/>
      <c r="AZ10" s="623"/>
      <c r="BB10" s="620"/>
      <c r="BC10" s="628"/>
      <c r="BD10" s="629"/>
      <c r="BE10" s="629"/>
      <c r="BF10" s="629"/>
      <c r="BG10" s="629"/>
      <c r="BH10" s="629"/>
      <c r="BI10" s="629"/>
      <c r="BJ10" s="629"/>
      <c r="BK10" s="629"/>
      <c r="BL10" s="629"/>
      <c r="BM10" s="623"/>
      <c r="BN10" s="254"/>
      <c r="BO10" s="620"/>
      <c r="BP10" s="628"/>
      <c r="BQ10" s="629"/>
      <c r="BR10" s="629"/>
      <c r="BS10" s="629"/>
      <c r="BT10" s="629"/>
      <c r="BU10" s="629"/>
      <c r="BV10" s="629"/>
      <c r="BW10" s="629"/>
      <c r="BX10" s="629"/>
      <c r="BY10" s="629"/>
      <c r="BZ10" s="623"/>
    </row>
    <row r="11" spans="2:79" s="111" customFormat="1" ht="13" x14ac:dyDescent="0.3">
      <c r="B11" s="679">
        <v>10</v>
      </c>
      <c r="C11" s="680" t="s">
        <v>264</v>
      </c>
      <c r="D11" s="681">
        <v>0</v>
      </c>
      <c r="E11" s="681"/>
      <c r="F11" s="681"/>
      <c r="G11" s="681">
        <v>0</v>
      </c>
      <c r="H11" s="681">
        <v>0</v>
      </c>
      <c r="I11" s="681"/>
      <c r="J11" s="681">
        <v>0</v>
      </c>
      <c r="K11" s="681">
        <v>0</v>
      </c>
      <c r="L11" s="681">
        <v>0</v>
      </c>
      <c r="M11" s="682">
        <v>0</v>
      </c>
      <c r="N11" s="253"/>
      <c r="O11" s="662">
        <v>10</v>
      </c>
      <c r="P11" s="671" t="s">
        <v>264</v>
      </c>
      <c r="Q11" s="701">
        <v>0</v>
      </c>
      <c r="R11" s="701"/>
      <c r="S11" s="701"/>
      <c r="T11" s="701">
        <v>0</v>
      </c>
      <c r="U11" s="701">
        <v>0</v>
      </c>
      <c r="V11" s="701"/>
      <c r="W11" s="701">
        <v>0</v>
      </c>
      <c r="X11" s="701">
        <v>0</v>
      </c>
      <c r="Y11" s="701">
        <v>0</v>
      </c>
      <c r="Z11" s="701">
        <v>0</v>
      </c>
      <c r="AA11" s="253"/>
      <c r="AB11" s="662">
        <v>10</v>
      </c>
      <c r="AC11" s="663" t="s">
        <v>264</v>
      </c>
      <c r="AD11" s="707">
        <v>0</v>
      </c>
      <c r="AE11" s="707"/>
      <c r="AF11" s="707"/>
      <c r="AG11" s="707">
        <v>0</v>
      </c>
      <c r="AH11" s="707">
        <v>0</v>
      </c>
      <c r="AI11" s="707"/>
      <c r="AJ11" s="707">
        <v>0</v>
      </c>
      <c r="AK11" s="707">
        <v>0</v>
      </c>
      <c r="AL11" s="707">
        <v>0</v>
      </c>
      <c r="AM11" s="708">
        <v>0</v>
      </c>
      <c r="AN11" s="253"/>
      <c r="AO11" s="662">
        <v>10</v>
      </c>
      <c r="AP11" s="663" t="s">
        <v>264</v>
      </c>
      <c r="AQ11" s="707">
        <v>0</v>
      </c>
      <c r="AR11" s="707"/>
      <c r="AS11" s="707"/>
      <c r="AT11" s="707">
        <v>0</v>
      </c>
      <c r="AU11" s="707">
        <v>0</v>
      </c>
      <c r="AV11" s="707"/>
      <c r="AW11" s="707">
        <v>0</v>
      </c>
      <c r="AX11" s="707">
        <v>0</v>
      </c>
      <c r="AY11" s="707">
        <v>0</v>
      </c>
      <c r="AZ11" s="708">
        <v>0</v>
      </c>
      <c r="BB11" s="662">
        <v>10</v>
      </c>
      <c r="BC11" s="671" t="s">
        <v>264</v>
      </c>
      <c r="BD11" s="701">
        <v>0</v>
      </c>
      <c r="BE11" s="701"/>
      <c r="BF11" s="701"/>
      <c r="BG11" s="701">
        <v>0</v>
      </c>
      <c r="BH11" s="701">
        <v>0</v>
      </c>
      <c r="BI11" s="701"/>
      <c r="BJ11" s="701">
        <v>0</v>
      </c>
      <c r="BK11" s="701">
        <v>0</v>
      </c>
      <c r="BL11" s="701">
        <v>0</v>
      </c>
      <c r="BM11" s="708">
        <v>0</v>
      </c>
      <c r="BN11" s="254"/>
      <c r="BO11" s="662">
        <v>10</v>
      </c>
      <c r="BP11" s="671" t="s">
        <v>264</v>
      </c>
      <c r="BQ11" s="701">
        <v>0</v>
      </c>
      <c r="BR11" s="701"/>
      <c r="BS11" s="701"/>
      <c r="BT11" s="701">
        <v>0</v>
      </c>
      <c r="BU11" s="701">
        <v>0</v>
      </c>
      <c r="BV11" s="701"/>
      <c r="BW11" s="701">
        <v>0</v>
      </c>
      <c r="BX11" s="701">
        <v>0</v>
      </c>
      <c r="BY11" s="701">
        <v>0</v>
      </c>
      <c r="BZ11" s="708">
        <v>0</v>
      </c>
      <c r="CA11" s="120"/>
    </row>
    <row r="12" spans="2:79" x14ac:dyDescent="0.25">
      <c r="B12" s="679">
        <v>20</v>
      </c>
      <c r="C12" s="680" t="s">
        <v>265</v>
      </c>
      <c r="D12" s="681">
        <v>21836.61</v>
      </c>
      <c r="E12" s="681"/>
      <c r="F12" s="681"/>
      <c r="G12" s="681">
        <v>171481</v>
      </c>
      <c r="H12" s="681">
        <v>-149644.39000000001</v>
      </c>
      <c r="I12" s="681"/>
      <c r="J12" s="681">
        <v>14085.74</v>
      </c>
      <c r="K12" s="681">
        <v>-163524.9</v>
      </c>
      <c r="L12" s="681">
        <v>7750.87</v>
      </c>
      <c r="M12" s="682">
        <v>185361.51</v>
      </c>
      <c r="O12" s="679">
        <v>20</v>
      </c>
      <c r="P12" s="702" t="s">
        <v>265</v>
      </c>
      <c r="Q12" s="703">
        <v>948.97</v>
      </c>
      <c r="R12" s="703"/>
      <c r="S12" s="703"/>
      <c r="T12" s="703">
        <v>64063</v>
      </c>
      <c r="U12" s="703">
        <v>-63114.03</v>
      </c>
      <c r="V12" s="703"/>
      <c r="W12" s="703">
        <v>-27116.16</v>
      </c>
      <c r="X12" s="703">
        <v>-47312.84</v>
      </c>
      <c r="Y12" s="703">
        <v>28065.13</v>
      </c>
      <c r="Z12" s="703">
        <v>48261.81</v>
      </c>
      <c r="AB12" s="679">
        <v>20</v>
      </c>
      <c r="AC12" s="709" t="s">
        <v>265</v>
      </c>
      <c r="AD12" s="681">
        <v>-30138.13</v>
      </c>
      <c r="AE12" s="681"/>
      <c r="AF12" s="681"/>
      <c r="AG12" s="681">
        <v>-3461</v>
      </c>
      <c r="AH12" s="681">
        <v>-26677.13</v>
      </c>
      <c r="AI12" s="681"/>
      <c r="AJ12" s="681">
        <v>-138050.51999999999</v>
      </c>
      <c r="AK12" s="681">
        <v>27513.93</v>
      </c>
      <c r="AL12" s="681">
        <v>107912.39</v>
      </c>
      <c r="AM12" s="682">
        <v>-57652.06</v>
      </c>
      <c r="AO12" s="679">
        <v>20</v>
      </c>
      <c r="AP12" s="709" t="s">
        <v>265</v>
      </c>
      <c r="AQ12" s="681">
        <v>25232.240000000002</v>
      </c>
      <c r="AR12" s="681"/>
      <c r="AS12" s="681"/>
      <c r="AT12" s="681">
        <v>64063</v>
      </c>
      <c r="AU12" s="681">
        <v>-38830.76</v>
      </c>
      <c r="AV12" s="681"/>
      <c r="AW12" s="681">
        <v>20415.54</v>
      </c>
      <c r="AX12" s="681">
        <v>-133.86000000000001</v>
      </c>
      <c r="AY12" s="681">
        <v>4816.7</v>
      </c>
      <c r="AZ12" s="682">
        <v>25366.1</v>
      </c>
      <c r="BB12" s="679">
        <v>20</v>
      </c>
      <c r="BC12" s="702" t="s">
        <v>265</v>
      </c>
      <c r="BD12" s="703">
        <v>-40811.050000000003</v>
      </c>
      <c r="BE12" s="703"/>
      <c r="BF12" s="703"/>
      <c r="BG12" s="703">
        <v>64063</v>
      </c>
      <c r="BH12" s="703">
        <v>-104874.05</v>
      </c>
      <c r="BI12" s="703"/>
      <c r="BJ12" s="703">
        <v>-19722.93</v>
      </c>
      <c r="BK12" s="703">
        <v>-54728.46</v>
      </c>
      <c r="BL12" s="703">
        <v>-21088.12</v>
      </c>
      <c r="BM12" s="682">
        <v>13917.41</v>
      </c>
      <c r="BN12" s="254"/>
      <c r="BO12" s="679">
        <v>20</v>
      </c>
      <c r="BP12" s="702" t="s">
        <v>265</v>
      </c>
      <c r="BQ12" s="719">
        <v>56756.74</v>
      </c>
      <c r="BR12" s="703"/>
      <c r="BS12" s="703"/>
      <c r="BT12" s="703">
        <v>0</v>
      </c>
      <c r="BU12" s="703">
        <v>56756.74</v>
      </c>
      <c r="BV12" s="703"/>
      <c r="BW12" s="703">
        <v>29848.94</v>
      </c>
      <c r="BX12" s="703">
        <v>-16710.18</v>
      </c>
      <c r="BY12" s="719">
        <v>26907.8</v>
      </c>
      <c r="BZ12" s="720">
        <v>73466.92</v>
      </c>
    </row>
    <row r="13" spans="2:79" x14ac:dyDescent="0.25">
      <c r="B13" s="679">
        <v>30</v>
      </c>
      <c r="C13" s="680" t="s">
        <v>266</v>
      </c>
      <c r="D13" s="681">
        <v>0</v>
      </c>
      <c r="E13" s="681"/>
      <c r="F13" s="681"/>
      <c r="G13" s="681">
        <v>148127</v>
      </c>
      <c r="H13" s="681">
        <v>-148127</v>
      </c>
      <c r="I13" s="681"/>
      <c r="J13" s="681">
        <v>0</v>
      </c>
      <c r="K13" s="681">
        <v>0</v>
      </c>
      <c r="L13" s="681">
        <v>0</v>
      </c>
      <c r="M13" s="682">
        <v>0</v>
      </c>
      <c r="O13" s="679">
        <v>30</v>
      </c>
      <c r="P13" s="702" t="s">
        <v>266</v>
      </c>
      <c r="Q13" s="703">
        <v>0</v>
      </c>
      <c r="R13" s="703"/>
      <c r="S13" s="703"/>
      <c r="T13" s="703">
        <v>0</v>
      </c>
      <c r="U13" s="703">
        <v>0</v>
      </c>
      <c r="V13" s="703"/>
      <c r="W13" s="703">
        <v>0</v>
      </c>
      <c r="X13" s="703">
        <v>0</v>
      </c>
      <c r="Y13" s="703">
        <v>0</v>
      </c>
      <c r="Z13" s="703">
        <v>0</v>
      </c>
      <c r="AB13" s="679">
        <v>30</v>
      </c>
      <c r="AC13" s="709" t="s">
        <v>266</v>
      </c>
      <c r="AD13" s="681">
        <v>0</v>
      </c>
      <c r="AE13" s="681"/>
      <c r="AF13" s="681"/>
      <c r="AG13" s="681">
        <v>0</v>
      </c>
      <c r="AH13" s="681">
        <v>0</v>
      </c>
      <c r="AI13" s="681"/>
      <c r="AJ13" s="681">
        <v>0</v>
      </c>
      <c r="AK13" s="681">
        <v>0</v>
      </c>
      <c r="AL13" s="681">
        <v>0</v>
      </c>
      <c r="AM13" s="682">
        <v>0</v>
      </c>
      <c r="AO13" s="679">
        <v>30</v>
      </c>
      <c r="AP13" s="709" t="s">
        <v>266</v>
      </c>
      <c r="AQ13" s="681">
        <v>0</v>
      </c>
      <c r="AR13" s="681"/>
      <c r="AS13" s="681"/>
      <c r="AT13" s="681">
        <v>0</v>
      </c>
      <c r="AU13" s="681">
        <v>0</v>
      </c>
      <c r="AV13" s="681"/>
      <c r="AW13" s="681">
        <v>0</v>
      </c>
      <c r="AX13" s="681">
        <v>0</v>
      </c>
      <c r="AY13" s="681">
        <v>0</v>
      </c>
      <c r="AZ13" s="682">
        <v>0</v>
      </c>
      <c r="BB13" s="679">
        <v>30</v>
      </c>
      <c r="BC13" s="702" t="s">
        <v>266</v>
      </c>
      <c r="BD13" s="703">
        <v>0</v>
      </c>
      <c r="BE13" s="703"/>
      <c r="BF13" s="703"/>
      <c r="BG13" s="703">
        <v>0</v>
      </c>
      <c r="BH13" s="703">
        <v>0</v>
      </c>
      <c r="BI13" s="703"/>
      <c r="BJ13" s="703">
        <v>0</v>
      </c>
      <c r="BK13" s="703">
        <v>0</v>
      </c>
      <c r="BL13" s="703">
        <v>0</v>
      </c>
      <c r="BM13" s="682">
        <v>0</v>
      </c>
      <c r="BN13" s="254"/>
      <c r="BO13" s="679">
        <v>30</v>
      </c>
      <c r="BP13" s="702" t="s">
        <v>266</v>
      </c>
      <c r="BQ13" s="703">
        <v>0</v>
      </c>
      <c r="BR13" s="703"/>
      <c r="BS13" s="703"/>
      <c r="BT13" s="703">
        <v>0</v>
      </c>
      <c r="BU13" s="703">
        <v>0</v>
      </c>
      <c r="BV13" s="703"/>
      <c r="BW13" s="703">
        <v>0</v>
      </c>
      <c r="BX13" s="703">
        <v>0</v>
      </c>
      <c r="BY13" s="703">
        <v>0</v>
      </c>
      <c r="BZ13" s="682">
        <v>0</v>
      </c>
    </row>
    <row r="14" spans="2:79" x14ac:dyDescent="0.25">
      <c r="B14" s="679">
        <v>40</v>
      </c>
      <c r="C14" s="680" t="s">
        <v>267</v>
      </c>
      <c r="D14" s="681">
        <v>2685.42</v>
      </c>
      <c r="E14" s="681"/>
      <c r="F14" s="681"/>
      <c r="G14" s="681">
        <v>255663</v>
      </c>
      <c r="H14" s="681">
        <v>-252977.58</v>
      </c>
      <c r="I14" s="681"/>
      <c r="J14" s="681">
        <v>-463.77</v>
      </c>
      <c r="K14" s="681">
        <v>-159434.92000000001</v>
      </c>
      <c r="L14" s="681">
        <v>3149.19</v>
      </c>
      <c r="M14" s="682">
        <v>162120.34</v>
      </c>
      <c r="O14" s="679">
        <v>40</v>
      </c>
      <c r="P14" s="702" t="s">
        <v>267</v>
      </c>
      <c r="Q14" s="703">
        <v>21988.82</v>
      </c>
      <c r="R14" s="703"/>
      <c r="S14" s="703"/>
      <c r="T14" s="703">
        <v>21021</v>
      </c>
      <c r="U14" s="703">
        <v>967.82</v>
      </c>
      <c r="V14" s="703"/>
      <c r="W14" s="703">
        <v>8452.35</v>
      </c>
      <c r="X14" s="703">
        <v>580.48</v>
      </c>
      <c r="Y14" s="703">
        <v>13536.47</v>
      </c>
      <c r="Z14" s="703">
        <v>21408.34</v>
      </c>
      <c r="AB14" s="679">
        <v>40</v>
      </c>
      <c r="AC14" s="709" t="s">
        <v>267</v>
      </c>
      <c r="AD14" s="681">
        <v>77291.320000000007</v>
      </c>
      <c r="AE14" s="681"/>
      <c r="AF14" s="681"/>
      <c r="AG14" s="681">
        <v>41530</v>
      </c>
      <c r="AH14" s="681">
        <v>35761.32</v>
      </c>
      <c r="AI14" s="681"/>
      <c r="AJ14" s="681">
        <v>14017.69</v>
      </c>
      <c r="AK14" s="681">
        <v>40388.39</v>
      </c>
      <c r="AL14" s="681">
        <v>63273.63</v>
      </c>
      <c r="AM14" s="682">
        <v>36902.93</v>
      </c>
      <c r="AO14" s="679">
        <v>40</v>
      </c>
      <c r="AP14" s="709" t="s">
        <v>267</v>
      </c>
      <c r="AQ14" s="681">
        <v>130113.54</v>
      </c>
      <c r="AR14" s="681"/>
      <c r="AS14" s="681"/>
      <c r="AT14" s="681">
        <v>21021</v>
      </c>
      <c r="AU14" s="681">
        <v>109092.54</v>
      </c>
      <c r="AV14" s="681"/>
      <c r="AW14" s="681">
        <v>3761.55</v>
      </c>
      <c r="AX14" s="681">
        <v>28104.87</v>
      </c>
      <c r="AY14" s="681">
        <v>126351.99</v>
      </c>
      <c r="AZ14" s="682">
        <v>102008.67</v>
      </c>
      <c r="BB14" s="679">
        <v>40</v>
      </c>
      <c r="BC14" s="702" t="s">
        <v>267</v>
      </c>
      <c r="BD14" s="703">
        <v>198108.34</v>
      </c>
      <c r="BE14" s="703"/>
      <c r="BF14" s="703"/>
      <c r="BG14" s="703">
        <v>21021</v>
      </c>
      <c r="BH14" s="703">
        <v>177087.34</v>
      </c>
      <c r="BI14" s="703"/>
      <c r="BJ14" s="703">
        <v>21577.25</v>
      </c>
      <c r="BK14" s="703">
        <v>67100.41</v>
      </c>
      <c r="BL14" s="703">
        <v>176531.09</v>
      </c>
      <c r="BM14" s="682">
        <v>131007.93</v>
      </c>
      <c r="BN14" s="254"/>
      <c r="BO14" s="679">
        <v>40</v>
      </c>
      <c r="BP14" s="702" t="s">
        <v>267</v>
      </c>
      <c r="BQ14" s="703">
        <v>81906.84</v>
      </c>
      <c r="BR14" s="703"/>
      <c r="BS14" s="703"/>
      <c r="BT14" s="703">
        <v>0</v>
      </c>
      <c r="BU14" s="703">
        <v>81906.84</v>
      </c>
      <c r="BV14" s="703"/>
      <c r="BW14" s="703">
        <v>11850</v>
      </c>
      <c r="BX14" s="703">
        <v>19875.810000000001</v>
      </c>
      <c r="BY14" s="703">
        <v>70056.84</v>
      </c>
      <c r="BZ14" s="682">
        <v>62031.03</v>
      </c>
    </row>
    <row r="15" spans="2:79" x14ac:dyDescent="0.25">
      <c r="B15" s="679">
        <v>50</v>
      </c>
      <c r="C15" s="680" t="s">
        <v>268</v>
      </c>
      <c r="D15" s="681">
        <v>0</v>
      </c>
      <c r="E15" s="681"/>
      <c r="F15" s="681"/>
      <c r="G15" s="681">
        <v>0</v>
      </c>
      <c r="H15" s="681">
        <v>0</v>
      </c>
      <c r="I15" s="681"/>
      <c r="J15" s="681">
        <v>0</v>
      </c>
      <c r="K15" s="681">
        <v>0</v>
      </c>
      <c r="L15" s="681">
        <v>0</v>
      </c>
      <c r="M15" s="682">
        <v>0</v>
      </c>
      <c r="O15" s="679">
        <v>50</v>
      </c>
      <c r="P15" s="702" t="s">
        <v>268</v>
      </c>
      <c r="Q15" s="703">
        <v>0</v>
      </c>
      <c r="R15" s="703"/>
      <c r="S15" s="703"/>
      <c r="T15" s="703">
        <v>0</v>
      </c>
      <c r="U15" s="703">
        <v>0</v>
      </c>
      <c r="V15" s="703"/>
      <c r="W15" s="703">
        <v>0</v>
      </c>
      <c r="X15" s="703">
        <v>0</v>
      </c>
      <c r="Y15" s="703">
        <v>0</v>
      </c>
      <c r="Z15" s="703">
        <v>0</v>
      </c>
      <c r="AB15" s="679">
        <v>50</v>
      </c>
      <c r="AC15" s="709" t="s">
        <v>268</v>
      </c>
      <c r="AD15" s="681">
        <v>0</v>
      </c>
      <c r="AE15" s="681"/>
      <c r="AF15" s="681"/>
      <c r="AG15" s="681">
        <v>0</v>
      </c>
      <c r="AH15" s="681">
        <v>0</v>
      </c>
      <c r="AI15" s="681"/>
      <c r="AJ15" s="681">
        <v>0</v>
      </c>
      <c r="AK15" s="681">
        <v>0</v>
      </c>
      <c r="AL15" s="681">
        <v>0</v>
      </c>
      <c r="AM15" s="682">
        <v>0</v>
      </c>
      <c r="AO15" s="679">
        <v>50</v>
      </c>
      <c r="AP15" s="709" t="s">
        <v>268</v>
      </c>
      <c r="AQ15" s="681">
        <v>0</v>
      </c>
      <c r="AR15" s="681"/>
      <c r="AS15" s="681"/>
      <c r="AT15" s="681">
        <v>0</v>
      </c>
      <c r="AU15" s="681">
        <v>0</v>
      </c>
      <c r="AV15" s="681"/>
      <c r="AW15" s="681">
        <v>0</v>
      </c>
      <c r="AX15" s="681">
        <v>0</v>
      </c>
      <c r="AY15" s="681">
        <v>0</v>
      </c>
      <c r="AZ15" s="682">
        <v>0</v>
      </c>
      <c r="BB15" s="679">
        <v>50</v>
      </c>
      <c r="BC15" s="702" t="s">
        <v>268</v>
      </c>
      <c r="BD15" s="703">
        <v>0</v>
      </c>
      <c r="BE15" s="703"/>
      <c r="BF15" s="703"/>
      <c r="BG15" s="703">
        <v>0</v>
      </c>
      <c r="BH15" s="703">
        <v>0</v>
      </c>
      <c r="BI15" s="703"/>
      <c r="BJ15" s="703">
        <v>0</v>
      </c>
      <c r="BK15" s="703">
        <v>0</v>
      </c>
      <c r="BL15" s="703">
        <v>0</v>
      </c>
      <c r="BM15" s="682">
        <v>0</v>
      </c>
      <c r="BN15" s="254"/>
      <c r="BO15" s="679">
        <v>50</v>
      </c>
      <c r="BP15" s="702" t="s">
        <v>268</v>
      </c>
      <c r="BQ15" s="703">
        <v>2453484.7200000002</v>
      </c>
      <c r="BR15" s="703"/>
      <c r="BS15" s="703"/>
      <c r="BT15" s="703">
        <v>0</v>
      </c>
      <c r="BU15" s="703">
        <v>2453484.7200000002</v>
      </c>
      <c r="BV15" s="703"/>
      <c r="BW15" s="703">
        <v>-204000</v>
      </c>
      <c r="BX15" s="703">
        <v>36000</v>
      </c>
      <c r="BY15" s="703">
        <v>2657484.7200000002</v>
      </c>
      <c r="BZ15" s="682">
        <v>2417484.7200000002</v>
      </c>
    </row>
    <row r="16" spans="2:79" x14ac:dyDescent="0.25">
      <c r="B16" s="679">
        <v>60</v>
      </c>
      <c r="C16" s="680" t="s">
        <v>131</v>
      </c>
      <c r="D16" s="681">
        <v>0</v>
      </c>
      <c r="E16" s="681"/>
      <c r="F16" s="681"/>
      <c r="G16" s="681">
        <v>141425</v>
      </c>
      <c r="H16" s="681">
        <v>-141425</v>
      </c>
      <c r="I16" s="681"/>
      <c r="J16" s="681">
        <v>0</v>
      </c>
      <c r="K16" s="681">
        <v>-189787.44</v>
      </c>
      <c r="L16" s="681">
        <v>0</v>
      </c>
      <c r="M16" s="682">
        <v>189787.44</v>
      </c>
      <c r="O16" s="679">
        <v>60</v>
      </c>
      <c r="P16" s="702" t="s">
        <v>131</v>
      </c>
      <c r="Q16" s="703">
        <v>26983.06</v>
      </c>
      <c r="R16" s="703"/>
      <c r="S16" s="703"/>
      <c r="T16" s="703">
        <v>24909</v>
      </c>
      <c r="U16" s="703">
        <v>2074.06</v>
      </c>
      <c r="V16" s="703"/>
      <c r="W16" s="703">
        <v>-5529.27</v>
      </c>
      <c r="X16" s="703">
        <v>-4245.9399999999996</v>
      </c>
      <c r="Y16" s="703">
        <v>32512.33</v>
      </c>
      <c r="Z16" s="703">
        <v>31229</v>
      </c>
      <c r="AB16" s="679">
        <v>60</v>
      </c>
      <c r="AC16" s="709" t="s">
        <v>131</v>
      </c>
      <c r="AD16" s="681">
        <v>50677.35</v>
      </c>
      <c r="AE16" s="681"/>
      <c r="AF16" s="681"/>
      <c r="AG16" s="681">
        <v>61256</v>
      </c>
      <c r="AH16" s="681">
        <v>-10578.65</v>
      </c>
      <c r="AI16" s="681"/>
      <c r="AJ16" s="681">
        <v>-9605.33</v>
      </c>
      <c r="AK16" s="681">
        <v>4468.82</v>
      </c>
      <c r="AL16" s="681">
        <v>60282.68</v>
      </c>
      <c r="AM16" s="682">
        <v>46208.53</v>
      </c>
      <c r="AO16" s="679">
        <v>60</v>
      </c>
      <c r="AP16" s="709" t="s">
        <v>131</v>
      </c>
      <c r="AQ16" s="681">
        <v>23405.25</v>
      </c>
      <c r="AR16" s="681"/>
      <c r="AS16" s="681"/>
      <c r="AT16" s="681">
        <v>24909</v>
      </c>
      <c r="AU16" s="681">
        <v>-1503.75</v>
      </c>
      <c r="AV16" s="681"/>
      <c r="AW16" s="681">
        <v>-7622.45</v>
      </c>
      <c r="AX16" s="681">
        <v>-2240.4299999999998</v>
      </c>
      <c r="AY16" s="681">
        <v>31027.7</v>
      </c>
      <c r="AZ16" s="682">
        <v>25645.68</v>
      </c>
      <c r="BB16" s="679">
        <v>60</v>
      </c>
      <c r="BC16" s="702" t="s">
        <v>131</v>
      </c>
      <c r="BD16" s="703">
        <v>23604.81</v>
      </c>
      <c r="BE16" s="703"/>
      <c r="BF16" s="703"/>
      <c r="BG16" s="703">
        <v>24909</v>
      </c>
      <c r="BH16" s="703">
        <v>-1304.19</v>
      </c>
      <c r="BI16" s="703"/>
      <c r="BJ16" s="703">
        <v>-9087.69</v>
      </c>
      <c r="BK16" s="703">
        <v>7819.66</v>
      </c>
      <c r="BL16" s="703">
        <v>32692.5</v>
      </c>
      <c r="BM16" s="682">
        <v>15785.15</v>
      </c>
      <c r="BN16" s="254"/>
      <c r="BO16" s="679">
        <v>60</v>
      </c>
      <c r="BP16" s="702" t="s">
        <v>131</v>
      </c>
      <c r="BQ16" s="703">
        <v>0</v>
      </c>
      <c r="BR16" s="703"/>
      <c r="BS16" s="703"/>
      <c r="BT16" s="703">
        <v>0</v>
      </c>
      <c r="BU16" s="703">
        <v>0</v>
      </c>
      <c r="BV16" s="703"/>
      <c r="BW16" s="703">
        <v>0</v>
      </c>
      <c r="BX16" s="703">
        <v>0</v>
      </c>
      <c r="BY16" s="703">
        <v>0</v>
      </c>
      <c r="BZ16" s="682">
        <v>0</v>
      </c>
    </row>
    <row r="17" spans="2:79" x14ac:dyDescent="0.25">
      <c r="B17" s="679">
        <v>70</v>
      </c>
      <c r="C17" s="680" t="s">
        <v>269</v>
      </c>
      <c r="D17" s="681">
        <v>840001.41</v>
      </c>
      <c r="E17" s="681"/>
      <c r="F17" s="681"/>
      <c r="G17" s="681">
        <v>0</v>
      </c>
      <c r="H17" s="681">
        <v>840001.41</v>
      </c>
      <c r="I17" s="681"/>
      <c r="J17" s="681">
        <v>0</v>
      </c>
      <c r="K17" s="681">
        <v>763887.4</v>
      </c>
      <c r="L17" s="681">
        <v>840001.41</v>
      </c>
      <c r="M17" s="682">
        <v>76114.009999999995</v>
      </c>
      <c r="O17" s="679">
        <v>70</v>
      </c>
      <c r="P17" s="702" t="s">
        <v>269</v>
      </c>
      <c r="Q17" s="703">
        <v>20754.439999999999</v>
      </c>
      <c r="R17" s="703"/>
      <c r="S17" s="702"/>
      <c r="T17" s="703">
        <v>0</v>
      </c>
      <c r="U17" s="703">
        <v>20754.439999999999</v>
      </c>
      <c r="V17" s="703"/>
      <c r="W17" s="703">
        <v>1405.32</v>
      </c>
      <c r="X17" s="703">
        <v>16075.82</v>
      </c>
      <c r="Y17" s="703">
        <v>19349.12</v>
      </c>
      <c r="Z17" s="703">
        <v>4678.62</v>
      </c>
      <c r="AB17" s="679">
        <v>70</v>
      </c>
      <c r="AC17" s="709" t="s">
        <v>269</v>
      </c>
      <c r="AD17" s="681">
        <v>9630.26</v>
      </c>
      <c r="AE17" s="681"/>
      <c r="AF17" s="709"/>
      <c r="AG17" s="681">
        <v>0</v>
      </c>
      <c r="AH17" s="681">
        <v>9630.26</v>
      </c>
      <c r="AI17" s="681"/>
      <c r="AJ17" s="681">
        <v>982.64</v>
      </c>
      <c r="AK17" s="681">
        <v>5818.24</v>
      </c>
      <c r="AL17" s="681">
        <v>8647.6200000000008</v>
      </c>
      <c r="AM17" s="682">
        <v>3812.02</v>
      </c>
      <c r="AO17" s="679">
        <v>70</v>
      </c>
      <c r="AP17" s="709" t="s">
        <v>269</v>
      </c>
      <c r="AQ17" s="681">
        <v>34278.01</v>
      </c>
      <c r="AR17" s="681"/>
      <c r="AS17" s="709"/>
      <c r="AT17" s="681">
        <v>0</v>
      </c>
      <c r="AU17" s="681">
        <v>34278.01</v>
      </c>
      <c r="AV17" s="681"/>
      <c r="AW17" s="681">
        <v>1702.59</v>
      </c>
      <c r="AX17" s="681">
        <v>12401.63</v>
      </c>
      <c r="AY17" s="681">
        <v>32575.42</v>
      </c>
      <c r="AZ17" s="682">
        <v>21876.38</v>
      </c>
      <c r="BB17" s="679">
        <v>70</v>
      </c>
      <c r="BC17" s="702" t="s">
        <v>269</v>
      </c>
      <c r="BD17" s="703">
        <v>30101.919999999998</v>
      </c>
      <c r="BE17" s="703"/>
      <c r="BF17" s="702"/>
      <c r="BG17" s="703">
        <v>0</v>
      </c>
      <c r="BH17" s="703">
        <v>30101.919999999998</v>
      </c>
      <c r="BI17" s="703"/>
      <c r="BJ17" s="703">
        <v>957.61</v>
      </c>
      <c r="BK17" s="703">
        <v>-8166.32</v>
      </c>
      <c r="BL17" s="703">
        <v>29144.31</v>
      </c>
      <c r="BM17" s="682">
        <v>38268.239999999998</v>
      </c>
      <c r="BN17" s="254"/>
      <c r="BO17" s="679">
        <v>70</v>
      </c>
      <c r="BP17" s="702" t="s">
        <v>269</v>
      </c>
      <c r="BQ17" s="703">
        <v>79431</v>
      </c>
      <c r="BR17" s="703"/>
      <c r="BS17" s="702"/>
      <c r="BT17" s="703">
        <v>0</v>
      </c>
      <c r="BU17" s="703">
        <v>79431</v>
      </c>
      <c r="BV17" s="703"/>
      <c r="BW17" s="703">
        <v>-6152</v>
      </c>
      <c r="BX17" s="703">
        <v>0</v>
      </c>
      <c r="BY17" s="703">
        <v>85583</v>
      </c>
      <c r="BZ17" s="682">
        <v>79431</v>
      </c>
    </row>
    <row r="18" spans="2:79" x14ac:dyDescent="0.25">
      <c r="B18" s="679">
        <v>80</v>
      </c>
      <c r="C18" s="680" t="s">
        <v>270</v>
      </c>
      <c r="D18" s="681">
        <v>0</v>
      </c>
      <c r="E18" s="681"/>
      <c r="F18" s="681"/>
      <c r="G18" s="681">
        <v>801285</v>
      </c>
      <c r="H18" s="681">
        <v>-801285</v>
      </c>
      <c r="I18" s="681"/>
      <c r="J18" s="681">
        <v>0</v>
      </c>
      <c r="K18" s="681">
        <v>-2787.49</v>
      </c>
      <c r="L18" s="681">
        <v>0</v>
      </c>
      <c r="M18" s="682">
        <v>2787.49</v>
      </c>
      <c r="O18" s="679">
        <v>80</v>
      </c>
      <c r="P18" s="704" t="s">
        <v>270</v>
      </c>
      <c r="Q18" s="703">
        <v>1029.95</v>
      </c>
      <c r="R18" s="703"/>
      <c r="S18" s="702"/>
      <c r="T18" s="703">
        <v>10010</v>
      </c>
      <c r="U18" s="703">
        <v>-8980.0499999999993</v>
      </c>
      <c r="V18" s="703"/>
      <c r="W18" s="703">
        <v>1029.95</v>
      </c>
      <c r="X18" s="703">
        <v>1029.95</v>
      </c>
      <c r="Y18" s="703">
        <v>0</v>
      </c>
      <c r="Z18" s="703">
        <v>0</v>
      </c>
      <c r="AB18" s="679">
        <v>80</v>
      </c>
      <c r="AC18" s="680" t="s">
        <v>270</v>
      </c>
      <c r="AD18" s="681">
        <v>544.26</v>
      </c>
      <c r="AE18" s="681"/>
      <c r="AF18" s="709"/>
      <c r="AG18" s="681">
        <v>4614</v>
      </c>
      <c r="AH18" s="681">
        <v>-4069.74</v>
      </c>
      <c r="AI18" s="681"/>
      <c r="AJ18" s="681">
        <v>0</v>
      </c>
      <c r="AK18" s="681">
        <v>544.26</v>
      </c>
      <c r="AL18" s="681">
        <v>544.26</v>
      </c>
      <c r="AM18" s="682">
        <v>0</v>
      </c>
      <c r="AO18" s="679">
        <v>80</v>
      </c>
      <c r="AP18" s="680" t="s">
        <v>270</v>
      </c>
      <c r="AQ18" s="681">
        <v>4695.0600000000004</v>
      </c>
      <c r="AR18" s="681"/>
      <c r="AS18" s="709"/>
      <c r="AT18" s="681">
        <v>10010</v>
      </c>
      <c r="AU18" s="681">
        <v>-5314.94</v>
      </c>
      <c r="AV18" s="681"/>
      <c r="AW18" s="681">
        <v>4695.0600000000004</v>
      </c>
      <c r="AX18" s="681">
        <v>4695.0600000000004</v>
      </c>
      <c r="AY18" s="681">
        <v>0</v>
      </c>
      <c r="AZ18" s="682">
        <v>0</v>
      </c>
      <c r="BB18" s="679">
        <v>80</v>
      </c>
      <c r="BC18" s="704" t="s">
        <v>270</v>
      </c>
      <c r="BD18" s="703">
        <v>9906.15</v>
      </c>
      <c r="BE18" s="703"/>
      <c r="BF18" s="702"/>
      <c r="BG18" s="703">
        <v>10010</v>
      </c>
      <c r="BH18" s="703">
        <v>-103.85</v>
      </c>
      <c r="BI18" s="703"/>
      <c r="BJ18" s="703">
        <v>4906.1499999999996</v>
      </c>
      <c r="BK18" s="703">
        <v>9906.15</v>
      </c>
      <c r="BL18" s="703">
        <v>5000</v>
      </c>
      <c r="BM18" s="682">
        <v>0</v>
      </c>
      <c r="BN18" s="254"/>
      <c r="BO18" s="679">
        <v>80</v>
      </c>
      <c r="BP18" s="704" t="s">
        <v>270</v>
      </c>
      <c r="BQ18" s="703">
        <v>0</v>
      </c>
      <c r="BR18" s="703"/>
      <c r="BS18" s="702"/>
      <c r="BT18" s="703">
        <v>0</v>
      </c>
      <c r="BU18" s="703">
        <v>0</v>
      </c>
      <c r="BV18" s="703"/>
      <c r="BW18" s="703">
        <v>0</v>
      </c>
      <c r="BX18" s="703">
        <v>0</v>
      </c>
      <c r="BY18" s="703">
        <v>0</v>
      </c>
      <c r="BZ18" s="682">
        <v>0</v>
      </c>
    </row>
    <row r="19" spans="2:79" s="111" customFormat="1" ht="13" x14ac:dyDescent="0.3">
      <c r="B19" s="679">
        <v>100</v>
      </c>
      <c r="C19" s="680" t="s">
        <v>271</v>
      </c>
      <c r="D19" s="681">
        <v>864523.44</v>
      </c>
      <c r="E19" s="681"/>
      <c r="F19" s="681"/>
      <c r="G19" s="681">
        <v>1517981</v>
      </c>
      <c r="H19" s="681">
        <v>-653457.56000000006</v>
      </c>
      <c r="I19" s="681"/>
      <c r="J19" s="681">
        <v>13621.97</v>
      </c>
      <c r="K19" s="681">
        <v>248352.65</v>
      </c>
      <c r="L19" s="681">
        <v>850901.47</v>
      </c>
      <c r="M19" s="682">
        <v>616170.79</v>
      </c>
      <c r="N19" s="253"/>
      <c r="O19" s="662">
        <v>100</v>
      </c>
      <c r="P19" s="705" t="s">
        <v>271</v>
      </c>
      <c r="Q19" s="701">
        <v>71705.240000000005</v>
      </c>
      <c r="R19" s="701"/>
      <c r="S19" s="701"/>
      <c r="T19" s="701">
        <v>120003</v>
      </c>
      <c r="U19" s="701">
        <v>-48297.760000000002</v>
      </c>
      <c r="V19" s="701"/>
      <c r="W19" s="701">
        <v>-21757.81</v>
      </c>
      <c r="X19" s="701">
        <v>-33872.53</v>
      </c>
      <c r="Y19" s="701">
        <v>93463.05</v>
      </c>
      <c r="Z19" s="701">
        <v>105577.77</v>
      </c>
      <c r="AA19" s="253"/>
      <c r="AB19" s="662">
        <v>100</v>
      </c>
      <c r="AC19" s="710" t="s">
        <v>271</v>
      </c>
      <c r="AD19" s="707">
        <v>108005.06</v>
      </c>
      <c r="AE19" s="707"/>
      <c r="AF19" s="707"/>
      <c r="AG19" s="707">
        <v>103939</v>
      </c>
      <c r="AH19" s="707">
        <v>4066.06</v>
      </c>
      <c r="AI19" s="707"/>
      <c r="AJ19" s="707">
        <v>-132655.51999999999</v>
      </c>
      <c r="AK19" s="707">
        <v>78733.64</v>
      </c>
      <c r="AL19" s="707">
        <v>240660.58</v>
      </c>
      <c r="AM19" s="708">
        <v>29271.42</v>
      </c>
      <c r="AN19" s="253"/>
      <c r="AO19" s="662">
        <v>100</v>
      </c>
      <c r="AP19" s="710" t="s">
        <v>271</v>
      </c>
      <c r="AQ19" s="707">
        <v>217724.1</v>
      </c>
      <c r="AR19" s="707"/>
      <c r="AS19" s="707"/>
      <c r="AT19" s="707">
        <v>120003</v>
      </c>
      <c r="AU19" s="707">
        <v>97721.1</v>
      </c>
      <c r="AV19" s="707"/>
      <c r="AW19" s="707">
        <v>22952.29</v>
      </c>
      <c r="AX19" s="707">
        <v>42827.27</v>
      </c>
      <c r="AY19" s="707">
        <v>194771.81</v>
      </c>
      <c r="AZ19" s="708">
        <v>174896.83</v>
      </c>
      <c r="BB19" s="662">
        <v>100</v>
      </c>
      <c r="BC19" s="705" t="s">
        <v>271</v>
      </c>
      <c r="BD19" s="701">
        <v>220910.17</v>
      </c>
      <c r="BE19" s="701"/>
      <c r="BF19" s="701"/>
      <c r="BG19" s="701">
        <v>120003</v>
      </c>
      <c r="BH19" s="701">
        <v>100907.17</v>
      </c>
      <c r="BI19" s="701"/>
      <c r="BJ19" s="701">
        <v>-1369.61</v>
      </c>
      <c r="BK19" s="701">
        <v>21931.439999999999</v>
      </c>
      <c r="BL19" s="701">
        <v>222279.78</v>
      </c>
      <c r="BM19" s="708">
        <v>198978.73</v>
      </c>
      <c r="BN19" s="254"/>
      <c r="BO19" s="662">
        <v>100</v>
      </c>
      <c r="BP19" s="705" t="s">
        <v>271</v>
      </c>
      <c r="BQ19" s="701">
        <v>2671579.2999999998</v>
      </c>
      <c r="BR19" s="701"/>
      <c r="BS19" s="701"/>
      <c r="BT19" s="701">
        <v>0</v>
      </c>
      <c r="BU19" s="701">
        <v>2671579.2999999998</v>
      </c>
      <c r="BV19" s="701"/>
      <c r="BW19" s="701">
        <v>-168453.06</v>
      </c>
      <c r="BX19" s="701">
        <v>39165.629999999997</v>
      </c>
      <c r="BY19" s="701">
        <v>2840032.36</v>
      </c>
      <c r="BZ19" s="708">
        <v>2632413.67</v>
      </c>
      <c r="CA19" s="120"/>
    </row>
    <row r="20" spans="2:79" x14ac:dyDescent="0.25">
      <c r="B20" s="679">
        <v>110</v>
      </c>
      <c r="C20" s="680" t="s">
        <v>272</v>
      </c>
      <c r="D20" s="681">
        <v>0</v>
      </c>
      <c r="E20" s="681"/>
      <c r="F20" s="681"/>
      <c r="G20" s="681">
        <v>0</v>
      </c>
      <c r="H20" s="681">
        <v>0</v>
      </c>
      <c r="I20" s="681"/>
      <c r="J20" s="681">
        <v>0</v>
      </c>
      <c r="K20" s="681">
        <v>0</v>
      </c>
      <c r="L20" s="681">
        <v>0</v>
      </c>
      <c r="M20" s="682">
        <v>0</v>
      </c>
      <c r="O20" s="679">
        <v>110</v>
      </c>
      <c r="P20" s="704" t="s">
        <v>272</v>
      </c>
      <c r="Q20" s="703">
        <v>0</v>
      </c>
      <c r="R20" s="703"/>
      <c r="S20" s="703"/>
      <c r="T20" s="703">
        <v>0</v>
      </c>
      <c r="U20" s="703">
        <v>0</v>
      </c>
      <c r="V20" s="703"/>
      <c r="W20" s="703">
        <v>0</v>
      </c>
      <c r="X20" s="703">
        <v>0</v>
      </c>
      <c r="Y20" s="703">
        <v>0</v>
      </c>
      <c r="Z20" s="703">
        <v>0</v>
      </c>
      <c r="AB20" s="679">
        <v>110</v>
      </c>
      <c r="AC20" s="680" t="s">
        <v>272</v>
      </c>
      <c r="AD20" s="681">
        <v>0</v>
      </c>
      <c r="AE20" s="681"/>
      <c r="AF20" s="681"/>
      <c r="AG20" s="681">
        <v>0</v>
      </c>
      <c r="AH20" s="681">
        <v>0</v>
      </c>
      <c r="AI20" s="681"/>
      <c r="AJ20" s="681">
        <v>0</v>
      </c>
      <c r="AK20" s="681">
        <v>0</v>
      </c>
      <c r="AL20" s="681">
        <v>0</v>
      </c>
      <c r="AM20" s="682">
        <v>0</v>
      </c>
      <c r="AO20" s="679">
        <v>110</v>
      </c>
      <c r="AP20" s="680" t="s">
        <v>272</v>
      </c>
      <c r="AQ20" s="681">
        <v>0</v>
      </c>
      <c r="AR20" s="681"/>
      <c r="AS20" s="681"/>
      <c r="AT20" s="681">
        <v>0</v>
      </c>
      <c r="AU20" s="681">
        <v>0</v>
      </c>
      <c r="AV20" s="681"/>
      <c r="AW20" s="681">
        <v>0</v>
      </c>
      <c r="AX20" s="681">
        <v>0</v>
      </c>
      <c r="AY20" s="681">
        <v>0</v>
      </c>
      <c r="AZ20" s="682">
        <v>0</v>
      </c>
      <c r="BB20" s="679">
        <v>110</v>
      </c>
      <c r="BC20" s="704" t="s">
        <v>272</v>
      </c>
      <c r="BD20" s="703">
        <v>0</v>
      </c>
      <c r="BE20" s="703"/>
      <c r="BF20" s="703"/>
      <c r="BG20" s="703">
        <v>0</v>
      </c>
      <c r="BH20" s="703">
        <v>0</v>
      </c>
      <c r="BI20" s="703"/>
      <c r="BJ20" s="703">
        <v>0</v>
      </c>
      <c r="BK20" s="703">
        <v>0</v>
      </c>
      <c r="BL20" s="703">
        <v>0</v>
      </c>
      <c r="BM20" s="682">
        <v>0</v>
      </c>
      <c r="BN20" s="254"/>
      <c r="BO20" s="679">
        <v>110</v>
      </c>
      <c r="BP20" s="704" t="s">
        <v>272</v>
      </c>
      <c r="BQ20" s="703">
        <v>0</v>
      </c>
      <c r="BR20" s="703"/>
      <c r="BS20" s="703"/>
      <c r="BT20" s="703">
        <v>0</v>
      </c>
      <c r="BU20" s="703">
        <v>0</v>
      </c>
      <c r="BV20" s="703"/>
      <c r="BW20" s="703">
        <v>0</v>
      </c>
      <c r="BX20" s="703">
        <v>0</v>
      </c>
      <c r="BY20" s="703">
        <v>0</v>
      </c>
      <c r="BZ20" s="682">
        <v>0</v>
      </c>
    </row>
    <row r="21" spans="2:79" x14ac:dyDescent="0.25">
      <c r="B21" s="679">
        <v>120</v>
      </c>
      <c r="C21" s="680" t="s">
        <v>273</v>
      </c>
      <c r="D21" s="681">
        <v>352500.34</v>
      </c>
      <c r="E21" s="681"/>
      <c r="F21" s="681"/>
      <c r="G21" s="681">
        <v>352500</v>
      </c>
      <c r="H21" s="681">
        <v>0.34</v>
      </c>
      <c r="I21" s="681"/>
      <c r="J21" s="681">
        <v>0</v>
      </c>
      <c r="K21" s="681">
        <v>0</v>
      </c>
      <c r="L21" s="681">
        <v>352500.34</v>
      </c>
      <c r="M21" s="682">
        <v>352500.34</v>
      </c>
      <c r="O21" s="679">
        <v>120</v>
      </c>
      <c r="P21" s="702" t="s">
        <v>273</v>
      </c>
      <c r="Q21" s="703">
        <v>0</v>
      </c>
      <c r="R21" s="703"/>
      <c r="S21" s="703"/>
      <c r="T21" s="703">
        <v>0</v>
      </c>
      <c r="U21" s="703">
        <v>0</v>
      </c>
      <c r="V21" s="703"/>
      <c r="W21" s="703">
        <v>0</v>
      </c>
      <c r="X21" s="703">
        <v>0</v>
      </c>
      <c r="Y21" s="703">
        <v>0</v>
      </c>
      <c r="Z21" s="703">
        <v>0</v>
      </c>
      <c r="AB21" s="679">
        <v>120</v>
      </c>
      <c r="AC21" s="709" t="s">
        <v>273</v>
      </c>
      <c r="AD21" s="681">
        <v>0</v>
      </c>
      <c r="AE21" s="681"/>
      <c r="AF21" s="681"/>
      <c r="AG21" s="681">
        <v>0</v>
      </c>
      <c r="AH21" s="681">
        <v>0</v>
      </c>
      <c r="AI21" s="681"/>
      <c r="AJ21" s="681">
        <v>0</v>
      </c>
      <c r="AK21" s="681">
        <v>0</v>
      </c>
      <c r="AL21" s="681">
        <v>0</v>
      </c>
      <c r="AM21" s="682">
        <v>0</v>
      </c>
      <c r="AO21" s="679">
        <v>120</v>
      </c>
      <c r="AP21" s="709" t="s">
        <v>273</v>
      </c>
      <c r="AQ21" s="681">
        <v>0</v>
      </c>
      <c r="AR21" s="681"/>
      <c r="AS21" s="681"/>
      <c r="AT21" s="681">
        <v>0</v>
      </c>
      <c r="AU21" s="681">
        <v>0</v>
      </c>
      <c r="AV21" s="681"/>
      <c r="AW21" s="681">
        <v>0</v>
      </c>
      <c r="AX21" s="681">
        <v>0</v>
      </c>
      <c r="AY21" s="681">
        <v>0</v>
      </c>
      <c r="AZ21" s="682">
        <v>0</v>
      </c>
      <c r="BB21" s="679">
        <v>120</v>
      </c>
      <c r="BC21" s="702" t="s">
        <v>273</v>
      </c>
      <c r="BD21" s="703">
        <v>0</v>
      </c>
      <c r="BE21" s="703"/>
      <c r="BF21" s="703"/>
      <c r="BG21" s="703">
        <v>0</v>
      </c>
      <c r="BH21" s="703">
        <v>0</v>
      </c>
      <c r="BI21" s="703"/>
      <c r="BJ21" s="703">
        <v>0</v>
      </c>
      <c r="BK21" s="703">
        <v>0</v>
      </c>
      <c r="BL21" s="703">
        <v>0</v>
      </c>
      <c r="BM21" s="682">
        <v>0</v>
      </c>
      <c r="BN21" s="254"/>
      <c r="BO21" s="679">
        <v>120</v>
      </c>
      <c r="BP21" s="702" t="s">
        <v>273</v>
      </c>
      <c r="BQ21" s="703">
        <v>6517910.3099999996</v>
      </c>
      <c r="BR21" s="703"/>
      <c r="BS21" s="703"/>
      <c r="BT21" s="703">
        <v>0</v>
      </c>
      <c r="BU21" s="703">
        <v>6517910.3099999996</v>
      </c>
      <c r="BV21" s="703"/>
      <c r="BW21" s="703">
        <v>0</v>
      </c>
      <c r="BX21" s="703">
        <v>0</v>
      </c>
      <c r="BY21" s="703">
        <v>6517910.3099999996</v>
      </c>
      <c r="BZ21" s="682">
        <v>6517910.3099999996</v>
      </c>
    </row>
    <row r="22" spans="2:79" x14ac:dyDescent="0.25">
      <c r="B22" s="679">
        <v>130</v>
      </c>
      <c r="C22" s="680" t="s">
        <v>274</v>
      </c>
      <c r="D22" s="681">
        <v>4537138.8099999996</v>
      </c>
      <c r="E22" s="681"/>
      <c r="F22" s="681"/>
      <c r="G22" s="681">
        <v>4778520</v>
      </c>
      <c r="H22" s="681">
        <v>-241381.19</v>
      </c>
      <c r="I22" s="681"/>
      <c r="J22" s="681">
        <v>0</v>
      </c>
      <c r="K22" s="681">
        <v>0</v>
      </c>
      <c r="L22" s="681">
        <v>4537138.8099999996</v>
      </c>
      <c r="M22" s="682">
        <v>4537138.8099999996</v>
      </c>
      <c r="O22" s="679">
        <v>130</v>
      </c>
      <c r="P22" s="702" t="s">
        <v>274</v>
      </c>
      <c r="Q22" s="703">
        <v>10663.87</v>
      </c>
      <c r="R22" s="703"/>
      <c r="S22" s="703"/>
      <c r="T22" s="703">
        <v>10660</v>
      </c>
      <c r="U22" s="703">
        <v>3.87</v>
      </c>
      <c r="V22" s="703"/>
      <c r="W22" s="703">
        <v>0</v>
      </c>
      <c r="X22" s="703">
        <v>0</v>
      </c>
      <c r="Y22" s="703">
        <v>10663.87</v>
      </c>
      <c r="Z22" s="703">
        <v>10663.87</v>
      </c>
      <c r="AB22" s="679">
        <v>130</v>
      </c>
      <c r="AC22" s="709" t="s">
        <v>274</v>
      </c>
      <c r="AD22" s="681">
        <v>602171</v>
      </c>
      <c r="AE22" s="681"/>
      <c r="AF22" s="681"/>
      <c r="AG22" s="681">
        <v>602170</v>
      </c>
      <c r="AH22" s="681">
        <v>1</v>
      </c>
      <c r="AI22" s="681"/>
      <c r="AJ22" s="681">
        <v>0</v>
      </c>
      <c r="AK22" s="681">
        <v>0</v>
      </c>
      <c r="AL22" s="681">
        <v>602171</v>
      </c>
      <c r="AM22" s="682">
        <v>602171</v>
      </c>
      <c r="AO22" s="679">
        <v>130</v>
      </c>
      <c r="AP22" s="709" t="s">
        <v>274</v>
      </c>
      <c r="AQ22" s="681">
        <v>0</v>
      </c>
      <c r="AR22" s="681"/>
      <c r="AS22" s="681"/>
      <c r="AT22" s="681">
        <v>10660</v>
      </c>
      <c r="AU22" s="681">
        <v>-10660</v>
      </c>
      <c r="AV22" s="681"/>
      <c r="AW22" s="681">
        <v>0</v>
      </c>
      <c r="AX22" s="681">
        <v>0</v>
      </c>
      <c r="AY22" s="681">
        <v>0</v>
      </c>
      <c r="AZ22" s="682">
        <v>0</v>
      </c>
      <c r="BB22" s="679">
        <v>130</v>
      </c>
      <c r="BC22" s="702" t="s">
        <v>274</v>
      </c>
      <c r="BD22" s="703">
        <v>0</v>
      </c>
      <c r="BE22" s="703"/>
      <c r="BF22" s="703"/>
      <c r="BG22" s="703">
        <v>10660</v>
      </c>
      <c r="BH22" s="703">
        <v>-10660</v>
      </c>
      <c r="BI22" s="703"/>
      <c r="BJ22" s="703">
        <v>0</v>
      </c>
      <c r="BK22" s="703">
        <v>0</v>
      </c>
      <c r="BL22" s="703">
        <v>0</v>
      </c>
      <c r="BM22" s="682">
        <v>0</v>
      </c>
      <c r="BN22" s="254"/>
      <c r="BO22" s="679">
        <v>130</v>
      </c>
      <c r="BP22" s="702" t="s">
        <v>274</v>
      </c>
      <c r="BQ22" s="703">
        <v>9222819.0500000007</v>
      </c>
      <c r="BR22" s="703"/>
      <c r="BS22" s="703"/>
      <c r="BT22" s="703">
        <v>0</v>
      </c>
      <c r="BU22" s="703">
        <v>9222819.0500000007</v>
      </c>
      <c r="BV22" s="703"/>
      <c r="BW22" s="703">
        <v>3325</v>
      </c>
      <c r="BX22" s="703">
        <v>21824.75</v>
      </c>
      <c r="BY22" s="703">
        <v>9219494.0500000007</v>
      </c>
      <c r="BZ22" s="682">
        <v>9200994.3000000007</v>
      </c>
    </row>
    <row r="23" spans="2:79" x14ac:dyDescent="0.25">
      <c r="B23" s="679">
        <v>140</v>
      </c>
      <c r="C23" s="680" t="s">
        <v>275</v>
      </c>
      <c r="D23" s="681">
        <v>232601.06</v>
      </c>
      <c r="E23" s="681"/>
      <c r="F23" s="681"/>
      <c r="G23" s="681">
        <v>3259440</v>
      </c>
      <c r="H23" s="681">
        <v>-3026838.94</v>
      </c>
      <c r="I23" s="681"/>
      <c r="J23" s="681">
        <v>0</v>
      </c>
      <c r="K23" s="681">
        <v>0</v>
      </c>
      <c r="L23" s="681">
        <v>232601.06</v>
      </c>
      <c r="M23" s="682">
        <v>232601.06</v>
      </c>
      <c r="O23" s="679">
        <v>140</v>
      </c>
      <c r="P23" s="704" t="s">
        <v>275</v>
      </c>
      <c r="Q23" s="703">
        <v>0</v>
      </c>
      <c r="R23" s="703"/>
      <c r="S23" s="703"/>
      <c r="T23" s="703">
        <v>253950</v>
      </c>
      <c r="U23" s="703">
        <v>-253950</v>
      </c>
      <c r="V23" s="703"/>
      <c r="W23" s="703">
        <v>0</v>
      </c>
      <c r="X23" s="703">
        <v>0</v>
      </c>
      <c r="Y23" s="703">
        <v>0</v>
      </c>
      <c r="Z23" s="703">
        <v>0</v>
      </c>
      <c r="AB23" s="679">
        <v>140</v>
      </c>
      <c r="AC23" s="680" t="s">
        <v>275</v>
      </c>
      <c r="AD23" s="681">
        <v>0</v>
      </c>
      <c r="AE23" s="681"/>
      <c r="AF23" s="681"/>
      <c r="AG23" s="681">
        <v>1280580</v>
      </c>
      <c r="AH23" s="681">
        <v>-1280580</v>
      </c>
      <c r="AI23" s="681"/>
      <c r="AJ23" s="681">
        <v>0</v>
      </c>
      <c r="AK23" s="681">
        <v>0</v>
      </c>
      <c r="AL23" s="681">
        <v>0</v>
      </c>
      <c r="AM23" s="682">
        <v>0</v>
      </c>
      <c r="AO23" s="679">
        <v>140</v>
      </c>
      <c r="AP23" s="680" t="s">
        <v>275</v>
      </c>
      <c r="AQ23" s="681">
        <v>0</v>
      </c>
      <c r="AR23" s="681"/>
      <c r="AS23" s="681"/>
      <c r="AT23" s="681">
        <v>253950</v>
      </c>
      <c r="AU23" s="681">
        <v>-253950</v>
      </c>
      <c r="AV23" s="681"/>
      <c r="AW23" s="681">
        <v>0</v>
      </c>
      <c r="AX23" s="681">
        <v>0</v>
      </c>
      <c r="AY23" s="681">
        <v>0</v>
      </c>
      <c r="AZ23" s="682">
        <v>0</v>
      </c>
      <c r="BB23" s="679">
        <v>140</v>
      </c>
      <c r="BC23" s="704" t="s">
        <v>275</v>
      </c>
      <c r="BD23" s="703">
        <v>0</v>
      </c>
      <c r="BE23" s="703"/>
      <c r="BF23" s="703"/>
      <c r="BG23" s="703">
        <v>253950</v>
      </c>
      <c r="BH23" s="703">
        <v>-253950</v>
      </c>
      <c r="BI23" s="703"/>
      <c r="BJ23" s="703">
        <v>0</v>
      </c>
      <c r="BK23" s="703">
        <v>0</v>
      </c>
      <c r="BL23" s="703">
        <v>0</v>
      </c>
      <c r="BM23" s="682">
        <v>0</v>
      </c>
      <c r="BN23" s="254"/>
      <c r="BO23" s="679">
        <v>140</v>
      </c>
      <c r="BP23" s="704" t="s">
        <v>275</v>
      </c>
      <c r="BQ23" s="703">
        <v>0</v>
      </c>
      <c r="BR23" s="703"/>
      <c r="BS23" s="703"/>
      <c r="BT23" s="703">
        <v>0</v>
      </c>
      <c r="BU23" s="703">
        <v>0</v>
      </c>
      <c r="BV23" s="703"/>
      <c r="BW23" s="703">
        <v>0</v>
      </c>
      <c r="BX23" s="703">
        <v>0</v>
      </c>
      <c r="BY23" s="703">
        <v>0</v>
      </c>
      <c r="BZ23" s="682">
        <v>0</v>
      </c>
    </row>
    <row r="24" spans="2:79" x14ac:dyDescent="0.25">
      <c r="B24" s="679">
        <v>150</v>
      </c>
      <c r="C24" s="680" t="s">
        <v>276</v>
      </c>
      <c r="D24" s="681">
        <v>0</v>
      </c>
      <c r="E24" s="681"/>
      <c r="F24" s="681"/>
      <c r="G24" s="681">
        <v>5510</v>
      </c>
      <c r="H24" s="681">
        <v>-5510</v>
      </c>
      <c r="I24" s="681"/>
      <c r="J24" s="681">
        <v>0</v>
      </c>
      <c r="K24" s="681">
        <v>0</v>
      </c>
      <c r="L24" s="681">
        <v>0</v>
      </c>
      <c r="M24" s="682">
        <v>0</v>
      </c>
      <c r="O24" s="679">
        <v>150</v>
      </c>
      <c r="P24" s="702" t="s">
        <v>276</v>
      </c>
      <c r="Q24" s="703">
        <v>0</v>
      </c>
      <c r="R24" s="703"/>
      <c r="S24" s="703"/>
      <c r="T24" s="703">
        <v>0</v>
      </c>
      <c r="U24" s="703">
        <v>0</v>
      </c>
      <c r="V24" s="703"/>
      <c r="W24" s="703">
        <v>0</v>
      </c>
      <c r="X24" s="703">
        <v>0</v>
      </c>
      <c r="Y24" s="703">
        <v>0</v>
      </c>
      <c r="Z24" s="703">
        <v>0</v>
      </c>
      <c r="AB24" s="679">
        <v>150</v>
      </c>
      <c r="AC24" s="709" t="s">
        <v>276</v>
      </c>
      <c r="AD24" s="681">
        <v>0</v>
      </c>
      <c r="AE24" s="681"/>
      <c r="AF24" s="681"/>
      <c r="AG24" s="681">
        <v>0</v>
      </c>
      <c r="AH24" s="681">
        <v>0</v>
      </c>
      <c r="AI24" s="681"/>
      <c r="AJ24" s="681">
        <v>0</v>
      </c>
      <c r="AK24" s="681">
        <v>0</v>
      </c>
      <c r="AL24" s="681">
        <v>0</v>
      </c>
      <c r="AM24" s="682">
        <v>0</v>
      </c>
      <c r="AO24" s="679">
        <v>150</v>
      </c>
      <c r="AP24" s="709" t="s">
        <v>276</v>
      </c>
      <c r="AQ24" s="681">
        <v>0</v>
      </c>
      <c r="AR24" s="681"/>
      <c r="AS24" s="681"/>
      <c r="AT24" s="681">
        <v>0</v>
      </c>
      <c r="AU24" s="681">
        <v>0</v>
      </c>
      <c r="AV24" s="681"/>
      <c r="AW24" s="681">
        <v>0</v>
      </c>
      <c r="AX24" s="681">
        <v>0</v>
      </c>
      <c r="AY24" s="681">
        <v>0</v>
      </c>
      <c r="AZ24" s="682">
        <v>0</v>
      </c>
      <c r="BB24" s="679">
        <v>150</v>
      </c>
      <c r="BC24" s="702" t="s">
        <v>276</v>
      </c>
      <c r="BD24" s="703">
        <v>0</v>
      </c>
      <c r="BE24" s="703"/>
      <c r="BF24" s="703"/>
      <c r="BG24" s="703">
        <v>0</v>
      </c>
      <c r="BH24" s="703">
        <v>0</v>
      </c>
      <c r="BI24" s="703"/>
      <c r="BJ24" s="703">
        <v>0</v>
      </c>
      <c r="BK24" s="703">
        <v>0</v>
      </c>
      <c r="BL24" s="703">
        <v>0</v>
      </c>
      <c r="BM24" s="682">
        <v>0</v>
      </c>
      <c r="BN24" s="254"/>
      <c r="BO24" s="679">
        <v>150</v>
      </c>
      <c r="BP24" s="702" t="s">
        <v>276</v>
      </c>
      <c r="BQ24" s="703">
        <v>0</v>
      </c>
      <c r="BR24" s="703"/>
      <c r="BS24" s="703"/>
      <c r="BT24" s="703">
        <v>0</v>
      </c>
      <c r="BU24" s="703">
        <v>0</v>
      </c>
      <c r="BV24" s="703"/>
      <c r="BW24" s="703">
        <v>0</v>
      </c>
      <c r="BX24" s="703">
        <v>0</v>
      </c>
      <c r="BY24" s="703">
        <v>0</v>
      </c>
      <c r="BZ24" s="682">
        <v>0</v>
      </c>
    </row>
    <row r="25" spans="2:79" x14ac:dyDescent="0.25">
      <c r="B25" s="679">
        <v>160</v>
      </c>
      <c r="C25" s="680" t="s">
        <v>277</v>
      </c>
      <c r="D25" s="681">
        <v>0</v>
      </c>
      <c r="E25" s="681"/>
      <c r="F25" s="681"/>
      <c r="G25" s="681">
        <v>0</v>
      </c>
      <c r="H25" s="681">
        <v>0</v>
      </c>
      <c r="I25" s="681"/>
      <c r="J25" s="681">
        <v>0</v>
      </c>
      <c r="K25" s="681">
        <v>0</v>
      </c>
      <c r="L25" s="681">
        <v>0</v>
      </c>
      <c r="M25" s="682">
        <v>0</v>
      </c>
      <c r="O25" s="679">
        <v>160</v>
      </c>
      <c r="P25" s="702" t="s">
        <v>277</v>
      </c>
      <c r="Q25" s="703">
        <v>29292.45</v>
      </c>
      <c r="R25" s="703"/>
      <c r="S25" s="703"/>
      <c r="T25" s="703">
        <v>63280</v>
      </c>
      <c r="U25" s="703">
        <v>-33987.550000000003</v>
      </c>
      <c r="V25" s="703"/>
      <c r="W25" s="703">
        <v>0</v>
      </c>
      <c r="X25" s="703">
        <v>0</v>
      </c>
      <c r="Y25" s="703">
        <v>29292.45</v>
      </c>
      <c r="Z25" s="703">
        <v>29292.45</v>
      </c>
      <c r="AB25" s="679">
        <v>160</v>
      </c>
      <c r="AC25" s="709" t="s">
        <v>277</v>
      </c>
      <c r="AD25" s="681">
        <v>0</v>
      </c>
      <c r="AE25" s="681"/>
      <c r="AF25" s="681"/>
      <c r="AG25" s="681">
        <v>0</v>
      </c>
      <c r="AH25" s="681">
        <v>0</v>
      </c>
      <c r="AI25" s="681"/>
      <c r="AJ25" s="681">
        <v>0</v>
      </c>
      <c r="AK25" s="681">
        <v>0</v>
      </c>
      <c r="AL25" s="681">
        <v>0</v>
      </c>
      <c r="AM25" s="682">
        <v>0</v>
      </c>
      <c r="AO25" s="679">
        <v>160</v>
      </c>
      <c r="AP25" s="709" t="s">
        <v>277</v>
      </c>
      <c r="AQ25" s="681">
        <v>990</v>
      </c>
      <c r="AR25" s="681"/>
      <c r="AS25" s="681"/>
      <c r="AT25" s="681">
        <v>63280</v>
      </c>
      <c r="AU25" s="681">
        <v>-62290</v>
      </c>
      <c r="AV25" s="681"/>
      <c r="AW25" s="681">
        <v>0</v>
      </c>
      <c r="AX25" s="681">
        <v>990</v>
      </c>
      <c r="AY25" s="681">
        <v>990</v>
      </c>
      <c r="AZ25" s="682">
        <v>0</v>
      </c>
      <c r="BB25" s="679">
        <v>160</v>
      </c>
      <c r="BC25" s="702" t="s">
        <v>277</v>
      </c>
      <c r="BD25" s="703">
        <v>26859.01</v>
      </c>
      <c r="BE25" s="703"/>
      <c r="BF25" s="703"/>
      <c r="BG25" s="703">
        <v>63280</v>
      </c>
      <c r="BH25" s="703">
        <v>-36420.99</v>
      </c>
      <c r="BI25" s="703"/>
      <c r="BJ25" s="703">
        <v>0</v>
      </c>
      <c r="BK25" s="703">
        <v>0</v>
      </c>
      <c r="BL25" s="703">
        <v>26859.01</v>
      </c>
      <c r="BM25" s="682">
        <v>26859.01</v>
      </c>
      <c r="BN25" s="254"/>
      <c r="BO25" s="679">
        <v>160</v>
      </c>
      <c r="BP25" s="702" t="s">
        <v>277</v>
      </c>
      <c r="BQ25" s="703">
        <v>0</v>
      </c>
      <c r="BR25" s="703"/>
      <c r="BS25" s="703"/>
      <c r="BT25" s="703">
        <v>0</v>
      </c>
      <c r="BU25" s="703">
        <v>0</v>
      </c>
      <c r="BV25" s="703"/>
      <c r="BW25" s="703">
        <v>0</v>
      </c>
      <c r="BX25" s="703">
        <v>0</v>
      </c>
      <c r="BY25" s="703">
        <v>0</v>
      </c>
      <c r="BZ25" s="682">
        <v>0</v>
      </c>
    </row>
    <row r="26" spans="2:79" x14ac:dyDescent="0.25">
      <c r="B26" s="679">
        <v>170</v>
      </c>
      <c r="C26" s="680" t="s">
        <v>278</v>
      </c>
      <c r="D26" s="681">
        <v>3014040.31</v>
      </c>
      <c r="E26" s="681"/>
      <c r="F26" s="681"/>
      <c r="G26" s="681">
        <v>0</v>
      </c>
      <c r="H26" s="681">
        <v>3014040.31</v>
      </c>
      <c r="I26" s="681"/>
      <c r="J26" s="681">
        <v>0</v>
      </c>
      <c r="K26" s="681">
        <v>2194.61</v>
      </c>
      <c r="L26" s="681">
        <v>3014040.31</v>
      </c>
      <c r="M26" s="682">
        <v>3011845.7</v>
      </c>
      <c r="O26" s="679">
        <v>170</v>
      </c>
      <c r="P26" s="702" t="s">
        <v>278</v>
      </c>
      <c r="Q26" s="703">
        <v>253947.03</v>
      </c>
      <c r="R26" s="703"/>
      <c r="S26" s="703"/>
      <c r="T26" s="703">
        <v>0</v>
      </c>
      <c r="U26" s="703">
        <v>253947.03</v>
      </c>
      <c r="V26" s="703"/>
      <c r="W26" s="703">
        <v>0</v>
      </c>
      <c r="X26" s="703">
        <v>0</v>
      </c>
      <c r="Y26" s="703">
        <v>253947.03</v>
      </c>
      <c r="Z26" s="703">
        <v>253947.03</v>
      </c>
      <c r="AB26" s="679">
        <v>170</v>
      </c>
      <c r="AC26" s="709" t="s">
        <v>278</v>
      </c>
      <c r="AD26" s="681">
        <v>1298845.54</v>
      </c>
      <c r="AE26" s="681"/>
      <c r="AF26" s="681"/>
      <c r="AG26" s="681">
        <v>0</v>
      </c>
      <c r="AH26" s="681">
        <v>1298845.54</v>
      </c>
      <c r="AI26" s="681"/>
      <c r="AJ26" s="681">
        <v>1282.0999999999999</v>
      </c>
      <c r="AK26" s="681">
        <v>9876.4</v>
      </c>
      <c r="AL26" s="681">
        <v>1297563.44</v>
      </c>
      <c r="AM26" s="682">
        <v>1288969.1399999999</v>
      </c>
      <c r="AO26" s="679">
        <v>170</v>
      </c>
      <c r="AP26" s="709" t="s">
        <v>278</v>
      </c>
      <c r="AQ26" s="681">
        <v>487343.91</v>
      </c>
      <c r="AR26" s="681"/>
      <c r="AS26" s="681"/>
      <c r="AT26" s="681">
        <v>0</v>
      </c>
      <c r="AU26" s="681">
        <v>487343.91</v>
      </c>
      <c r="AV26" s="681"/>
      <c r="AW26" s="681">
        <v>0</v>
      </c>
      <c r="AX26" s="681">
        <v>0</v>
      </c>
      <c r="AY26" s="681">
        <v>487343.91</v>
      </c>
      <c r="AZ26" s="682">
        <v>487343.91</v>
      </c>
      <c r="BB26" s="679">
        <v>170</v>
      </c>
      <c r="BC26" s="702" t="s">
        <v>278</v>
      </c>
      <c r="BD26" s="703">
        <v>439267.14</v>
      </c>
      <c r="BE26" s="703"/>
      <c r="BF26" s="703"/>
      <c r="BG26" s="703">
        <v>0</v>
      </c>
      <c r="BH26" s="703">
        <v>439267.14</v>
      </c>
      <c r="BI26" s="703"/>
      <c r="BJ26" s="703">
        <v>0</v>
      </c>
      <c r="BK26" s="703">
        <v>5808.29</v>
      </c>
      <c r="BL26" s="703">
        <v>439267.14</v>
      </c>
      <c r="BM26" s="682">
        <v>433458.85</v>
      </c>
      <c r="BN26" s="254"/>
      <c r="BO26" s="679">
        <v>170</v>
      </c>
      <c r="BP26" s="702" t="s">
        <v>278</v>
      </c>
      <c r="BQ26" s="703">
        <v>1921687.96</v>
      </c>
      <c r="BR26" s="703"/>
      <c r="BS26" s="703"/>
      <c r="BT26" s="703">
        <v>0</v>
      </c>
      <c r="BU26" s="703">
        <v>1921687.96</v>
      </c>
      <c r="BV26" s="703"/>
      <c r="BW26" s="703">
        <v>0</v>
      </c>
      <c r="BX26" s="703">
        <v>0</v>
      </c>
      <c r="BY26" s="703">
        <v>1921687.96</v>
      </c>
      <c r="BZ26" s="682">
        <v>1921687.96</v>
      </c>
    </row>
    <row r="27" spans="2:79" x14ac:dyDescent="0.25">
      <c r="B27" s="679">
        <v>180</v>
      </c>
      <c r="C27" s="680" t="s">
        <v>279</v>
      </c>
      <c r="D27" s="681">
        <v>2250</v>
      </c>
      <c r="E27" s="681"/>
      <c r="F27" s="681"/>
      <c r="G27" s="681">
        <v>59250</v>
      </c>
      <c r="H27" s="681">
        <v>-57000</v>
      </c>
      <c r="I27" s="681"/>
      <c r="J27" s="681">
        <v>0</v>
      </c>
      <c r="K27" s="681">
        <v>0</v>
      </c>
      <c r="L27" s="681">
        <v>2250</v>
      </c>
      <c r="M27" s="682">
        <v>2250</v>
      </c>
      <c r="O27" s="679">
        <v>180</v>
      </c>
      <c r="P27" s="702" t="s">
        <v>279</v>
      </c>
      <c r="Q27" s="703">
        <v>1000</v>
      </c>
      <c r="R27" s="703"/>
      <c r="S27" s="703"/>
      <c r="T27" s="703">
        <v>13170</v>
      </c>
      <c r="U27" s="703">
        <v>-12170</v>
      </c>
      <c r="V27" s="703"/>
      <c r="W27" s="703">
        <v>0</v>
      </c>
      <c r="X27" s="703">
        <v>0</v>
      </c>
      <c r="Y27" s="703">
        <v>1000</v>
      </c>
      <c r="Z27" s="703">
        <v>1000</v>
      </c>
      <c r="AB27" s="679">
        <v>180</v>
      </c>
      <c r="AC27" s="709" t="s">
        <v>279</v>
      </c>
      <c r="AD27" s="681">
        <v>855126</v>
      </c>
      <c r="AE27" s="681"/>
      <c r="AF27" s="681"/>
      <c r="AG27" s="681">
        <v>872220</v>
      </c>
      <c r="AH27" s="681">
        <v>-17094</v>
      </c>
      <c r="AI27" s="681"/>
      <c r="AJ27" s="681">
        <v>0</v>
      </c>
      <c r="AK27" s="681">
        <v>0</v>
      </c>
      <c r="AL27" s="681">
        <v>855126</v>
      </c>
      <c r="AM27" s="682">
        <v>855126</v>
      </c>
      <c r="AO27" s="679">
        <v>180</v>
      </c>
      <c r="AP27" s="709" t="s">
        <v>279</v>
      </c>
      <c r="AQ27" s="681">
        <v>100000</v>
      </c>
      <c r="AR27" s="681"/>
      <c r="AS27" s="681"/>
      <c r="AT27" s="681">
        <v>13170</v>
      </c>
      <c r="AU27" s="681">
        <v>86830</v>
      </c>
      <c r="AV27" s="681"/>
      <c r="AW27" s="681">
        <v>0</v>
      </c>
      <c r="AX27" s="681">
        <v>0</v>
      </c>
      <c r="AY27" s="681">
        <v>100000</v>
      </c>
      <c r="AZ27" s="682">
        <v>100000</v>
      </c>
      <c r="BB27" s="679">
        <v>180</v>
      </c>
      <c r="BC27" s="702" t="s">
        <v>279</v>
      </c>
      <c r="BD27" s="703">
        <v>366496</v>
      </c>
      <c r="BE27" s="703"/>
      <c r="BF27" s="703"/>
      <c r="BG27" s="703">
        <v>13170</v>
      </c>
      <c r="BH27" s="703">
        <v>353326</v>
      </c>
      <c r="BI27" s="703"/>
      <c r="BJ27" s="703">
        <v>0</v>
      </c>
      <c r="BK27" s="703">
        <v>0</v>
      </c>
      <c r="BL27" s="703">
        <v>366496</v>
      </c>
      <c r="BM27" s="682">
        <v>366496</v>
      </c>
      <c r="BN27" s="254"/>
      <c r="BO27" s="679">
        <v>180</v>
      </c>
      <c r="BP27" s="702" t="s">
        <v>279</v>
      </c>
      <c r="BQ27" s="703">
        <v>-4747412.99</v>
      </c>
      <c r="BR27" s="703"/>
      <c r="BS27" s="703"/>
      <c r="BT27" s="703">
        <v>0</v>
      </c>
      <c r="BU27" s="703">
        <v>-4747412.99</v>
      </c>
      <c r="BV27" s="703"/>
      <c r="BW27" s="703">
        <v>0</v>
      </c>
      <c r="BX27" s="703">
        <v>0</v>
      </c>
      <c r="BY27" s="703">
        <v>-4747412.99</v>
      </c>
      <c r="BZ27" s="682">
        <v>-4747412.99</v>
      </c>
    </row>
    <row r="28" spans="2:79" x14ac:dyDescent="0.25">
      <c r="B28" s="679">
        <v>190</v>
      </c>
      <c r="C28" s="680" t="s">
        <v>280</v>
      </c>
      <c r="D28" s="681">
        <v>-4673005.91</v>
      </c>
      <c r="E28" s="681"/>
      <c r="F28" s="681"/>
      <c r="G28" s="681">
        <v>-5239033</v>
      </c>
      <c r="H28" s="681">
        <v>566027.09</v>
      </c>
      <c r="I28" s="681"/>
      <c r="J28" s="681">
        <v>0</v>
      </c>
      <c r="K28" s="681">
        <v>-57228.56</v>
      </c>
      <c r="L28" s="681">
        <v>-4673005.91</v>
      </c>
      <c r="M28" s="682">
        <v>-4615777.3499999996</v>
      </c>
      <c r="O28" s="679">
        <v>190</v>
      </c>
      <c r="P28" s="702" t="s">
        <v>280</v>
      </c>
      <c r="Q28" s="703">
        <v>-376666.54</v>
      </c>
      <c r="R28" s="703"/>
      <c r="S28" s="703"/>
      <c r="T28" s="703">
        <v>0</v>
      </c>
      <c r="U28" s="703">
        <v>-376666.54</v>
      </c>
      <c r="V28" s="703"/>
      <c r="W28" s="703">
        <v>-1405.99</v>
      </c>
      <c r="X28" s="703">
        <v>-7679.66</v>
      </c>
      <c r="Y28" s="703">
        <v>-375260.55</v>
      </c>
      <c r="Z28" s="703">
        <v>-368986.88</v>
      </c>
      <c r="AB28" s="679">
        <v>190</v>
      </c>
      <c r="AC28" s="709" t="s">
        <v>280</v>
      </c>
      <c r="AD28" s="681">
        <v>-1192517.6000000001</v>
      </c>
      <c r="AE28" s="681"/>
      <c r="AF28" s="681"/>
      <c r="AG28" s="681">
        <v>-1029879</v>
      </c>
      <c r="AH28" s="681">
        <v>-162638.6</v>
      </c>
      <c r="AI28" s="681"/>
      <c r="AJ28" s="681">
        <v>-2089.35</v>
      </c>
      <c r="AK28" s="681">
        <v>-11280.6</v>
      </c>
      <c r="AL28" s="681">
        <v>-1190428.25</v>
      </c>
      <c r="AM28" s="682">
        <v>-1181237</v>
      </c>
      <c r="AO28" s="679">
        <v>190</v>
      </c>
      <c r="AP28" s="709" t="s">
        <v>280</v>
      </c>
      <c r="AQ28" s="681">
        <v>-775417.59</v>
      </c>
      <c r="AR28" s="681"/>
      <c r="AS28" s="681"/>
      <c r="AT28" s="681">
        <v>0</v>
      </c>
      <c r="AU28" s="681">
        <v>-775417.59</v>
      </c>
      <c r="AV28" s="681"/>
      <c r="AW28" s="681">
        <v>-7634.74</v>
      </c>
      <c r="AX28" s="681">
        <v>-45807.839999999997</v>
      </c>
      <c r="AY28" s="681">
        <v>-767782.85</v>
      </c>
      <c r="AZ28" s="682">
        <v>-729609.75</v>
      </c>
      <c r="BB28" s="679">
        <v>190</v>
      </c>
      <c r="BC28" s="702" t="s">
        <v>280</v>
      </c>
      <c r="BD28" s="703">
        <v>-817614.88</v>
      </c>
      <c r="BE28" s="703"/>
      <c r="BF28" s="703"/>
      <c r="BG28" s="703">
        <v>0</v>
      </c>
      <c r="BH28" s="703">
        <v>-817614.88</v>
      </c>
      <c r="BI28" s="703"/>
      <c r="BJ28" s="703">
        <v>-5119.0200000000004</v>
      </c>
      <c r="BK28" s="703">
        <v>-52467</v>
      </c>
      <c r="BL28" s="703">
        <v>-812495.86</v>
      </c>
      <c r="BM28" s="682">
        <v>-765147.88</v>
      </c>
      <c r="BN28" s="254"/>
      <c r="BO28" s="679">
        <v>190</v>
      </c>
      <c r="BP28" s="702" t="s">
        <v>280</v>
      </c>
      <c r="BQ28" s="703">
        <v>-4135933.42</v>
      </c>
      <c r="BR28" s="703"/>
      <c r="BS28" s="703"/>
      <c r="BT28" s="703">
        <v>0</v>
      </c>
      <c r="BU28" s="703">
        <v>-4135933.42</v>
      </c>
      <c r="BV28" s="703"/>
      <c r="BW28" s="703">
        <v>-21002.41</v>
      </c>
      <c r="BX28" s="703">
        <v>-126014.46</v>
      </c>
      <c r="BY28" s="703">
        <v>-4114931.01</v>
      </c>
      <c r="BZ28" s="682">
        <v>-4009918.96</v>
      </c>
    </row>
    <row r="29" spans="2:79" s="111" customFormat="1" ht="13" x14ac:dyDescent="0.3">
      <c r="B29" s="679">
        <v>200</v>
      </c>
      <c r="C29" s="680" t="s">
        <v>281</v>
      </c>
      <c r="D29" s="681">
        <v>3465524.61</v>
      </c>
      <c r="E29" s="681"/>
      <c r="F29" s="681"/>
      <c r="G29" s="681">
        <v>3216187</v>
      </c>
      <c r="H29" s="681">
        <v>249337.61</v>
      </c>
      <c r="I29" s="681"/>
      <c r="J29" s="681">
        <v>0</v>
      </c>
      <c r="K29" s="681">
        <v>-55033.95</v>
      </c>
      <c r="L29" s="681">
        <v>3465524.61</v>
      </c>
      <c r="M29" s="682">
        <v>3520558.56</v>
      </c>
      <c r="N29" s="253"/>
      <c r="O29" s="662">
        <v>200</v>
      </c>
      <c r="P29" s="705" t="s">
        <v>281</v>
      </c>
      <c r="Q29" s="701">
        <v>-81763.19</v>
      </c>
      <c r="R29" s="701"/>
      <c r="S29" s="701"/>
      <c r="T29" s="701">
        <v>341060</v>
      </c>
      <c r="U29" s="701">
        <v>-422823.19</v>
      </c>
      <c r="V29" s="701"/>
      <c r="W29" s="701">
        <v>-1405.99</v>
      </c>
      <c r="X29" s="701">
        <v>-7679.66</v>
      </c>
      <c r="Y29" s="701">
        <v>-80357.2</v>
      </c>
      <c r="Z29" s="701">
        <v>-74083.53</v>
      </c>
      <c r="AA29" s="253"/>
      <c r="AB29" s="662">
        <v>200</v>
      </c>
      <c r="AC29" s="710" t="s">
        <v>281</v>
      </c>
      <c r="AD29" s="707">
        <v>1563624.94</v>
      </c>
      <c r="AE29" s="707"/>
      <c r="AF29" s="707"/>
      <c r="AG29" s="707">
        <v>1725091</v>
      </c>
      <c r="AH29" s="707">
        <v>-161466.06</v>
      </c>
      <c r="AI29" s="707"/>
      <c r="AJ29" s="707">
        <v>-807.25</v>
      </c>
      <c r="AK29" s="707">
        <v>-1404.2</v>
      </c>
      <c r="AL29" s="707">
        <v>1564432.19</v>
      </c>
      <c r="AM29" s="708">
        <v>1565029.14</v>
      </c>
      <c r="AN29" s="253"/>
      <c r="AO29" s="662">
        <v>200</v>
      </c>
      <c r="AP29" s="710" t="s">
        <v>281</v>
      </c>
      <c r="AQ29" s="707">
        <v>-187083.68</v>
      </c>
      <c r="AR29" s="707"/>
      <c r="AS29" s="707"/>
      <c r="AT29" s="707">
        <v>341060</v>
      </c>
      <c r="AU29" s="707">
        <v>-528143.68000000005</v>
      </c>
      <c r="AV29" s="707"/>
      <c r="AW29" s="707">
        <v>-7634.74</v>
      </c>
      <c r="AX29" s="707">
        <v>-44817.84</v>
      </c>
      <c r="AY29" s="707">
        <v>-179448.94</v>
      </c>
      <c r="AZ29" s="708">
        <v>-142265.84</v>
      </c>
      <c r="BB29" s="662">
        <v>200</v>
      </c>
      <c r="BC29" s="705" t="s">
        <v>281</v>
      </c>
      <c r="BD29" s="701">
        <v>15007.27</v>
      </c>
      <c r="BE29" s="701"/>
      <c r="BF29" s="701"/>
      <c r="BG29" s="701">
        <v>341060</v>
      </c>
      <c r="BH29" s="701">
        <v>-326052.73</v>
      </c>
      <c r="BI29" s="701"/>
      <c r="BJ29" s="701">
        <v>-5119.0200000000004</v>
      </c>
      <c r="BK29" s="701">
        <v>-46658.71</v>
      </c>
      <c r="BL29" s="701">
        <v>20126.29</v>
      </c>
      <c r="BM29" s="708">
        <v>61665.98</v>
      </c>
      <c r="BN29" s="254"/>
      <c r="BO29" s="662">
        <v>200</v>
      </c>
      <c r="BP29" s="705" t="s">
        <v>281</v>
      </c>
      <c r="BQ29" s="701">
        <v>8779070.9100000001</v>
      </c>
      <c r="BR29" s="701"/>
      <c r="BS29" s="701"/>
      <c r="BT29" s="701">
        <v>0</v>
      </c>
      <c r="BU29" s="701">
        <v>8779070.9100000001</v>
      </c>
      <c r="BV29" s="701"/>
      <c r="BW29" s="701">
        <v>-17677.41</v>
      </c>
      <c r="BX29" s="701">
        <v>-104189.71</v>
      </c>
      <c r="BY29" s="701">
        <v>8796748.3200000003</v>
      </c>
      <c r="BZ29" s="708">
        <v>8883260.6199999992</v>
      </c>
      <c r="CA29" s="120"/>
    </row>
    <row r="30" spans="2:79" x14ac:dyDescent="0.25">
      <c r="B30" s="679">
        <v>210</v>
      </c>
      <c r="C30" s="680" t="s">
        <v>282</v>
      </c>
      <c r="D30" s="681">
        <v>0</v>
      </c>
      <c r="E30" s="681"/>
      <c r="F30" s="681"/>
      <c r="G30" s="681">
        <v>0</v>
      </c>
      <c r="H30" s="681">
        <v>0</v>
      </c>
      <c r="I30" s="681"/>
      <c r="J30" s="681">
        <v>0</v>
      </c>
      <c r="K30" s="681">
        <v>0</v>
      </c>
      <c r="L30" s="681">
        <v>0</v>
      </c>
      <c r="M30" s="682">
        <v>0</v>
      </c>
      <c r="O30" s="679">
        <v>210</v>
      </c>
      <c r="P30" s="704" t="s">
        <v>282</v>
      </c>
      <c r="Q30" s="703">
        <v>0</v>
      </c>
      <c r="R30" s="703"/>
      <c r="S30" s="703"/>
      <c r="T30" s="703">
        <v>0</v>
      </c>
      <c r="U30" s="703">
        <v>0</v>
      </c>
      <c r="V30" s="703"/>
      <c r="W30" s="703">
        <v>0</v>
      </c>
      <c r="X30" s="703">
        <v>0</v>
      </c>
      <c r="Y30" s="703">
        <v>0</v>
      </c>
      <c r="Z30" s="703">
        <v>0</v>
      </c>
      <c r="AB30" s="679">
        <v>210</v>
      </c>
      <c r="AC30" s="680" t="s">
        <v>282</v>
      </c>
      <c r="AD30" s="681">
        <v>0</v>
      </c>
      <c r="AE30" s="681"/>
      <c r="AF30" s="681"/>
      <c r="AG30" s="681">
        <v>0</v>
      </c>
      <c r="AH30" s="681">
        <v>0</v>
      </c>
      <c r="AI30" s="681"/>
      <c r="AJ30" s="681">
        <v>0</v>
      </c>
      <c r="AK30" s="681">
        <v>0</v>
      </c>
      <c r="AL30" s="681">
        <v>0</v>
      </c>
      <c r="AM30" s="682">
        <v>0</v>
      </c>
      <c r="AO30" s="679">
        <v>210</v>
      </c>
      <c r="AP30" s="680" t="s">
        <v>282</v>
      </c>
      <c r="AQ30" s="681">
        <v>0</v>
      </c>
      <c r="AR30" s="681"/>
      <c r="AS30" s="681"/>
      <c r="AT30" s="681">
        <v>0</v>
      </c>
      <c r="AU30" s="681">
        <v>0</v>
      </c>
      <c r="AV30" s="681"/>
      <c r="AW30" s="681">
        <v>0</v>
      </c>
      <c r="AX30" s="681">
        <v>0</v>
      </c>
      <c r="AY30" s="681">
        <v>0</v>
      </c>
      <c r="AZ30" s="682">
        <v>0</v>
      </c>
      <c r="BB30" s="679">
        <v>210</v>
      </c>
      <c r="BC30" s="704" t="s">
        <v>282</v>
      </c>
      <c r="BD30" s="703">
        <v>0</v>
      </c>
      <c r="BE30" s="703"/>
      <c r="BF30" s="703"/>
      <c r="BG30" s="703">
        <v>0</v>
      </c>
      <c r="BH30" s="703">
        <v>0</v>
      </c>
      <c r="BI30" s="703"/>
      <c r="BJ30" s="703">
        <v>0</v>
      </c>
      <c r="BK30" s="703">
        <v>0</v>
      </c>
      <c r="BL30" s="703">
        <v>0</v>
      </c>
      <c r="BM30" s="682">
        <v>0</v>
      </c>
      <c r="BN30" s="254"/>
      <c r="BO30" s="679">
        <v>210</v>
      </c>
      <c r="BP30" s="704" t="s">
        <v>282</v>
      </c>
      <c r="BQ30" s="703">
        <v>0</v>
      </c>
      <c r="BR30" s="703"/>
      <c r="BS30" s="703"/>
      <c r="BT30" s="703">
        <v>0</v>
      </c>
      <c r="BU30" s="703">
        <v>0</v>
      </c>
      <c r="BV30" s="703"/>
      <c r="BW30" s="703">
        <v>0</v>
      </c>
      <c r="BX30" s="703">
        <v>0</v>
      </c>
      <c r="BY30" s="703">
        <v>0</v>
      </c>
      <c r="BZ30" s="682">
        <v>0</v>
      </c>
    </row>
    <row r="31" spans="2:79" x14ac:dyDescent="0.25">
      <c r="B31" s="679">
        <v>220</v>
      </c>
      <c r="C31" s="680" t="s">
        <v>283</v>
      </c>
      <c r="D31" s="681">
        <v>471623.54</v>
      </c>
      <c r="E31" s="681"/>
      <c r="F31" s="681"/>
      <c r="G31" s="681">
        <v>471620</v>
      </c>
      <c r="H31" s="681">
        <v>3.54</v>
      </c>
      <c r="I31" s="681"/>
      <c r="J31" s="681">
        <v>0</v>
      </c>
      <c r="K31" s="681">
        <v>0</v>
      </c>
      <c r="L31" s="681">
        <v>471623.54</v>
      </c>
      <c r="M31" s="682">
        <v>471623.54</v>
      </c>
      <c r="O31" s="679">
        <v>220</v>
      </c>
      <c r="P31" s="702" t="s">
        <v>283</v>
      </c>
      <c r="Q31" s="703">
        <v>97000</v>
      </c>
      <c r="R31" s="703"/>
      <c r="S31" s="703"/>
      <c r="T31" s="703">
        <v>97000</v>
      </c>
      <c r="U31" s="703">
        <v>0</v>
      </c>
      <c r="V31" s="703"/>
      <c r="W31" s="703">
        <v>0</v>
      </c>
      <c r="X31" s="703">
        <v>0</v>
      </c>
      <c r="Y31" s="703">
        <v>97000</v>
      </c>
      <c r="Z31" s="703">
        <v>97000</v>
      </c>
      <c r="AB31" s="679">
        <v>220</v>
      </c>
      <c r="AC31" s="709" t="s">
        <v>283</v>
      </c>
      <c r="AD31" s="681">
        <v>194984</v>
      </c>
      <c r="AE31" s="681"/>
      <c r="AF31" s="681"/>
      <c r="AG31" s="681">
        <v>194980</v>
      </c>
      <c r="AH31" s="681">
        <v>4</v>
      </c>
      <c r="AI31" s="681"/>
      <c r="AJ31" s="681">
        <v>0</v>
      </c>
      <c r="AK31" s="681">
        <v>0</v>
      </c>
      <c r="AL31" s="681">
        <v>194984</v>
      </c>
      <c r="AM31" s="682">
        <v>194984</v>
      </c>
      <c r="AO31" s="679">
        <v>220</v>
      </c>
      <c r="AP31" s="709" t="s">
        <v>283</v>
      </c>
      <c r="AQ31" s="681">
        <v>36210</v>
      </c>
      <c r="AR31" s="681"/>
      <c r="AS31" s="681"/>
      <c r="AT31" s="681">
        <v>97000</v>
      </c>
      <c r="AU31" s="681">
        <v>-60790</v>
      </c>
      <c r="AV31" s="681"/>
      <c r="AW31" s="681">
        <v>0</v>
      </c>
      <c r="AX31" s="681">
        <v>0</v>
      </c>
      <c r="AY31" s="681">
        <v>36210</v>
      </c>
      <c r="AZ31" s="682">
        <v>36210</v>
      </c>
      <c r="BB31" s="679">
        <v>220</v>
      </c>
      <c r="BC31" s="702" t="s">
        <v>283</v>
      </c>
      <c r="BD31" s="703">
        <v>0</v>
      </c>
      <c r="BE31" s="703"/>
      <c r="BF31" s="703"/>
      <c r="BG31" s="703">
        <v>97000</v>
      </c>
      <c r="BH31" s="703">
        <v>-97000</v>
      </c>
      <c r="BI31" s="703"/>
      <c r="BJ31" s="703">
        <v>0</v>
      </c>
      <c r="BK31" s="703">
        <v>0</v>
      </c>
      <c r="BL31" s="703">
        <v>0</v>
      </c>
      <c r="BM31" s="682">
        <v>0</v>
      </c>
      <c r="BN31" s="254"/>
      <c r="BO31" s="679">
        <v>220</v>
      </c>
      <c r="BP31" s="702" t="s">
        <v>283</v>
      </c>
      <c r="BQ31" s="703">
        <v>0</v>
      </c>
      <c r="BR31" s="703"/>
      <c r="BS31" s="703"/>
      <c r="BT31" s="703">
        <v>0</v>
      </c>
      <c r="BU31" s="703">
        <v>0</v>
      </c>
      <c r="BV31" s="703"/>
      <c r="BW31" s="703">
        <v>0</v>
      </c>
      <c r="BX31" s="703">
        <v>0</v>
      </c>
      <c r="BY31" s="703">
        <v>0</v>
      </c>
      <c r="BZ31" s="682">
        <v>0</v>
      </c>
    </row>
    <row r="32" spans="2:79" x14ac:dyDescent="0.25">
      <c r="B32" s="679">
        <v>230</v>
      </c>
      <c r="C32" s="680" t="s">
        <v>284</v>
      </c>
      <c r="D32" s="681">
        <v>-2598945.0299999998</v>
      </c>
      <c r="E32" s="681"/>
      <c r="F32" s="681"/>
      <c r="G32" s="681">
        <v>4163040</v>
      </c>
      <c r="H32" s="681">
        <v>-6761985.0300000003</v>
      </c>
      <c r="I32" s="681"/>
      <c r="J32" s="681">
        <v>0</v>
      </c>
      <c r="K32" s="681">
        <v>-6633632.0800000001</v>
      </c>
      <c r="L32" s="681">
        <v>-2598945.0299999998</v>
      </c>
      <c r="M32" s="682">
        <v>4034687.05</v>
      </c>
      <c r="O32" s="679">
        <v>230</v>
      </c>
      <c r="P32" s="702" t="s">
        <v>284</v>
      </c>
      <c r="Q32" s="703">
        <v>557785.19999999995</v>
      </c>
      <c r="R32" s="703"/>
      <c r="S32" s="703"/>
      <c r="T32" s="703">
        <v>508910</v>
      </c>
      <c r="U32" s="703">
        <v>48875.199999999997</v>
      </c>
      <c r="V32" s="703"/>
      <c r="W32" s="703">
        <v>400.68</v>
      </c>
      <c r="X32" s="703">
        <v>48870.96</v>
      </c>
      <c r="Y32" s="703">
        <v>557384.52</v>
      </c>
      <c r="Z32" s="703">
        <v>508914.24</v>
      </c>
      <c r="AB32" s="679">
        <v>230</v>
      </c>
      <c r="AC32" s="709" t="s">
        <v>284</v>
      </c>
      <c r="AD32" s="681">
        <v>2680757.41</v>
      </c>
      <c r="AE32" s="681"/>
      <c r="AF32" s="681"/>
      <c r="AG32" s="681">
        <v>2553460</v>
      </c>
      <c r="AH32" s="681">
        <v>127297.41</v>
      </c>
      <c r="AI32" s="681"/>
      <c r="AJ32" s="681">
        <v>20119.689999999999</v>
      </c>
      <c r="AK32" s="681">
        <v>84826.04</v>
      </c>
      <c r="AL32" s="681">
        <v>2660637.7200000002</v>
      </c>
      <c r="AM32" s="682">
        <v>2595931.37</v>
      </c>
      <c r="AO32" s="679">
        <v>230</v>
      </c>
      <c r="AP32" s="709" t="s">
        <v>284</v>
      </c>
      <c r="AQ32" s="681">
        <v>364429.76</v>
      </c>
      <c r="AR32" s="681"/>
      <c r="AS32" s="681"/>
      <c r="AT32" s="681">
        <v>508910</v>
      </c>
      <c r="AU32" s="681">
        <v>-144480.24</v>
      </c>
      <c r="AV32" s="681"/>
      <c r="AW32" s="681">
        <v>0.12</v>
      </c>
      <c r="AX32" s="681">
        <v>0.12</v>
      </c>
      <c r="AY32" s="681">
        <v>364429.64</v>
      </c>
      <c r="AZ32" s="682">
        <v>364429.64</v>
      </c>
      <c r="BB32" s="679">
        <v>230</v>
      </c>
      <c r="BC32" s="702" t="s">
        <v>284</v>
      </c>
      <c r="BD32" s="703">
        <v>449548.25</v>
      </c>
      <c r="BE32" s="703"/>
      <c r="BF32" s="703"/>
      <c r="BG32" s="703">
        <v>508910</v>
      </c>
      <c r="BH32" s="703">
        <v>-59361.75</v>
      </c>
      <c r="BI32" s="703"/>
      <c r="BJ32" s="703">
        <v>0</v>
      </c>
      <c r="BK32" s="703">
        <v>0</v>
      </c>
      <c r="BL32" s="703">
        <v>449548.25</v>
      </c>
      <c r="BM32" s="682">
        <v>449548.25</v>
      </c>
      <c r="BN32" s="254"/>
      <c r="BO32" s="679">
        <v>230</v>
      </c>
      <c r="BP32" s="702" t="s">
        <v>284</v>
      </c>
      <c r="BQ32" s="703">
        <v>0</v>
      </c>
      <c r="BR32" s="703"/>
      <c r="BS32" s="703"/>
      <c r="BT32" s="703">
        <v>0</v>
      </c>
      <c r="BU32" s="703">
        <v>0</v>
      </c>
      <c r="BV32" s="703"/>
      <c r="BW32" s="703">
        <v>0</v>
      </c>
      <c r="BX32" s="703">
        <v>0</v>
      </c>
      <c r="BY32" s="703">
        <v>0</v>
      </c>
      <c r="BZ32" s="682">
        <v>0</v>
      </c>
    </row>
    <row r="33" spans="2:79" x14ac:dyDescent="0.25">
      <c r="B33" s="679">
        <v>240</v>
      </c>
      <c r="C33" s="680" t="s">
        <v>285</v>
      </c>
      <c r="D33" s="681">
        <v>-1706233.19</v>
      </c>
      <c r="E33" s="681"/>
      <c r="F33" s="681"/>
      <c r="G33" s="681">
        <v>-1687630</v>
      </c>
      <c r="H33" s="681">
        <v>-18603.189999999999</v>
      </c>
      <c r="I33" s="681"/>
      <c r="J33" s="681">
        <v>0</v>
      </c>
      <c r="K33" s="681">
        <v>-4300.6400000000003</v>
      </c>
      <c r="L33" s="681">
        <v>-1706233.19</v>
      </c>
      <c r="M33" s="682">
        <v>-1701932.55</v>
      </c>
      <c r="O33" s="679">
        <v>240</v>
      </c>
      <c r="P33" s="702" t="s">
        <v>285</v>
      </c>
      <c r="Q33" s="703">
        <v>-77756.94</v>
      </c>
      <c r="R33" s="703"/>
      <c r="S33" s="703"/>
      <c r="T33" s="703">
        <v>-459510</v>
      </c>
      <c r="U33" s="703">
        <v>381753.06</v>
      </c>
      <c r="V33" s="703"/>
      <c r="W33" s="703">
        <v>-457.33</v>
      </c>
      <c r="X33" s="703">
        <v>-2743.98</v>
      </c>
      <c r="Y33" s="703">
        <v>-77299.61</v>
      </c>
      <c r="Z33" s="703">
        <v>-75012.960000000006</v>
      </c>
      <c r="AB33" s="679">
        <v>240</v>
      </c>
      <c r="AC33" s="709" t="s">
        <v>285</v>
      </c>
      <c r="AD33" s="681">
        <v>-703793.28</v>
      </c>
      <c r="AE33" s="681"/>
      <c r="AF33" s="681"/>
      <c r="AG33" s="681">
        <v>-634600</v>
      </c>
      <c r="AH33" s="681">
        <v>-69193.279999999999</v>
      </c>
      <c r="AI33" s="681"/>
      <c r="AJ33" s="681">
        <v>-999.96</v>
      </c>
      <c r="AK33" s="681">
        <v>-5999.76</v>
      </c>
      <c r="AL33" s="681">
        <v>-702793.32</v>
      </c>
      <c r="AM33" s="682">
        <v>-697793.52</v>
      </c>
      <c r="AO33" s="679">
        <v>240</v>
      </c>
      <c r="AP33" s="709" t="s">
        <v>285</v>
      </c>
      <c r="AQ33" s="681">
        <v>-74014.53</v>
      </c>
      <c r="AR33" s="681"/>
      <c r="AS33" s="681"/>
      <c r="AT33" s="681">
        <v>-459510</v>
      </c>
      <c r="AU33" s="681">
        <v>385495.47</v>
      </c>
      <c r="AV33" s="681"/>
      <c r="AW33" s="681">
        <v>-1607.14</v>
      </c>
      <c r="AX33" s="681">
        <v>-9642.84</v>
      </c>
      <c r="AY33" s="681">
        <v>-72407.39</v>
      </c>
      <c r="AZ33" s="682">
        <v>-64371.69</v>
      </c>
      <c r="BB33" s="679">
        <v>240</v>
      </c>
      <c r="BC33" s="702" t="s">
        <v>285</v>
      </c>
      <c r="BD33" s="703">
        <v>-360609.13</v>
      </c>
      <c r="BE33" s="703"/>
      <c r="BF33" s="703"/>
      <c r="BG33" s="703">
        <v>-459510</v>
      </c>
      <c r="BH33" s="703">
        <v>98900.87</v>
      </c>
      <c r="BI33" s="703"/>
      <c r="BJ33" s="703">
        <v>0</v>
      </c>
      <c r="BK33" s="703">
        <v>-16666.560000000001</v>
      </c>
      <c r="BL33" s="703">
        <v>-360609.13</v>
      </c>
      <c r="BM33" s="682">
        <v>-343942.57</v>
      </c>
      <c r="BN33" s="254"/>
      <c r="BO33" s="679">
        <v>240</v>
      </c>
      <c r="BP33" s="702" t="s">
        <v>285</v>
      </c>
      <c r="BQ33" s="703">
        <v>-61303.8</v>
      </c>
      <c r="BR33" s="703"/>
      <c r="BS33" s="703"/>
      <c r="BT33" s="703">
        <v>0</v>
      </c>
      <c r="BU33" s="703">
        <v>-61303.8</v>
      </c>
      <c r="BV33" s="703"/>
      <c r="BW33" s="703">
        <v>0</v>
      </c>
      <c r="BX33" s="703">
        <v>0</v>
      </c>
      <c r="BY33" s="703">
        <v>-61303.8</v>
      </c>
      <c r="BZ33" s="682">
        <v>-61303.8</v>
      </c>
    </row>
    <row r="34" spans="2:79" x14ac:dyDescent="0.25">
      <c r="B34" s="679">
        <v>250</v>
      </c>
      <c r="C34" s="680" t="s">
        <v>286</v>
      </c>
      <c r="D34" s="681">
        <v>-3833554.68</v>
      </c>
      <c r="E34" s="681"/>
      <c r="F34" s="681"/>
      <c r="G34" s="681">
        <v>2947030</v>
      </c>
      <c r="H34" s="681">
        <v>-6780584.6799999997</v>
      </c>
      <c r="I34" s="681"/>
      <c r="J34" s="681">
        <v>0</v>
      </c>
      <c r="K34" s="681">
        <v>-6637932.7199999997</v>
      </c>
      <c r="L34" s="681">
        <v>-3833554.68</v>
      </c>
      <c r="M34" s="682">
        <v>2804378.04</v>
      </c>
      <c r="O34" s="679">
        <v>250</v>
      </c>
      <c r="P34" s="702" t="s">
        <v>286</v>
      </c>
      <c r="Q34" s="703">
        <v>577028.26</v>
      </c>
      <c r="R34" s="703"/>
      <c r="S34" s="703"/>
      <c r="T34" s="703">
        <v>146400</v>
      </c>
      <c r="U34" s="703">
        <v>430628.26</v>
      </c>
      <c r="V34" s="703"/>
      <c r="W34" s="703">
        <v>-56.65</v>
      </c>
      <c r="X34" s="703">
        <v>46126.98</v>
      </c>
      <c r="Y34" s="703">
        <v>577084.91</v>
      </c>
      <c r="Z34" s="703">
        <v>530901.28</v>
      </c>
      <c r="AB34" s="679">
        <v>250</v>
      </c>
      <c r="AC34" s="709" t="s">
        <v>286</v>
      </c>
      <c r="AD34" s="681">
        <v>2171948.13</v>
      </c>
      <c r="AE34" s="681"/>
      <c r="AF34" s="681"/>
      <c r="AG34" s="681">
        <v>2113840</v>
      </c>
      <c r="AH34" s="681">
        <v>58108.13</v>
      </c>
      <c r="AI34" s="681"/>
      <c r="AJ34" s="681">
        <v>19119.73</v>
      </c>
      <c r="AK34" s="681">
        <v>78826.28</v>
      </c>
      <c r="AL34" s="681">
        <v>2152828.4</v>
      </c>
      <c r="AM34" s="682">
        <v>2093121.85</v>
      </c>
      <c r="AO34" s="679">
        <v>250</v>
      </c>
      <c r="AP34" s="709" t="s">
        <v>286</v>
      </c>
      <c r="AQ34" s="681">
        <v>326625.23</v>
      </c>
      <c r="AR34" s="681"/>
      <c r="AS34" s="681"/>
      <c r="AT34" s="681">
        <v>146400</v>
      </c>
      <c r="AU34" s="681">
        <v>180225.23</v>
      </c>
      <c r="AV34" s="681"/>
      <c r="AW34" s="681">
        <v>-1607.02</v>
      </c>
      <c r="AX34" s="681">
        <v>-9642.7199999999993</v>
      </c>
      <c r="AY34" s="681">
        <v>328232.25</v>
      </c>
      <c r="AZ34" s="682">
        <v>336267.95</v>
      </c>
      <c r="BB34" s="679">
        <v>250</v>
      </c>
      <c r="BC34" s="702" t="s">
        <v>286</v>
      </c>
      <c r="BD34" s="703">
        <v>88939.12</v>
      </c>
      <c r="BE34" s="703"/>
      <c r="BF34" s="703"/>
      <c r="BG34" s="703">
        <v>146400</v>
      </c>
      <c r="BH34" s="703">
        <v>-57460.88</v>
      </c>
      <c r="BI34" s="703"/>
      <c r="BJ34" s="703">
        <v>0</v>
      </c>
      <c r="BK34" s="703">
        <v>-16666.560000000001</v>
      </c>
      <c r="BL34" s="703">
        <v>88939.12</v>
      </c>
      <c r="BM34" s="682">
        <v>105605.68</v>
      </c>
      <c r="BN34" s="254"/>
      <c r="BO34" s="679">
        <v>250</v>
      </c>
      <c r="BP34" s="702" t="s">
        <v>286</v>
      </c>
      <c r="BQ34" s="703">
        <v>-61303.8</v>
      </c>
      <c r="BR34" s="703"/>
      <c r="BS34" s="703"/>
      <c r="BT34" s="703">
        <v>0</v>
      </c>
      <c r="BU34" s="703">
        <v>-61303.8</v>
      </c>
      <c r="BV34" s="703"/>
      <c r="BW34" s="703">
        <v>0</v>
      </c>
      <c r="BX34" s="703">
        <v>0</v>
      </c>
      <c r="BY34" s="703">
        <v>-61303.8</v>
      </c>
      <c r="BZ34" s="682">
        <v>-61303.8</v>
      </c>
    </row>
    <row r="35" spans="2:79" x14ac:dyDescent="0.25">
      <c r="B35" s="679">
        <v>260</v>
      </c>
      <c r="C35" s="680" t="s">
        <v>287</v>
      </c>
      <c r="D35" s="681">
        <v>0</v>
      </c>
      <c r="E35" s="681"/>
      <c r="F35" s="681"/>
      <c r="G35" s="681">
        <v>0</v>
      </c>
      <c r="H35" s="681">
        <v>0</v>
      </c>
      <c r="I35" s="681"/>
      <c r="J35" s="681">
        <v>0</v>
      </c>
      <c r="K35" s="681">
        <v>0</v>
      </c>
      <c r="L35" s="681">
        <v>0</v>
      </c>
      <c r="M35" s="682">
        <v>0</v>
      </c>
      <c r="O35" s="679">
        <v>260</v>
      </c>
      <c r="P35" s="702" t="s">
        <v>287</v>
      </c>
      <c r="Q35" s="703">
        <v>0</v>
      </c>
      <c r="R35" s="703"/>
      <c r="S35" s="703"/>
      <c r="T35" s="703">
        <v>0</v>
      </c>
      <c r="U35" s="703">
        <v>0</v>
      </c>
      <c r="V35" s="703"/>
      <c r="W35" s="703">
        <v>0</v>
      </c>
      <c r="X35" s="703">
        <v>0</v>
      </c>
      <c r="Y35" s="703">
        <v>0</v>
      </c>
      <c r="Z35" s="703">
        <v>0</v>
      </c>
      <c r="AB35" s="679">
        <v>260</v>
      </c>
      <c r="AC35" s="709" t="s">
        <v>287</v>
      </c>
      <c r="AD35" s="681">
        <v>0</v>
      </c>
      <c r="AE35" s="681"/>
      <c r="AF35" s="681"/>
      <c r="AG35" s="681">
        <v>0</v>
      </c>
      <c r="AH35" s="681">
        <v>0</v>
      </c>
      <c r="AI35" s="681"/>
      <c r="AJ35" s="681">
        <v>0</v>
      </c>
      <c r="AK35" s="681">
        <v>0</v>
      </c>
      <c r="AL35" s="681">
        <v>0</v>
      </c>
      <c r="AM35" s="682">
        <v>0</v>
      </c>
      <c r="AO35" s="679">
        <v>260</v>
      </c>
      <c r="AP35" s="709" t="s">
        <v>287</v>
      </c>
      <c r="AQ35" s="681">
        <v>0</v>
      </c>
      <c r="AR35" s="681"/>
      <c r="AS35" s="681"/>
      <c r="AT35" s="681">
        <v>0</v>
      </c>
      <c r="AU35" s="681">
        <v>0</v>
      </c>
      <c r="AV35" s="681"/>
      <c r="AW35" s="681">
        <v>0</v>
      </c>
      <c r="AX35" s="681">
        <v>0</v>
      </c>
      <c r="AY35" s="681">
        <v>0</v>
      </c>
      <c r="AZ35" s="682">
        <v>0</v>
      </c>
      <c r="BB35" s="679">
        <v>260</v>
      </c>
      <c r="BC35" s="702" t="s">
        <v>287</v>
      </c>
      <c r="BD35" s="703">
        <v>0</v>
      </c>
      <c r="BE35" s="703"/>
      <c r="BF35" s="703"/>
      <c r="BG35" s="703">
        <v>0</v>
      </c>
      <c r="BH35" s="703">
        <v>0</v>
      </c>
      <c r="BI35" s="703"/>
      <c r="BJ35" s="703">
        <v>0</v>
      </c>
      <c r="BK35" s="703">
        <v>0</v>
      </c>
      <c r="BL35" s="703">
        <v>0</v>
      </c>
      <c r="BM35" s="682">
        <v>0</v>
      </c>
      <c r="BN35" s="254"/>
      <c r="BO35" s="679">
        <v>260</v>
      </c>
      <c r="BP35" s="702" t="s">
        <v>287</v>
      </c>
      <c r="BQ35" s="703">
        <v>0</v>
      </c>
      <c r="BR35" s="703"/>
      <c r="BS35" s="703"/>
      <c r="BT35" s="703">
        <v>0</v>
      </c>
      <c r="BU35" s="703">
        <v>0</v>
      </c>
      <c r="BV35" s="703"/>
      <c r="BW35" s="703">
        <v>0</v>
      </c>
      <c r="BX35" s="703">
        <v>0</v>
      </c>
      <c r="BY35" s="703">
        <v>0</v>
      </c>
      <c r="BZ35" s="682">
        <v>0</v>
      </c>
    </row>
    <row r="36" spans="2:79" hidden="1" x14ac:dyDescent="0.25">
      <c r="B36" s="679">
        <v>270</v>
      </c>
      <c r="C36" s="680" t="s">
        <v>288</v>
      </c>
      <c r="D36" s="681">
        <v>64811.8</v>
      </c>
      <c r="E36" s="681"/>
      <c r="F36" s="681"/>
      <c r="G36" s="681">
        <v>0</v>
      </c>
      <c r="H36" s="681">
        <v>64811.8</v>
      </c>
      <c r="I36" s="681"/>
      <c r="J36" s="681">
        <v>0</v>
      </c>
      <c r="K36" s="681">
        <v>-21930.1</v>
      </c>
      <c r="L36" s="681">
        <v>64811.8</v>
      </c>
      <c r="M36" s="682">
        <v>86741.9</v>
      </c>
      <c r="O36" s="679">
        <v>270</v>
      </c>
      <c r="P36" s="704" t="s">
        <v>288</v>
      </c>
      <c r="Q36" s="703">
        <v>23247.52</v>
      </c>
      <c r="R36" s="703"/>
      <c r="S36" s="703"/>
      <c r="T36" s="703">
        <v>0</v>
      </c>
      <c r="U36" s="703">
        <v>23247.52</v>
      </c>
      <c r="V36" s="703"/>
      <c r="W36" s="703">
        <v>0</v>
      </c>
      <c r="X36" s="703">
        <v>0</v>
      </c>
      <c r="Y36" s="703">
        <v>23247.52</v>
      </c>
      <c r="Z36" s="703">
        <v>23247.52</v>
      </c>
      <c r="AB36" s="679">
        <v>270</v>
      </c>
      <c r="AC36" s="680" t="s">
        <v>288</v>
      </c>
      <c r="AD36" s="681">
        <v>27897.34</v>
      </c>
      <c r="AE36" s="681"/>
      <c r="AF36" s="681"/>
      <c r="AG36" s="681">
        <v>0</v>
      </c>
      <c r="AH36" s="681">
        <v>27897.34</v>
      </c>
      <c r="AI36" s="681"/>
      <c r="AJ36" s="681">
        <v>0</v>
      </c>
      <c r="AK36" s="681">
        <v>0</v>
      </c>
      <c r="AL36" s="681">
        <v>27897.34</v>
      </c>
      <c r="AM36" s="682">
        <v>27897.34</v>
      </c>
      <c r="AO36" s="679">
        <v>270</v>
      </c>
      <c r="AP36" s="680" t="s">
        <v>288</v>
      </c>
      <c r="AQ36" s="681">
        <v>36013</v>
      </c>
      <c r="AR36" s="681"/>
      <c r="AS36" s="681"/>
      <c r="AT36" s="681">
        <v>0</v>
      </c>
      <c r="AU36" s="681">
        <v>36013</v>
      </c>
      <c r="AV36" s="681"/>
      <c r="AW36" s="681">
        <v>0</v>
      </c>
      <c r="AX36" s="681">
        <v>0</v>
      </c>
      <c r="AY36" s="681">
        <v>36013</v>
      </c>
      <c r="AZ36" s="682">
        <v>36013</v>
      </c>
      <c r="BB36" s="679">
        <v>270</v>
      </c>
      <c r="BC36" s="704" t="s">
        <v>288</v>
      </c>
      <c r="BD36" s="703">
        <v>23666.67</v>
      </c>
      <c r="BE36" s="703"/>
      <c r="BF36" s="703"/>
      <c r="BG36" s="703">
        <v>0</v>
      </c>
      <c r="BH36" s="703">
        <v>23666.67</v>
      </c>
      <c r="BI36" s="703"/>
      <c r="BJ36" s="703">
        <v>0</v>
      </c>
      <c r="BK36" s="703">
        <v>0</v>
      </c>
      <c r="BL36" s="703">
        <v>23666.67</v>
      </c>
      <c r="BM36" s="682">
        <v>23666.67</v>
      </c>
      <c r="BN36" s="254"/>
      <c r="BO36" s="679">
        <v>270</v>
      </c>
      <c r="BP36" s="704" t="s">
        <v>288</v>
      </c>
      <c r="BQ36" s="703">
        <v>10000</v>
      </c>
      <c r="BR36" s="703"/>
      <c r="BS36" s="703"/>
      <c r="BT36" s="703">
        <v>0</v>
      </c>
      <c r="BU36" s="703">
        <v>10000</v>
      </c>
      <c r="BV36" s="703"/>
      <c r="BW36" s="703">
        <v>0</v>
      </c>
      <c r="BX36" s="703">
        <v>0</v>
      </c>
      <c r="BY36" s="703">
        <v>10000</v>
      </c>
      <c r="BZ36" s="682">
        <v>10000</v>
      </c>
    </row>
    <row r="37" spans="2:79" x14ac:dyDescent="0.25">
      <c r="B37" s="679">
        <v>280</v>
      </c>
      <c r="C37" s="680" t="s">
        <v>289</v>
      </c>
      <c r="D37" s="681">
        <v>64811.8</v>
      </c>
      <c r="E37" s="681"/>
      <c r="F37" s="681"/>
      <c r="G37" s="681">
        <v>0</v>
      </c>
      <c r="H37" s="681">
        <v>64811.8</v>
      </c>
      <c r="I37" s="681"/>
      <c r="J37" s="681">
        <v>0</v>
      </c>
      <c r="K37" s="681">
        <v>-21930.1</v>
      </c>
      <c r="L37" s="681">
        <v>64811.8</v>
      </c>
      <c r="M37" s="682">
        <v>86741.9</v>
      </c>
      <c r="O37" s="679">
        <v>280</v>
      </c>
      <c r="P37" s="704" t="s">
        <v>289</v>
      </c>
      <c r="Q37" s="703">
        <v>23247.52</v>
      </c>
      <c r="R37" s="703"/>
      <c r="S37" s="703"/>
      <c r="T37" s="703">
        <v>0</v>
      </c>
      <c r="U37" s="703">
        <v>23247.52</v>
      </c>
      <c r="V37" s="703"/>
      <c r="W37" s="703">
        <v>0</v>
      </c>
      <c r="X37" s="703">
        <v>0</v>
      </c>
      <c r="Y37" s="703">
        <v>23247.52</v>
      </c>
      <c r="Z37" s="703">
        <v>23247.52</v>
      </c>
      <c r="AB37" s="679">
        <v>280</v>
      </c>
      <c r="AC37" s="680" t="s">
        <v>289</v>
      </c>
      <c r="AD37" s="681">
        <v>27897.34</v>
      </c>
      <c r="AE37" s="681"/>
      <c r="AF37" s="681"/>
      <c r="AG37" s="681">
        <v>0</v>
      </c>
      <c r="AH37" s="681">
        <v>27897.34</v>
      </c>
      <c r="AI37" s="681"/>
      <c r="AJ37" s="681">
        <v>0</v>
      </c>
      <c r="AK37" s="681">
        <v>0</v>
      </c>
      <c r="AL37" s="681">
        <v>27897.34</v>
      </c>
      <c r="AM37" s="682">
        <v>27897.34</v>
      </c>
      <c r="AO37" s="679">
        <v>280</v>
      </c>
      <c r="AP37" s="680" t="s">
        <v>289</v>
      </c>
      <c r="AQ37" s="681">
        <v>36013</v>
      </c>
      <c r="AR37" s="681"/>
      <c r="AS37" s="681"/>
      <c r="AT37" s="681">
        <v>0</v>
      </c>
      <c r="AU37" s="681">
        <v>36013</v>
      </c>
      <c r="AV37" s="681"/>
      <c r="AW37" s="681">
        <v>0</v>
      </c>
      <c r="AX37" s="681">
        <v>0</v>
      </c>
      <c r="AY37" s="681">
        <v>36013</v>
      </c>
      <c r="AZ37" s="682">
        <v>36013</v>
      </c>
      <c r="BB37" s="679">
        <v>280</v>
      </c>
      <c r="BC37" s="704" t="s">
        <v>289</v>
      </c>
      <c r="BD37" s="703">
        <v>23666.67</v>
      </c>
      <c r="BE37" s="703"/>
      <c r="BF37" s="703"/>
      <c r="BG37" s="703">
        <v>0</v>
      </c>
      <c r="BH37" s="703">
        <v>23666.67</v>
      </c>
      <c r="BI37" s="703"/>
      <c r="BJ37" s="703">
        <v>0</v>
      </c>
      <c r="BK37" s="703">
        <v>0</v>
      </c>
      <c r="BL37" s="703">
        <v>23666.67</v>
      </c>
      <c r="BM37" s="682">
        <v>23666.67</v>
      </c>
      <c r="BN37" s="254"/>
      <c r="BO37" s="679">
        <v>280</v>
      </c>
      <c r="BP37" s="704" t="s">
        <v>289</v>
      </c>
      <c r="BQ37" s="703">
        <v>10000</v>
      </c>
      <c r="BR37" s="703"/>
      <c r="BS37" s="703"/>
      <c r="BT37" s="703">
        <v>0</v>
      </c>
      <c r="BU37" s="703">
        <v>10000</v>
      </c>
      <c r="BV37" s="703"/>
      <c r="BW37" s="703">
        <v>0</v>
      </c>
      <c r="BX37" s="703">
        <v>0</v>
      </c>
      <c r="BY37" s="703">
        <v>10000</v>
      </c>
      <c r="BZ37" s="682">
        <v>10000</v>
      </c>
    </row>
    <row r="38" spans="2:79" s="111" customFormat="1" ht="13" x14ac:dyDescent="0.3">
      <c r="B38" s="679">
        <v>400</v>
      </c>
      <c r="C38" s="680" t="s">
        <v>290</v>
      </c>
      <c r="D38" s="681">
        <v>561305.17000000004</v>
      </c>
      <c r="E38" s="681"/>
      <c r="F38" s="681"/>
      <c r="G38" s="681">
        <v>7681198</v>
      </c>
      <c r="H38" s="681">
        <v>-7119892.8300000001</v>
      </c>
      <c r="I38" s="681"/>
      <c r="J38" s="681">
        <v>13621.97</v>
      </c>
      <c r="K38" s="681">
        <v>-6466544.1200000001</v>
      </c>
      <c r="L38" s="681">
        <v>547683.19999999995</v>
      </c>
      <c r="M38" s="682">
        <v>7027849.29</v>
      </c>
      <c r="N38" s="253"/>
      <c r="O38" s="662">
        <v>400</v>
      </c>
      <c r="P38" s="671" t="s">
        <v>290</v>
      </c>
      <c r="Q38" s="701">
        <v>590217.82999999996</v>
      </c>
      <c r="R38" s="701"/>
      <c r="S38" s="701"/>
      <c r="T38" s="701">
        <v>607463</v>
      </c>
      <c r="U38" s="701">
        <v>-17245.169999999998</v>
      </c>
      <c r="V38" s="701"/>
      <c r="W38" s="701">
        <v>-23220.45</v>
      </c>
      <c r="X38" s="701">
        <v>4574.79</v>
      </c>
      <c r="Y38" s="701">
        <v>613438.28</v>
      </c>
      <c r="Z38" s="701">
        <v>585643.04</v>
      </c>
      <c r="AA38" s="253"/>
      <c r="AB38" s="662">
        <v>400</v>
      </c>
      <c r="AC38" s="663" t="s">
        <v>290</v>
      </c>
      <c r="AD38" s="707">
        <v>3871475.47</v>
      </c>
      <c r="AE38" s="707"/>
      <c r="AF38" s="707"/>
      <c r="AG38" s="707">
        <v>3942870</v>
      </c>
      <c r="AH38" s="707">
        <v>-71394.53</v>
      </c>
      <c r="AI38" s="707"/>
      <c r="AJ38" s="707">
        <v>-114343.03999999999</v>
      </c>
      <c r="AK38" s="707">
        <v>156155.72</v>
      </c>
      <c r="AL38" s="707">
        <v>3985818.51</v>
      </c>
      <c r="AM38" s="708">
        <v>3715319.75</v>
      </c>
      <c r="AN38" s="253"/>
      <c r="AO38" s="662">
        <v>400</v>
      </c>
      <c r="AP38" s="663" t="s">
        <v>290</v>
      </c>
      <c r="AQ38" s="707">
        <v>393278.65</v>
      </c>
      <c r="AR38" s="707"/>
      <c r="AS38" s="707"/>
      <c r="AT38" s="707">
        <v>607463</v>
      </c>
      <c r="AU38" s="707">
        <v>-214184.35</v>
      </c>
      <c r="AV38" s="707"/>
      <c r="AW38" s="707">
        <v>13710.53</v>
      </c>
      <c r="AX38" s="707">
        <v>-11633.29</v>
      </c>
      <c r="AY38" s="707">
        <v>379568.12</v>
      </c>
      <c r="AZ38" s="708">
        <v>404911.94</v>
      </c>
      <c r="BB38" s="662">
        <v>400</v>
      </c>
      <c r="BC38" s="671" t="s">
        <v>290</v>
      </c>
      <c r="BD38" s="701">
        <v>348523.23</v>
      </c>
      <c r="BE38" s="701"/>
      <c r="BF38" s="701"/>
      <c r="BG38" s="701">
        <v>607463</v>
      </c>
      <c r="BH38" s="701">
        <v>-258939.77</v>
      </c>
      <c r="BI38" s="701"/>
      <c r="BJ38" s="701">
        <v>-6488.63</v>
      </c>
      <c r="BK38" s="701">
        <v>-41393.83</v>
      </c>
      <c r="BL38" s="701">
        <v>355011.86</v>
      </c>
      <c r="BM38" s="708">
        <v>389917.06</v>
      </c>
      <c r="BN38" s="254"/>
      <c r="BO38" s="662">
        <v>400</v>
      </c>
      <c r="BP38" s="671" t="s">
        <v>290</v>
      </c>
      <c r="BQ38" s="701">
        <v>11399346.41</v>
      </c>
      <c r="BR38" s="701"/>
      <c r="BS38" s="701"/>
      <c r="BT38" s="701">
        <v>0</v>
      </c>
      <c r="BU38" s="701">
        <v>11399346.41</v>
      </c>
      <c r="BV38" s="701"/>
      <c r="BW38" s="701">
        <v>-186130.47</v>
      </c>
      <c r="BX38" s="701">
        <v>-65024.08</v>
      </c>
      <c r="BY38" s="701">
        <v>11585476.880000001</v>
      </c>
      <c r="BZ38" s="708">
        <v>11464370.49</v>
      </c>
      <c r="CA38" s="120"/>
    </row>
    <row r="39" spans="2:79" s="111" customFormat="1" ht="13" x14ac:dyDescent="0.3">
      <c r="B39" s="679">
        <v>410</v>
      </c>
      <c r="C39" s="680" t="s">
        <v>291</v>
      </c>
      <c r="D39" s="681">
        <v>0</v>
      </c>
      <c r="E39" s="681"/>
      <c r="F39" s="681"/>
      <c r="G39" s="681">
        <v>0</v>
      </c>
      <c r="H39" s="681">
        <v>0</v>
      </c>
      <c r="I39" s="681"/>
      <c r="J39" s="681">
        <v>0</v>
      </c>
      <c r="K39" s="681">
        <v>0</v>
      </c>
      <c r="L39" s="681">
        <v>0</v>
      </c>
      <c r="M39" s="682">
        <v>0</v>
      </c>
      <c r="N39" s="253"/>
      <c r="O39" s="662">
        <v>410</v>
      </c>
      <c r="P39" s="671" t="s">
        <v>291</v>
      </c>
      <c r="Q39" s="701">
        <v>0</v>
      </c>
      <c r="R39" s="701"/>
      <c r="S39" s="701"/>
      <c r="T39" s="701">
        <v>0</v>
      </c>
      <c r="U39" s="701">
        <v>0</v>
      </c>
      <c r="V39" s="701"/>
      <c r="W39" s="701">
        <v>0</v>
      </c>
      <c r="X39" s="701">
        <v>0</v>
      </c>
      <c r="Y39" s="701">
        <v>0</v>
      </c>
      <c r="Z39" s="701">
        <v>0</v>
      </c>
      <c r="AA39" s="253"/>
      <c r="AB39" s="662">
        <v>410</v>
      </c>
      <c r="AC39" s="663" t="s">
        <v>291</v>
      </c>
      <c r="AD39" s="707">
        <v>0</v>
      </c>
      <c r="AE39" s="707"/>
      <c r="AF39" s="707"/>
      <c r="AG39" s="707">
        <v>0</v>
      </c>
      <c r="AH39" s="707">
        <v>0</v>
      </c>
      <c r="AI39" s="707"/>
      <c r="AJ39" s="707">
        <v>0</v>
      </c>
      <c r="AK39" s="707">
        <v>0</v>
      </c>
      <c r="AL39" s="707">
        <v>0</v>
      </c>
      <c r="AM39" s="708">
        <v>0</v>
      </c>
      <c r="AN39" s="253"/>
      <c r="AO39" s="662">
        <v>410</v>
      </c>
      <c r="AP39" s="663" t="s">
        <v>291</v>
      </c>
      <c r="AQ39" s="707">
        <v>0</v>
      </c>
      <c r="AR39" s="707"/>
      <c r="AS39" s="707"/>
      <c r="AT39" s="707">
        <v>0</v>
      </c>
      <c r="AU39" s="707">
        <v>0</v>
      </c>
      <c r="AV39" s="707"/>
      <c r="AW39" s="707">
        <v>0</v>
      </c>
      <c r="AX39" s="707">
        <v>0</v>
      </c>
      <c r="AY39" s="707">
        <v>0</v>
      </c>
      <c r="AZ39" s="708">
        <v>0</v>
      </c>
      <c r="BB39" s="662">
        <v>410</v>
      </c>
      <c r="BC39" s="671" t="s">
        <v>291</v>
      </c>
      <c r="BD39" s="701">
        <v>0</v>
      </c>
      <c r="BE39" s="701"/>
      <c r="BF39" s="701"/>
      <c r="BG39" s="701">
        <v>0</v>
      </c>
      <c r="BH39" s="701">
        <v>0</v>
      </c>
      <c r="BI39" s="701"/>
      <c r="BJ39" s="701">
        <v>0</v>
      </c>
      <c r="BK39" s="701">
        <v>0</v>
      </c>
      <c r="BL39" s="701">
        <v>0</v>
      </c>
      <c r="BM39" s="708">
        <v>0</v>
      </c>
      <c r="BN39" s="254"/>
      <c r="BO39" s="662">
        <v>410</v>
      </c>
      <c r="BP39" s="671" t="s">
        <v>291</v>
      </c>
      <c r="BQ39" s="701">
        <v>0</v>
      </c>
      <c r="BR39" s="701"/>
      <c r="BS39" s="701"/>
      <c r="BT39" s="701">
        <v>0</v>
      </c>
      <c r="BU39" s="701">
        <v>0</v>
      </c>
      <c r="BV39" s="701"/>
      <c r="BW39" s="701">
        <v>0</v>
      </c>
      <c r="BX39" s="701">
        <v>0</v>
      </c>
      <c r="BY39" s="701">
        <v>0</v>
      </c>
      <c r="BZ39" s="708">
        <v>0</v>
      </c>
      <c r="CA39" s="120"/>
    </row>
    <row r="40" spans="2:79" x14ac:dyDescent="0.25">
      <c r="B40" s="679">
        <v>420</v>
      </c>
      <c r="C40" s="680" t="s">
        <v>292</v>
      </c>
      <c r="D40" s="681">
        <v>0</v>
      </c>
      <c r="E40" s="681"/>
      <c r="F40" s="681"/>
      <c r="G40" s="681">
        <v>208895</v>
      </c>
      <c r="H40" s="681">
        <v>-208895</v>
      </c>
      <c r="I40" s="681"/>
      <c r="J40" s="681">
        <v>-8826.66</v>
      </c>
      <c r="K40" s="681">
        <v>-348025.62</v>
      </c>
      <c r="L40" s="681">
        <v>8826.66</v>
      </c>
      <c r="M40" s="682">
        <v>348025.62</v>
      </c>
      <c r="O40" s="679">
        <v>420</v>
      </c>
      <c r="P40" s="702" t="s">
        <v>292</v>
      </c>
      <c r="Q40" s="703">
        <v>11001.53</v>
      </c>
      <c r="R40" s="703"/>
      <c r="S40" s="703"/>
      <c r="T40" s="703">
        <v>35874</v>
      </c>
      <c r="U40" s="703">
        <v>-24872.47</v>
      </c>
      <c r="V40" s="703"/>
      <c r="W40" s="703">
        <v>-1061.44</v>
      </c>
      <c r="X40" s="703">
        <v>-35709.14</v>
      </c>
      <c r="Y40" s="703">
        <v>12062.97</v>
      </c>
      <c r="Z40" s="703">
        <v>46710.67</v>
      </c>
      <c r="AB40" s="679">
        <v>420</v>
      </c>
      <c r="AC40" s="709" t="s">
        <v>292</v>
      </c>
      <c r="AD40" s="681">
        <v>51145.29</v>
      </c>
      <c r="AE40" s="681"/>
      <c r="AF40" s="681"/>
      <c r="AG40" s="681">
        <v>80752</v>
      </c>
      <c r="AH40" s="681">
        <v>-29606.71</v>
      </c>
      <c r="AI40" s="681"/>
      <c r="AJ40" s="681">
        <v>-33972.519999999997</v>
      </c>
      <c r="AK40" s="681">
        <v>-30881.74</v>
      </c>
      <c r="AL40" s="681">
        <v>85117.81</v>
      </c>
      <c r="AM40" s="682">
        <v>82027.03</v>
      </c>
      <c r="AO40" s="679">
        <v>420</v>
      </c>
      <c r="AP40" s="709" t="s">
        <v>292</v>
      </c>
      <c r="AQ40" s="681">
        <v>20235.11</v>
      </c>
      <c r="AR40" s="681"/>
      <c r="AS40" s="681"/>
      <c r="AT40" s="681">
        <v>35874</v>
      </c>
      <c r="AU40" s="681">
        <v>-15638.89</v>
      </c>
      <c r="AV40" s="681"/>
      <c r="AW40" s="681">
        <v>8846.7999999999993</v>
      </c>
      <c r="AX40" s="681">
        <v>964.02</v>
      </c>
      <c r="AY40" s="681">
        <v>11388.31</v>
      </c>
      <c r="AZ40" s="682">
        <v>19271.09</v>
      </c>
      <c r="BB40" s="679">
        <v>420</v>
      </c>
      <c r="BC40" s="702" t="s">
        <v>292</v>
      </c>
      <c r="BD40" s="703">
        <v>7297.31</v>
      </c>
      <c r="BE40" s="703"/>
      <c r="BF40" s="703"/>
      <c r="BG40" s="703">
        <v>35874</v>
      </c>
      <c r="BH40" s="703">
        <v>-28576.69</v>
      </c>
      <c r="BI40" s="703"/>
      <c r="BJ40" s="703">
        <v>-752.89</v>
      </c>
      <c r="BK40" s="703">
        <v>-8667.5</v>
      </c>
      <c r="BL40" s="703">
        <v>8050.2</v>
      </c>
      <c r="BM40" s="682">
        <v>15964.81</v>
      </c>
      <c r="BN40" s="254"/>
      <c r="BO40" s="679">
        <v>420</v>
      </c>
      <c r="BP40" s="702" t="s">
        <v>292</v>
      </c>
      <c r="BQ40" s="703">
        <v>48210.54</v>
      </c>
      <c r="BR40" s="703"/>
      <c r="BS40" s="703"/>
      <c r="BT40" s="703">
        <v>0</v>
      </c>
      <c r="BU40" s="703">
        <v>48210.54</v>
      </c>
      <c r="BV40" s="703"/>
      <c r="BW40" s="703">
        <v>0</v>
      </c>
      <c r="BX40" s="703">
        <v>11290.54</v>
      </c>
      <c r="BY40" s="703">
        <v>48210.54</v>
      </c>
      <c r="BZ40" s="682">
        <v>36920</v>
      </c>
    </row>
    <row r="41" spans="2:79" x14ac:dyDescent="0.25">
      <c r="B41" s="679">
        <v>430</v>
      </c>
      <c r="C41" s="680" t="s">
        <v>293</v>
      </c>
      <c r="D41" s="681">
        <v>87029.07</v>
      </c>
      <c r="E41" s="681"/>
      <c r="F41" s="681"/>
      <c r="G41" s="681">
        <v>640603</v>
      </c>
      <c r="H41" s="681">
        <v>-553573.93000000005</v>
      </c>
      <c r="I41" s="681"/>
      <c r="J41" s="681">
        <v>-12529.05</v>
      </c>
      <c r="K41" s="681">
        <v>-294192.21000000002</v>
      </c>
      <c r="L41" s="681">
        <v>99558.12</v>
      </c>
      <c r="M41" s="682">
        <v>381221.28</v>
      </c>
      <c r="O41" s="679">
        <v>430</v>
      </c>
      <c r="P41" s="702" t="s">
        <v>293</v>
      </c>
      <c r="Q41" s="703">
        <v>40068.25</v>
      </c>
      <c r="R41" s="703"/>
      <c r="S41" s="703"/>
      <c r="T41" s="703">
        <v>120000</v>
      </c>
      <c r="U41" s="703">
        <v>-79931.75</v>
      </c>
      <c r="V41" s="703"/>
      <c r="W41" s="703">
        <v>-25981.41</v>
      </c>
      <c r="X41" s="703">
        <v>-25612.080000000002</v>
      </c>
      <c r="Y41" s="703">
        <v>66049.66</v>
      </c>
      <c r="Z41" s="703">
        <v>65680.33</v>
      </c>
      <c r="AB41" s="679">
        <v>430</v>
      </c>
      <c r="AC41" s="709" t="s">
        <v>293</v>
      </c>
      <c r="AD41" s="681">
        <v>260.83</v>
      </c>
      <c r="AE41" s="681"/>
      <c r="AF41" s="681"/>
      <c r="AG41" s="681">
        <v>0</v>
      </c>
      <c r="AH41" s="681">
        <v>260.83</v>
      </c>
      <c r="AI41" s="681"/>
      <c r="AJ41" s="681">
        <v>0</v>
      </c>
      <c r="AK41" s="681">
        <v>0</v>
      </c>
      <c r="AL41" s="681">
        <v>260.83</v>
      </c>
      <c r="AM41" s="682">
        <v>260.83</v>
      </c>
      <c r="AO41" s="679">
        <v>430</v>
      </c>
      <c r="AP41" s="709" t="s">
        <v>293</v>
      </c>
      <c r="AQ41" s="681">
        <v>29861.94</v>
      </c>
      <c r="AR41" s="681"/>
      <c r="AS41" s="681"/>
      <c r="AT41" s="681">
        <v>120000</v>
      </c>
      <c r="AU41" s="681">
        <v>-90138.06</v>
      </c>
      <c r="AV41" s="681"/>
      <c r="AW41" s="681">
        <v>-30580.7</v>
      </c>
      <c r="AX41" s="681">
        <v>-12823.47</v>
      </c>
      <c r="AY41" s="681">
        <v>60442.64</v>
      </c>
      <c r="AZ41" s="682">
        <v>42685.41</v>
      </c>
      <c r="BB41" s="679">
        <v>430</v>
      </c>
      <c r="BC41" s="702" t="s">
        <v>293</v>
      </c>
      <c r="BD41" s="703">
        <v>2362.2199999999998</v>
      </c>
      <c r="BE41" s="703"/>
      <c r="BF41" s="703"/>
      <c r="BG41" s="703">
        <v>120000</v>
      </c>
      <c r="BH41" s="703">
        <v>-117637.78</v>
      </c>
      <c r="BI41" s="703"/>
      <c r="BJ41" s="703">
        <v>-42088.81</v>
      </c>
      <c r="BK41" s="703">
        <v>-10481.91</v>
      </c>
      <c r="BL41" s="703">
        <v>44451.03</v>
      </c>
      <c r="BM41" s="682">
        <v>12844.13</v>
      </c>
      <c r="BN41" s="254"/>
      <c r="BO41" s="679">
        <v>430</v>
      </c>
      <c r="BP41" s="702" t="s">
        <v>293</v>
      </c>
      <c r="BQ41" s="721">
        <v>18729.72</v>
      </c>
      <c r="BR41" s="703"/>
      <c r="BS41" s="703"/>
      <c r="BT41" s="703">
        <v>0</v>
      </c>
      <c r="BU41" s="703">
        <v>18729.72</v>
      </c>
      <c r="BV41" s="703"/>
      <c r="BW41" s="703">
        <v>6729.72</v>
      </c>
      <c r="BX41" s="703">
        <v>18729.72</v>
      </c>
      <c r="BY41" s="721">
        <v>12000</v>
      </c>
      <c r="BZ41" s="722">
        <v>0</v>
      </c>
    </row>
    <row r="42" spans="2:79" x14ac:dyDescent="0.25">
      <c r="B42" s="679">
        <v>440</v>
      </c>
      <c r="C42" s="680" t="s">
        <v>294</v>
      </c>
      <c r="D42" s="681">
        <v>0</v>
      </c>
      <c r="E42" s="681"/>
      <c r="F42" s="681"/>
      <c r="G42" s="681">
        <v>0</v>
      </c>
      <c r="H42" s="681">
        <v>0</v>
      </c>
      <c r="I42" s="681"/>
      <c r="J42" s="681">
        <v>0</v>
      </c>
      <c r="K42" s="681">
        <v>0</v>
      </c>
      <c r="L42" s="681">
        <v>0</v>
      </c>
      <c r="M42" s="682">
        <v>0</v>
      </c>
      <c r="O42" s="679">
        <v>440</v>
      </c>
      <c r="P42" s="704" t="s">
        <v>294</v>
      </c>
      <c r="Q42" s="703">
        <v>0</v>
      </c>
      <c r="R42" s="703"/>
      <c r="S42" s="703"/>
      <c r="T42" s="703">
        <v>127409</v>
      </c>
      <c r="U42" s="703">
        <v>-127409</v>
      </c>
      <c r="V42" s="703"/>
      <c r="W42" s="703">
        <v>0</v>
      </c>
      <c r="X42" s="703">
        <v>0</v>
      </c>
      <c r="Y42" s="703">
        <v>0</v>
      </c>
      <c r="Z42" s="703">
        <v>0</v>
      </c>
      <c r="AB42" s="679">
        <v>440</v>
      </c>
      <c r="AC42" s="680" t="s">
        <v>294</v>
      </c>
      <c r="AD42" s="681">
        <v>0</v>
      </c>
      <c r="AE42" s="681"/>
      <c r="AF42" s="681"/>
      <c r="AG42" s="681">
        <v>137186</v>
      </c>
      <c r="AH42" s="681">
        <v>-137186</v>
      </c>
      <c r="AI42" s="681"/>
      <c r="AJ42" s="681">
        <v>0</v>
      </c>
      <c r="AK42" s="681">
        <v>0</v>
      </c>
      <c r="AL42" s="681">
        <v>0</v>
      </c>
      <c r="AM42" s="682">
        <v>0</v>
      </c>
      <c r="AO42" s="679">
        <v>440</v>
      </c>
      <c r="AP42" s="680" t="s">
        <v>294</v>
      </c>
      <c r="AQ42" s="681">
        <v>0</v>
      </c>
      <c r="AR42" s="681"/>
      <c r="AS42" s="681"/>
      <c r="AT42" s="681">
        <v>127409</v>
      </c>
      <c r="AU42" s="681">
        <v>-127409</v>
      </c>
      <c r="AV42" s="681"/>
      <c r="AW42" s="681">
        <v>0</v>
      </c>
      <c r="AX42" s="681">
        <v>0</v>
      </c>
      <c r="AY42" s="681">
        <v>0</v>
      </c>
      <c r="AZ42" s="682">
        <v>0</v>
      </c>
      <c r="BB42" s="679">
        <v>440</v>
      </c>
      <c r="BC42" s="704" t="s">
        <v>294</v>
      </c>
      <c r="BD42" s="703">
        <v>0</v>
      </c>
      <c r="BE42" s="703"/>
      <c r="BF42" s="703"/>
      <c r="BG42" s="703">
        <v>127409</v>
      </c>
      <c r="BH42" s="703">
        <v>-127409</v>
      </c>
      <c r="BI42" s="703"/>
      <c r="BJ42" s="703">
        <v>0</v>
      </c>
      <c r="BK42" s="703">
        <v>0</v>
      </c>
      <c r="BL42" s="703">
        <v>0</v>
      </c>
      <c r="BM42" s="682">
        <v>0</v>
      </c>
      <c r="BN42" s="254"/>
      <c r="BO42" s="679">
        <v>440</v>
      </c>
      <c r="BP42" s="704" t="s">
        <v>294</v>
      </c>
      <c r="BQ42" s="703">
        <v>0</v>
      </c>
      <c r="BR42" s="703"/>
      <c r="BS42" s="703"/>
      <c r="BT42" s="703">
        <v>0</v>
      </c>
      <c r="BU42" s="703">
        <v>0</v>
      </c>
      <c r="BV42" s="703"/>
      <c r="BW42" s="703">
        <v>0</v>
      </c>
      <c r="BX42" s="703">
        <v>0</v>
      </c>
      <c r="BY42" s="703">
        <v>0</v>
      </c>
      <c r="BZ42" s="682">
        <v>0</v>
      </c>
    </row>
    <row r="43" spans="2:79" x14ac:dyDescent="0.25">
      <c r="B43" s="679">
        <v>450</v>
      </c>
      <c r="C43" s="680" t="s">
        <v>295</v>
      </c>
      <c r="D43" s="681">
        <v>0</v>
      </c>
      <c r="E43" s="681"/>
      <c r="F43" s="681"/>
      <c r="G43" s="681">
        <v>0</v>
      </c>
      <c r="H43" s="681">
        <v>0</v>
      </c>
      <c r="I43" s="681"/>
      <c r="J43" s="681">
        <v>-729.88</v>
      </c>
      <c r="K43" s="681">
        <v>-134521.91</v>
      </c>
      <c r="L43" s="681">
        <v>729.88</v>
      </c>
      <c r="M43" s="682">
        <v>134521.91</v>
      </c>
      <c r="O43" s="679">
        <v>450</v>
      </c>
      <c r="P43" s="702" t="s">
        <v>295</v>
      </c>
      <c r="Q43" s="703">
        <v>50657.87</v>
      </c>
      <c r="R43" s="703"/>
      <c r="S43" s="703"/>
      <c r="T43" s="703">
        <v>0</v>
      </c>
      <c r="U43" s="703">
        <v>50657.87</v>
      </c>
      <c r="V43" s="703"/>
      <c r="W43" s="703">
        <v>7600.1</v>
      </c>
      <c r="X43" s="703">
        <v>13840.37</v>
      </c>
      <c r="Y43" s="703">
        <v>43057.77</v>
      </c>
      <c r="Z43" s="703">
        <v>36817.5</v>
      </c>
      <c r="AB43" s="679">
        <v>450</v>
      </c>
      <c r="AC43" s="709" t="s">
        <v>295</v>
      </c>
      <c r="AD43" s="681">
        <v>-24732.67</v>
      </c>
      <c r="AE43" s="681"/>
      <c r="AF43" s="681"/>
      <c r="AG43" s="681">
        <v>1154</v>
      </c>
      <c r="AH43" s="681">
        <v>-25886.67</v>
      </c>
      <c r="AI43" s="681"/>
      <c r="AJ43" s="681">
        <v>-57024.9</v>
      </c>
      <c r="AK43" s="681">
        <v>-21486.080000000002</v>
      </c>
      <c r="AL43" s="681">
        <v>32292.23</v>
      </c>
      <c r="AM43" s="682">
        <v>-3246.59</v>
      </c>
      <c r="AO43" s="679">
        <v>450</v>
      </c>
      <c r="AP43" s="709" t="s">
        <v>295</v>
      </c>
      <c r="AQ43" s="681">
        <v>1260.25</v>
      </c>
      <c r="AR43" s="681"/>
      <c r="AS43" s="681"/>
      <c r="AT43" s="681">
        <v>0</v>
      </c>
      <c r="AU43" s="681">
        <v>1260.25</v>
      </c>
      <c r="AV43" s="681"/>
      <c r="AW43" s="681">
        <v>6038.13</v>
      </c>
      <c r="AX43" s="681">
        <v>-11287.5</v>
      </c>
      <c r="AY43" s="681">
        <v>-4777.88</v>
      </c>
      <c r="AZ43" s="682">
        <v>12547.75</v>
      </c>
      <c r="BB43" s="679">
        <v>450</v>
      </c>
      <c r="BC43" s="702" t="s">
        <v>295</v>
      </c>
      <c r="BD43" s="703">
        <v>80794.559999999998</v>
      </c>
      <c r="BE43" s="703"/>
      <c r="BF43" s="703"/>
      <c r="BG43" s="703">
        <v>0</v>
      </c>
      <c r="BH43" s="703">
        <v>80794.559999999998</v>
      </c>
      <c r="BI43" s="703"/>
      <c r="BJ43" s="703">
        <v>9702.18</v>
      </c>
      <c r="BK43" s="703">
        <v>2787.07</v>
      </c>
      <c r="BL43" s="703">
        <v>71092.38</v>
      </c>
      <c r="BM43" s="682">
        <v>78007.490000000005</v>
      </c>
      <c r="BN43" s="254"/>
      <c r="BO43" s="679">
        <v>450</v>
      </c>
      <c r="BP43" s="702" t="s">
        <v>295</v>
      </c>
      <c r="BQ43" s="703">
        <v>0</v>
      </c>
      <c r="BR43" s="703"/>
      <c r="BS43" s="703"/>
      <c r="BT43" s="703">
        <v>0</v>
      </c>
      <c r="BU43" s="703">
        <v>0</v>
      </c>
      <c r="BV43" s="703"/>
      <c r="BW43" s="703">
        <v>0</v>
      </c>
      <c r="BX43" s="703">
        <v>0</v>
      </c>
      <c r="BY43" s="703">
        <v>0</v>
      </c>
      <c r="BZ43" s="682">
        <v>0</v>
      </c>
    </row>
    <row r="44" spans="2:79" x14ac:dyDescent="0.25">
      <c r="B44" s="679">
        <v>460</v>
      </c>
      <c r="C44" s="680" t="s">
        <v>296</v>
      </c>
      <c r="D44" s="681">
        <v>0</v>
      </c>
      <c r="E44" s="681"/>
      <c r="F44" s="681"/>
      <c r="G44" s="681">
        <v>0</v>
      </c>
      <c r="H44" s="681">
        <v>0</v>
      </c>
      <c r="I44" s="681"/>
      <c r="J44" s="681">
        <v>0</v>
      </c>
      <c r="K44" s="681">
        <v>0</v>
      </c>
      <c r="L44" s="681">
        <v>0</v>
      </c>
      <c r="M44" s="682">
        <v>0</v>
      </c>
      <c r="O44" s="679">
        <v>460</v>
      </c>
      <c r="P44" s="702" t="s">
        <v>296</v>
      </c>
      <c r="Q44" s="703">
        <v>0</v>
      </c>
      <c r="R44" s="703"/>
      <c r="S44" s="703"/>
      <c r="T44" s="703">
        <v>0</v>
      </c>
      <c r="U44" s="703">
        <v>0</v>
      </c>
      <c r="V44" s="703"/>
      <c r="W44" s="703">
        <v>0</v>
      </c>
      <c r="X44" s="703">
        <v>0</v>
      </c>
      <c r="Y44" s="703">
        <v>0</v>
      </c>
      <c r="Z44" s="703">
        <v>0</v>
      </c>
      <c r="AB44" s="679">
        <v>460</v>
      </c>
      <c r="AC44" s="709" t="s">
        <v>296</v>
      </c>
      <c r="AD44" s="681">
        <v>0</v>
      </c>
      <c r="AE44" s="681"/>
      <c r="AF44" s="681"/>
      <c r="AG44" s="681">
        <v>0</v>
      </c>
      <c r="AH44" s="681">
        <v>0</v>
      </c>
      <c r="AI44" s="681"/>
      <c r="AJ44" s="681">
        <v>0</v>
      </c>
      <c r="AK44" s="681">
        <v>0</v>
      </c>
      <c r="AL44" s="681">
        <v>0</v>
      </c>
      <c r="AM44" s="682">
        <v>0</v>
      </c>
      <c r="AO44" s="679">
        <v>460</v>
      </c>
      <c r="AP44" s="709" t="s">
        <v>296</v>
      </c>
      <c r="AQ44" s="681">
        <v>0</v>
      </c>
      <c r="AR44" s="681"/>
      <c r="AS44" s="681"/>
      <c r="AT44" s="681">
        <v>0</v>
      </c>
      <c r="AU44" s="681">
        <v>0</v>
      </c>
      <c r="AV44" s="681"/>
      <c r="AW44" s="681">
        <v>0</v>
      </c>
      <c r="AX44" s="681">
        <v>0</v>
      </c>
      <c r="AY44" s="681">
        <v>0</v>
      </c>
      <c r="AZ44" s="682">
        <v>0</v>
      </c>
      <c r="BB44" s="679">
        <v>460</v>
      </c>
      <c r="BC44" s="702" t="s">
        <v>296</v>
      </c>
      <c r="BD44" s="703">
        <v>0</v>
      </c>
      <c r="BE44" s="703"/>
      <c r="BF44" s="703"/>
      <c r="BG44" s="703">
        <v>0</v>
      </c>
      <c r="BH44" s="703">
        <v>0</v>
      </c>
      <c r="BI44" s="703"/>
      <c r="BJ44" s="703">
        <v>0</v>
      </c>
      <c r="BK44" s="703">
        <v>0</v>
      </c>
      <c r="BL44" s="703">
        <v>0</v>
      </c>
      <c r="BM44" s="682">
        <v>0</v>
      </c>
      <c r="BN44" s="254"/>
      <c r="BO44" s="679">
        <v>460</v>
      </c>
      <c r="BP44" s="702" t="s">
        <v>296</v>
      </c>
      <c r="BQ44" s="703">
        <v>510394</v>
      </c>
      <c r="BR44" s="703"/>
      <c r="BS44" s="703"/>
      <c r="BT44" s="703">
        <v>0</v>
      </c>
      <c r="BU44" s="703">
        <v>510394</v>
      </c>
      <c r="BV44" s="703"/>
      <c r="BW44" s="703">
        <v>9000</v>
      </c>
      <c r="BX44" s="703">
        <v>25000</v>
      </c>
      <c r="BY44" s="703">
        <v>501394</v>
      </c>
      <c r="BZ44" s="682">
        <v>485394</v>
      </c>
    </row>
    <row r="45" spans="2:79" s="111" customFormat="1" ht="13" x14ac:dyDescent="0.3">
      <c r="B45" s="679">
        <v>500</v>
      </c>
      <c r="C45" s="680" t="s">
        <v>297</v>
      </c>
      <c r="D45" s="681">
        <v>87029.07</v>
      </c>
      <c r="E45" s="681"/>
      <c r="F45" s="681"/>
      <c r="G45" s="681">
        <v>849498</v>
      </c>
      <c r="H45" s="681">
        <v>-762468.93</v>
      </c>
      <c r="I45" s="681"/>
      <c r="J45" s="681">
        <v>-22085.59</v>
      </c>
      <c r="K45" s="681">
        <v>-776739.74</v>
      </c>
      <c r="L45" s="681">
        <v>109114.66</v>
      </c>
      <c r="M45" s="682">
        <v>863768.81</v>
      </c>
      <c r="N45" s="253"/>
      <c r="O45" s="662">
        <v>500</v>
      </c>
      <c r="P45" s="705" t="s">
        <v>297</v>
      </c>
      <c r="Q45" s="701">
        <v>101727.65</v>
      </c>
      <c r="R45" s="701"/>
      <c r="S45" s="701"/>
      <c r="T45" s="701">
        <v>283283</v>
      </c>
      <c r="U45" s="701">
        <v>-181555.35</v>
      </c>
      <c r="V45" s="701"/>
      <c r="W45" s="701">
        <v>-19442.75</v>
      </c>
      <c r="X45" s="701">
        <v>-47480.85</v>
      </c>
      <c r="Y45" s="701">
        <v>121170.4</v>
      </c>
      <c r="Z45" s="701">
        <v>149208.5</v>
      </c>
      <c r="AA45" s="253"/>
      <c r="AB45" s="662">
        <v>500</v>
      </c>
      <c r="AC45" s="710" t="s">
        <v>297</v>
      </c>
      <c r="AD45" s="707">
        <v>26673.45</v>
      </c>
      <c r="AE45" s="707"/>
      <c r="AF45" s="707"/>
      <c r="AG45" s="707">
        <v>219092</v>
      </c>
      <c r="AH45" s="707">
        <v>-192418.55</v>
      </c>
      <c r="AI45" s="707"/>
      <c r="AJ45" s="707">
        <v>-90997.42</v>
      </c>
      <c r="AK45" s="707">
        <v>-52367.82</v>
      </c>
      <c r="AL45" s="707">
        <v>117670.87</v>
      </c>
      <c r="AM45" s="708">
        <v>79041.27</v>
      </c>
      <c r="AN45" s="253"/>
      <c r="AO45" s="662">
        <v>500</v>
      </c>
      <c r="AP45" s="710" t="s">
        <v>297</v>
      </c>
      <c r="AQ45" s="707">
        <v>51357.3</v>
      </c>
      <c r="AR45" s="707"/>
      <c r="AS45" s="707"/>
      <c r="AT45" s="707">
        <v>283283</v>
      </c>
      <c r="AU45" s="707">
        <v>-231925.7</v>
      </c>
      <c r="AV45" s="707"/>
      <c r="AW45" s="707">
        <v>-15695.77</v>
      </c>
      <c r="AX45" s="707">
        <v>-23146.95</v>
      </c>
      <c r="AY45" s="707">
        <v>67053.070000000007</v>
      </c>
      <c r="AZ45" s="708">
        <v>74504.25</v>
      </c>
      <c r="BB45" s="662">
        <v>500</v>
      </c>
      <c r="BC45" s="705" t="s">
        <v>297</v>
      </c>
      <c r="BD45" s="701">
        <v>90454.09</v>
      </c>
      <c r="BE45" s="701"/>
      <c r="BF45" s="701"/>
      <c r="BG45" s="701">
        <v>283283</v>
      </c>
      <c r="BH45" s="701">
        <v>-192828.91</v>
      </c>
      <c r="BI45" s="701"/>
      <c r="BJ45" s="701">
        <v>-33139.519999999997</v>
      </c>
      <c r="BK45" s="701">
        <v>-16362.34</v>
      </c>
      <c r="BL45" s="701">
        <v>123593.61</v>
      </c>
      <c r="BM45" s="708">
        <v>106816.43</v>
      </c>
      <c r="BN45" s="254"/>
      <c r="BO45" s="662">
        <v>500</v>
      </c>
      <c r="BP45" s="705" t="s">
        <v>297</v>
      </c>
      <c r="BQ45" s="701">
        <v>577334.26</v>
      </c>
      <c r="BR45" s="701"/>
      <c r="BS45" s="701"/>
      <c r="BT45" s="701">
        <v>0</v>
      </c>
      <c r="BU45" s="701">
        <v>577334.26</v>
      </c>
      <c r="BV45" s="701"/>
      <c r="BW45" s="701">
        <v>15729.72</v>
      </c>
      <c r="BX45" s="701">
        <v>55020.26</v>
      </c>
      <c r="BY45" s="701">
        <v>561604.54</v>
      </c>
      <c r="BZ45" s="708">
        <v>522314</v>
      </c>
      <c r="CA45" s="120"/>
    </row>
    <row r="46" spans="2:79" x14ac:dyDescent="0.25">
      <c r="B46" s="679">
        <v>510</v>
      </c>
      <c r="C46" s="680" t="s">
        <v>298</v>
      </c>
      <c r="D46" s="681">
        <v>0</v>
      </c>
      <c r="E46" s="681"/>
      <c r="F46" s="681"/>
      <c r="G46" s="681">
        <v>0</v>
      </c>
      <c r="H46" s="681">
        <v>0</v>
      </c>
      <c r="I46" s="681"/>
      <c r="J46" s="681">
        <v>0</v>
      </c>
      <c r="K46" s="681">
        <v>0</v>
      </c>
      <c r="L46" s="681">
        <v>0</v>
      </c>
      <c r="M46" s="682">
        <v>0</v>
      </c>
      <c r="O46" s="679">
        <v>510</v>
      </c>
      <c r="P46" s="704" t="s">
        <v>298</v>
      </c>
      <c r="Q46" s="703">
        <v>0</v>
      </c>
      <c r="R46" s="703"/>
      <c r="S46" s="703"/>
      <c r="T46" s="703">
        <v>0</v>
      </c>
      <c r="U46" s="703">
        <v>0</v>
      </c>
      <c r="V46" s="703"/>
      <c r="W46" s="703">
        <v>0</v>
      </c>
      <c r="X46" s="703">
        <v>0</v>
      </c>
      <c r="Y46" s="703">
        <v>0</v>
      </c>
      <c r="Z46" s="703">
        <v>0</v>
      </c>
      <c r="AB46" s="679">
        <v>510</v>
      </c>
      <c r="AC46" s="680" t="s">
        <v>298</v>
      </c>
      <c r="AD46" s="681">
        <v>0</v>
      </c>
      <c r="AE46" s="681"/>
      <c r="AF46" s="681"/>
      <c r="AG46" s="681">
        <v>0</v>
      </c>
      <c r="AH46" s="681">
        <v>0</v>
      </c>
      <c r="AI46" s="681"/>
      <c r="AJ46" s="681">
        <v>0</v>
      </c>
      <c r="AK46" s="681">
        <v>0</v>
      </c>
      <c r="AL46" s="681">
        <v>0</v>
      </c>
      <c r="AM46" s="682">
        <v>0</v>
      </c>
      <c r="AO46" s="679">
        <v>510</v>
      </c>
      <c r="AP46" s="680" t="s">
        <v>298</v>
      </c>
      <c r="AQ46" s="681">
        <v>0</v>
      </c>
      <c r="AR46" s="681"/>
      <c r="AS46" s="681"/>
      <c r="AT46" s="681">
        <v>0</v>
      </c>
      <c r="AU46" s="681">
        <v>0</v>
      </c>
      <c r="AV46" s="681"/>
      <c r="AW46" s="681">
        <v>0</v>
      </c>
      <c r="AX46" s="681">
        <v>0</v>
      </c>
      <c r="AY46" s="681">
        <v>0</v>
      </c>
      <c r="AZ46" s="682">
        <v>0</v>
      </c>
      <c r="BB46" s="679">
        <v>510</v>
      </c>
      <c r="BC46" s="704" t="s">
        <v>298</v>
      </c>
      <c r="BD46" s="703">
        <v>0</v>
      </c>
      <c r="BE46" s="703"/>
      <c r="BF46" s="703"/>
      <c r="BG46" s="703">
        <v>0</v>
      </c>
      <c r="BH46" s="703">
        <v>0</v>
      </c>
      <c r="BI46" s="703"/>
      <c r="BJ46" s="703">
        <v>0</v>
      </c>
      <c r="BK46" s="703">
        <v>0</v>
      </c>
      <c r="BL46" s="703">
        <v>0</v>
      </c>
      <c r="BM46" s="682">
        <v>0</v>
      </c>
      <c r="BN46" s="254"/>
      <c r="BO46" s="679">
        <v>510</v>
      </c>
      <c r="BP46" s="704" t="s">
        <v>298</v>
      </c>
      <c r="BQ46" s="703">
        <v>0</v>
      </c>
      <c r="BR46" s="703"/>
      <c r="BS46" s="703"/>
      <c r="BT46" s="703">
        <v>0</v>
      </c>
      <c r="BU46" s="703">
        <v>0</v>
      </c>
      <c r="BV46" s="703"/>
      <c r="BW46" s="703">
        <v>0</v>
      </c>
      <c r="BX46" s="703">
        <v>0</v>
      </c>
      <c r="BY46" s="703">
        <v>0</v>
      </c>
      <c r="BZ46" s="682">
        <v>0</v>
      </c>
    </row>
    <row r="47" spans="2:79" x14ac:dyDescent="0.25">
      <c r="B47" s="679">
        <v>520</v>
      </c>
      <c r="C47" s="680" t="s">
        <v>299</v>
      </c>
      <c r="D47" s="681">
        <v>5156809.97</v>
      </c>
      <c r="E47" s="681"/>
      <c r="F47" s="681"/>
      <c r="G47" s="681">
        <v>5580840</v>
      </c>
      <c r="H47" s="681">
        <v>-424030.03</v>
      </c>
      <c r="I47" s="681"/>
      <c r="J47" s="681">
        <v>40379.129999999997</v>
      </c>
      <c r="K47" s="681">
        <v>-21731.19</v>
      </c>
      <c r="L47" s="681">
        <v>5116430.84</v>
      </c>
      <c r="M47" s="682">
        <v>5178541.16</v>
      </c>
      <c r="O47" s="679">
        <v>520</v>
      </c>
      <c r="P47" s="702" t="s">
        <v>299</v>
      </c>
      <c r="Q47" s="703">
        <v>1512362.13</v>
      </c>
      <c r="R47" s="703"/>
      <c r="S47" s="703"/>
      <c r="T47" s="703">
        <v>171620</v>
      </c>
      <c r="U47" s="703">
        <v>1340742.1299999999</v>
      </c>
      <c r="V47" s="703"/>
      <c r="W47" s="703">
        <v>0</v>
      </c>
      <c r="X47" s="703">
        <v>239941.53</v>
      </c>
      <c r="Y47" s="703">
        <v>1512362.13</v>
      </c>
      <c r="Z47" s="703">
        <v>1272420.6000000001</v>
      </c>
      <c r="AB47" s="679">
        <v>520</v>
      </c>
      <c r="AC47" s="709" t="s">
        <v>299</v>
      </c>
      <c r="AD47" s="681">
        <v>3246738.33</v>
      </c>
      <c r="AE47" s="681"/>
      <c r="AF47" s="681"/>
      <c r="AG47" s="681">
        <v>2902760</v>
      </c>
      <c r="AH47" s="681">
        <v>343978.33</v>
      </c>
      <c r="AI47" s="681"/>
      <c r="AJ47" s="681">
        <v>152870.95000000001</v>
      </c>
      <c r="AK47" s="681">
        <v>1098761.32</v>
      </c>
      <c r="AL47" s="681">
        <v>3093867.38</v>
      </c>
      <c r="AM47" s="682">
        <v>2147977.0099999998</v>
      </c>
      <c r="AO47" s="679">
        <v>520</v>
      </c>
      <c r="AP47" s="709" t="s">
        <v>299</v>
      </c>
      <c r="AQ47" s="681">
        <v>1692277.28</v>
      </c>
      <c r="AR47" s="681"/>
      <c r="AS47" s="681"/>
      <c r="AT47" s="681">
        <v>171620</v>
      </c>
      <c r="AU47" s="681">
        <v>1520657.28</v>
      </c>
      <c r="AV47" s="681"/>
      <c r="AW47" s="681">
        <v>57472</v>
      </c>
      <c r="AX47" s="681">
        <v>151668.66</v>
      </c>
      <c r="AY47" s="681">
        <v>1634805.28</v>
      </c>
      <c r="AZ47" s="682">
        <v>1540608.62</v>
      </c>
      <c r="BB47" s="679">
        <v>520</v>
      </c>
      <c r="BC47" s="702" t="s">
        <v>299</v>
      </c>
      <c r="BD47" s="703">
        <v>316190.53999999998</v>
      </c>
      <c r="BE47" s="703"/>
      <c r="BF47" s="703"/>
      <c r="BG47" s="703">
        <v>171620</v>
      </c>
      <c r="BH47" s="703">
        <v>144570.54</v>
      </c>
      <c r="BI47" s="703"/>
      <c r="BJ47" s="703">
        <v>29000</v>
      </c>
      <c r="BK47" s="703">
        <v>57000</v>
      </c>
      <c r="BL47" s="703">
        <v>287190.53999999998</v>
      </c>
      <c r="BM47" s="682">
        <v>259190.54</v>
      </c>
      <c r="BN47" s="254"/>
      <c r="BO47" s="679">
        <v>520</v>
      </c>
      <c r="BP47" s="702" t="s">
        <v>299</v>
      </c>
      <c r="BQ47" s="703">
        <v>0</v>
      </c>
      <c r="BR47" s="703"/>
      <c r="BS47" s="703"/>
      <c r="BT47" s="703">
        <v>0</v>
      </c>
      <c r="BU47" s="703">
        <v>0</v>
      </c>
      <c r="BV47" s="703"/>
      <c r="BW47" s="703">
        <v>0</v>
      </c>
      <c r="BX47" s="703">
        <v>0</v>
      </c>
      <c r="BY47" s="703">
        <v>0</v>
      </c>
      <c r="BZ47" s="682">
        <v>0</v>
      </c>
    </row>
    <row r="48" spans="2:79" x14ac:dyDescent="0.25">
      <c r="B48" s="679">
        <v>530</v>
      </c>
      <c r="C48" s="680" t="s">
        <v>300</v>
      </c>
      <c r="D48" s="681">
        <v>0</v>
      </c>
      <c r="E48" s="681"/>
      <c r="F48" s="681"/>
      <c r="G48" s="681">
        <v>5717164</v>
      </c>
      <c r="H48" s="681">
        <v>-5717164</v>
      </c>
      <c r="I48" s="681"/>
      <c r="J48" s="681">
        <v>0</v>
      </c>
      <c r="K48" s="681">
        <v>-5822451.5300000003</v>
      </c>
      <c r="L48" s="681">
        <v>0</v>
      </c>
      <c r="M48" s="682">
        <v>5822451.5300000003</v>
      </c>
      <c r="O48" s="679">
        <v>530</v>
      </c>
      <c r="P48" s="704" t="s">
        <v>300</v>
      </c>
      <c r="Q48" s="703">
        <v>0</v>
      </c>
      <c r="R48" s="703"/>
      <c r="S48" s="703"/>
      <c r="T48" s="703">
        <v>1010786</v>
      </c>
      <c r="U48" s="703">
        <v>-1010786</v>
      </c>
      <c r="V48" s="703"/>
      <c r="W48" s="703">
        <v>0</v>
      </c>
      <c r="X48" s="703">
        <v>-170366.24</v>
      </c>
      <c r="Y48" s="703">
        <v>0</v>
      </c>
      <c r="Z48" s="703">
        <v>170366.24</v>
      </c>
      <c r="AB48" s="679">
        <v>530</v>
      </c>
      <c r="AC48" s="680" t="s">
        <v>300</v>
      </c>
      <c r="AD48" s="681">
        <v>3369595.93</v>
      </c>
      <c r="AE48" s="681"/>
      <c r="AF48" s="681"/>
      <c r="AG48" s="681">
        <v>3703412</v>
      </c>
      <c r="AH48" s="681">
        <v>-333816.07</v>
      </c>
      <c r="AI48" s="681"/>
      <c r="AJ48" s="681">
        <v>-12276.07</v>
      </c>
      <c r="AK48" s="681">
        <v>-387434.54</v>
      </c>
      <c r="AL48" s="681">
        <v>3381872</v>
      </c>
      <c r="AM48" s="682">
        <v>3757030.47</v>
      </c>
      <c r="AO48" s="679">
        <v>530</v>
      </c>
      <c r="AP48" s="680" t="s">
        <v>300</v>
      </c>
      <c r="AQ48" s="681">
        <v>0</v>
      </c>
      <c r="AR48" s="681"/>
      <c r="AS48" s="681"/>
      <c r="AT48" s="681">
        <v>1010786</v>
      </c>
      <c r="AU48" s="681">
        <v>-1010786</v>
      </c>
      <c r="AV48" s="681"/>
      <c r="AW48" s="681">
        <v>0</v>
      </c>
      <c r="AX48" s="681">
        <v>0</v>
      </c>
      <c r="AY48" s="681">
        <v>0</v>
      </c>
      <c r="AZ48" s="682">
        <v>0</v>
      </c>
      <c r="BB48" s="679">
        <v>530</v>
      </c>
      <c r="BC48" s="704" t="s">
        <v>300</v>
      </c>
      <c r="BD48" s="703">
        <v>0</v>
      </c>
      <c r="BE48" s="703"/>
      <c r="BF48" s="703"/>
      <c r="BG48" s="703">
        <v>1010786</v>
      </c>
      <c r="BH48" s="703">
        <v>-1010786</v>
      </c>
      <c r="BI48" s="703"/>
      <c r="BJ48" s="703">
        <v>0</v>
      </c>
      <c r="BK48" s="703">
        <v>0</v>
      </c>
      <c r="BL48" s="703">
        <v>0</v>
      </c>
      <c r="BM48" s="682">
        <v>0</v>
      </c>
      <c r="BN48" s="254"/>
      <c r="BO48" s="679">
        <v>530</v>
      </c>
      <c r="BP48" s="704" t="s">
        <v>300</v>
      </c>
      <c r="BQ48" s="703">
        <v>5081561.3</v>
      </c>
      <c r="BR48" s="703"/>
      <c r="BS48" s="703"/>
      <c r="BT48" s="703">
        <v>0</v>
      </c>
      <c r="BU48" s="703">
        <v>5081561.3</v>
      </c>
      <c r="BV48" s="703"/>
      <c r="BW48" s="703">
        <v>-259653.47</v>
      </c>
      <c r="BX48" s="703">
        <v>-395099.96</v>
      </c>
      <c r="BY48" s="703">
        <v>5341214.7699999996</v>
      </c>
      <c r="BZ48" s="682">
        <v>5476661.2599999998</v>
      </c>
    </row>
    <row r="49" spans="2:79" x14ac:dyDescent="0.25">
      <c r="B49" s="679">
        <v>540</v>
      </c>
      <c r="C49" s="680" t="s">
        <v>301</v>
      </c>
      <c r="D49" s="681">
        <v>0</v>
      </c>
      <c r="E49" s="681"/>
      <c r="F49" s="681"/>
      <c r="G49" s="681">
        <v>0</v>
      </c>
      <c r="H49" s="681">
        <v>0</v>
      </c>
      <c r="I49" s="681"/>
      <c r="J49" s="681">
        <v>0</v>
      </c>
      <c r="K49" s="681">
        <v>0</v>
      </c>
      <c r="L49" s="681">
        <v>0</v>
      </c>
      <c r="M49" s="682">
        <v>0</v>
      </c>
      <c r="O49" s="679">
        <v>540</v>
      </c>
      <c r="P49" s="702" t="s">
        <v>301</v>
      </c>
      <c r="Q49" s="703">
        <v>0</v>
      </c>
      <c r="R49" s="703"/>
      <c r="S49" s="703"/>
      <c r="T49" s="703">
        <v>0</v>
      </c>
      <c r="U49" s="703">
        <v>0</v>
      </c>
      <c r="V49" s="703"/>
      <c r="W49" s="703">
        <v>0</v>
      </c>
      <c r="X49" s="703">
        <v>0</v>
      </c>
      <c r="Y49" s="703">
        <v>0</v>
      </c>
      <c r="Z49" s="703">
        <v>0</v>
      </c>
      <c r="AB49" s="679">
        <v>540</v>
      </c>
      <c r="AC49" s="709" t="s">
        <v>301</v>
      </c>
      <c r="AD49" s="681">
        <v>418257.6</v>
      </c>
      <c r="AE49" s="681"/>
      <c r="AF49" s="681"/>
      <c r="AG49" s="681">
        <v>0</v>
      </c>
      <c r="AH49" s="681">
        <v>418257.6</v>
      </c>
      <c r="AI49" s="681"/>
      <c r="AJ49" s="681">
        <v>-170629.95</v>
      </c>
      <c r="AK49" s="681">
        <v>-431742.4</v>
      </c>
      <c r="AL49" s="681">
        <v>588887.55000000005</v>
      </c>
      <c r="AM49" s="682">
        <v>850000</v>
      </c>
      <c r="AO49" s="679">
        <v>540</v>
      </c>
      <c r="AP49" s="709" t="s">
        <v>301</v>
      </c>
      <c r="AQ49" s="681">
        <v>0</v>
      </c>
      <c r="AR49" s="681"/>
      <c r="AS49" s="681"/>
      <c r="AT49" s="681">
        <v>0</v>
      </c>
      <c r="AU49" s="681">
        <v>0</v>
      </c>
      <c r="AV49" s="681"/>
      <c r="AW49" s="681">
        <v>0</v>
      </c>
      <c r="AX49" s="681">
        <v>0</v>
      </c>
      <c r="AY49" s="681">
        <v>0</v>
      </c>
      <c r="AZ49" s="682">
        <v>0</v>
      </c>
      <c r="BB49" s="679">
        <v>540</v>
      </c>
      <c r="BC49" s="702" t="s">
        <v>301</v>
      </c>
      <c r="BD49" s="703">
        <v>0</v>
      </c>
      <c r="BE49" s="703"/>
      <c r="BF49" s="703"/>
      <c r="BG49" s="703">
        <v>0</v>
      </c>
      <c r="BH49" s="703">
        <v>0</v>
      </c>
      <c r="BI49" s="703"/>
      <c r="BJ49" s="703">
        <v>0</v>
      </c>
      <c r="BK49" s="703">
        <v>0</v>
      </c>
      <c r="BL49" s="703">
        <v>0</v>
      </c>
      <c r="BM49" s="682">
        <v>0</v>
      </c>
      <c r="BN49" s="254"/>
      <c r="BO49" s="679">
        <v>540</v>
      </c>
      <c r="BP49" s="702" t="s">
        <v>301</v>
      </c>
      <c r="BQ49" s="721">
        <v>0</v>
      </c>
      <c r="BR49" s="703"/>
      <c r="BS49" s="703"/>
      <c r="BT49" s="703">
        <v>0</v>
      </c>
      <c r="BU49" s="703">
        <v>0</v>
      </c>
      <c r="BV49" s="703"/>
      <c r="BW49" s="703">
        <v>0</v>
      </c>
      <c r="BX49" s="703">
        <v>0</v>
      </c>
      <c r="BY49" s="721">
        <v>0</v>
      </c>
      <c r="BZ49" s="722">
        <v>0</v>
      </c>
    </row>
    <row r="50" spans="2:79" s="111" customFormat="1" ht="13" x14ac:dyDescent="0.3">
      <c r="B50" s="679">
        <v>600</v>
      </c>
      <c r="C50" s="680" t="s">
        <v>302</v>
      </c>
      <c r="D50" s="681">
        <v>5156809.97</v>
      </c>
      <c r="E50" s="681"/>
      <c r="F50" s="681"/>
      <c r="G50" s="681">
        <v>11298004</v>
      </c>
      <c r="H50" s="681">
        <v>-6141194.0300000003</v>
      </c>
      <c r="I50" s="681"/>
      <c r="J50" s="681">
        <v>40379.129999999997</v>
      </c>
      <c r="K50" s="681">
        <v>-5844182.7199999997</v>
      </c>
      <c r="L50" s="681">
        <v>5116430.84</v>
      </c>
      <c r="M50" s="682">
        <v>11000992.689999999</v>
      </c>
      <c r="N50" s="253"/>
      <c r="O50" s="662">
        <v>600</v>
      </c>
      <c r="P50" s="705" t="s">
        <v>302</v>
      </c>
      <c r="Q50" s="701">
        <v>1512362.13</v>
      </c>
      <c r="R50" s="701"/>
      <c r="S50" s="701"/>
      <c r="T50" s="701">
        <v>1182406</v>
      </c>
      <c r="U50" s="701">
        <v>329956.13</v>
      </c>
      <c r="V50" s="701"/>
      <c r="W50" s="701">
        <v>0</v>
      </c>
      <c r="X50" s="701">
        <v>69575.289999999994</v>
      </c>
      <c r="Y50" s="701">
        <v>1512362.13</v>
      </c>
      <c r="Z50" s="701">
        <v>1442786.84</v>
      </c>
      <c r="AA50" s="253"/>
      <c r="AB50" s="662">
        <v>600</v>
      </c>
      <c r="AC50" s="710" t="s">
        <v>302</v>
      </c>
      <c r="AD50" s="707">
        <v>7034591.8600000003</v>
      </c>
      <c r="AE50" s="707"/>
      <c r="AF50" s="707"/>
      <c r="AG50" s="707">
        <v>6606172</v>
      </c>
      <c r="AH50" s="707">
        <v>428419.86</v>
      </c>
      <c r="AI50" s="707"/>
      <c r="AJ50" s="707">
        <v>-30035.07</v>
      </c>
      <c r="AK50" s="707">
        <v>279584.38</v>
      </c>
      <c r="AL50" s="707">
        <v>7064626.9299999997</v>
      </c>
      <c r="AM50" s="708">
        <v>6755007.4800000004</v>
      </c>
      <c r="AN50" s="253"/>
      <c r="AO50" s="662">
        <v>600</v>
      </c>
      <c r="AP50" s="710" t="s">
        <v>302</v>
      </c>
      <c r="AQ50" s="707">
        <v>1692277.28</v>
      </c>
      <c r="AR50" s="707"/>
      <c r="AS50" s="707"/>
      <c r="AT50" s="707">
        <v>1182406</v>
      </c>
      <c r="AU50" s="707">
        <v>509871.28</v>
      </c>
      <c r="AV50" s="707"/>
      <c r="AW50" s="707">
        <v>57472</v>
      </c>
      <c r="AX50" s="707">
        <v>151668.66</v>
      </c>
      <c r="AY50" s="707">
        <v>1634805.28</v>
      </c>
      <c r="AZ50" s="708">
        <v>1540608.62</v>
      </c>
      <c r="BB50" s="662">
        <v>600</v>
      </c>
      <c r="BC50" s="705" t="s">
        <v>302</v>
      </c>
      <c r="BD50" s="701">
        <v>316190.53999999998</v>
      </c>
      <c r="BE50" s="701"/>
      <c r="BF50" s="701"/>
      <c r="BG50" s="701">
        <v>1182406</v>
      </c>
      <c r="BH50" s="701">
        <v>-866215.46</v>
      </c>
      <c r="BI50" s="701"/>
      <c r="BJ50" s="701">
        <v>29000</v>
      </c>
      <c r="BK50" s="701">
        <v>57000</v>
      </c>
      <c r="BL50" s="701">
        <v>287190.53999999998</v>
      </c>
      <c r="BM50" s="708">
        <v>259190.54</v>
      </c>
      <c r="BN50" s="254"/>
      <c r="BO50" s="662">
        <v>600</v>
      </c>
      <c r="BP50" s="705" t="s">
        <v>302</v>
      </c>
      <c r="BQ50" s="701">
        <v>5081561.3</v>
      </c>
      <c r="BR50" s="701"/>
      <c r="BS50" s="701"/>
      <c r="BT50" s="701">
        <v>0</v>
      </c>
      <c r="BU50" s="701">
        <v>5081561.3</v>
      </c>
      <c r="BV50" s="701"/>
      <c r="BW50" s="701">
        <v>-259653.47</v>
      </c>
      <c r="BX50" s="701">
        <v>-395099.96</v>
      </c>
      <c r="BY50" s="701">
        <v>5341214.7699999996</v>
      </c>
      <c r="BZ50" s="708">
        <v>5476661.2599999998</v>
      </c>
      <c r="CA50" s="120"/>
    </row>
    <row r="51" spans="2:79" ht="15.75" customHeight="1" x14ac:dyDescent="0.25">
      <c r="B51" s="679">
        <v>610</v>
      </c>
      <c r="C51" s="680" t="s">
        <v>303</v>
      </c>
      <c r="D51" s="681">
        <v>0</v>
      </c>
      <c r="E51" s="681"/>
      <c r="F51" s="681"/>
      <c r="G51" s="681">
        <v>0</v>
      </c>
      <c r="H51" s="681">
        <v>0</v>
      </c>
      <c r="I51" s="681"/>
      <c r="J51" s="681">
        <v>0</v>
      </c>
      <c r="K51" s="681">
        <v>0</v>
      </c>
      <c r="L51" s="681">
        <v>0</v>
      </c>
      <c r="M51" s="682">
        <v>0</v>
      </c>
      <c r="O51" s="679">
        <v>610</v>
      </c>
      <c r="P51" s="702" t="s">
        <v>303</v>
      </c>
      <c r="Q51" s="703">
        <v>0</v>
      </c>
      <c r="R51" s="703"/>
      <c r="S51" s="703"/>
      <c r="T51" s="703">
        <v>0</v>
      </c>
      <c r="U51" s="703">
        <v>0</v>
      </c>
      <c r="V51" s="703"/>
      <c r="W51" s="703">
        <v>0</v>
      </c>
      <c r="X51" s="703">
        <v>0</v>
      </c>
      <c r="Y51" s="703">
        <v>0</v>
      </c>
      <c r="Z51" s="703">
        <v>0</v>
      </c>
      <c r="AB51" s="679">
        <v>610</v>
      </c>
      <c r="AC51" s="709" t="s">
        <v>303</v>
      </c>
      <c r="AD51" s="681">
        <v>0</v>
      </c>
      <c r="AE51" s="681"/>
      <c r="AF51" s="681"/>
      <c r="AG51" s="681">
        <v>0</v>
      </c>
      <c r="AH51" s="681">
        <v>0</v>
      </c>
      <c r="AI51" s="681"/>
      <c r="AJ51" s="681">
        <v>0</v>
      </c>
      <c r="AK51" s="681">
        <v>0</v>
      </c>
      <c r="AL51" s="681">
        <v>0</v>
      </c>
      <c r="AM51" s="682">
        <v>0</v>
      </c>
      <c r="AO51" s="679">
        <v>610</v>
      </c>
      <c r="AP51" s="709" t="s">
        <v>303</v>
      </c>
      <c r="AQ51" s="681">
        <v>0</v>
      </c>
      <c r="AR51" s="681"/>
      <c r="AS51" s="681"/>
      <c r="AT51" s="681">
        <v>0</v>
      </c>
      <c r="AU51" s="681">
        <v>0</v>
      </c>
      <c r="AV51" s="681"/>
      <c r="AW51" s="681">
        <v>0</v>
      </c>
      <c r="AX51" s="681">
        <v>0</v>
      </c>
      <c r="AY51" s="681">
        <v>0</v>
      </c>
      <c r="AZ51" s="682">
        <v>0</v>
      </c>
      <c r="BB51" s="679">
        <v>610</v>
      </c>
      <c r="BC51" s="702" t="s">
        <v>303</v>
      </c>
      <c r="BD51" s="703">
        <v>0</v>
      </c>
      <c r="BE51" s="703"/>
      <c r="BF51" s="703"/>
      <c r="BG51" s="703">
        <v>0</v>
      </c>
      <c r="BH51" s="703">
        <v>0</v>
      </c>
      <c r="BI51" s="703"/>
      <c r="BJ51" s="703">
        <v>0</v>
      </c>
      <c r="BK51" s="703">
        <v>0</v>
      </c>
      <c r="BL51" s="703">
        <v>0</v>
      </c>
      <c r="BM51" s="682">
        <v>0</v>
      </c>
      <c r="BN51" s="254"/>
      <c r="BO51" s="679">
        <v>610</v>
      </c>
      <c r="BP51" s="702" t="s">
        <v>303</v>
      </c>
      <c r="BQ51" s="703">
        <v>0</v>
      </c>
      <c r="BR51" s="703"/>
      <c r="BS51" s="703"/>
      <c r="BT51" s="703">
        <v>0</v>
      </c>
      <c r="BU51" s="703">
        <v>0</v>
      </c>
      <c r="BV51" s="703"/>
      <c r="BW51" s="703">
        <v>0</v>
      </c>
      <c r="BX51" s="703">
        <v>0</v>
      </c>
      <c r="BY51" s="703">
        <v>0</v>
      </c>
      <c r="BZ51" s="682">
        <v>0</v>
      </c>
    </row>
    <row r="52" spans="2:79" x14ac:dyDescent="0.25">
      <c r="B52" s="679">
        <v>620</v>
      </c>
      <c r="C52" s="680"/>
      <c r="D52" s="681">
        <v>0</v>
      </c>
      <c r="E52" s="681"/>
      <c r="F52" s="681"/>
      <c r="G52" s="681">
        <v>0</v>
      </c>
      <c r="H52" s="681">
        <v>0</v>
      </c>
      <c r="I52" s="681"/>
      <c r="J52" s="681">
        <v>0</v>
      </c>
      <c r="K52" s="681">
        <v>0</v>
      </c>
      <c r="L52" s="681">
        <v>0</v>
      </c>
      <c r="M52" s="682">
        <v>0</v>
      </c>
      <c r="O52" s="679">
        <v>620</v>
      </c>
      <c r="P52" s="704"/>
      <c r="Q52" s="703">
        <v>0</v>
      </c>
      <c r="R52" s="703"/>
      <c r="S52" s="703"/>
      <c r="T52" s="703">
        <v>0</v>
      </c>
      <c r="U52" s="703">
        <v>0</v>
      </c>
      <c r="V52" s="703"/>
      <c r="W52" s="703">
        <v>0</v>
      </c>
      <c r="X52" s="703">
        <v>0</v>
      </c>
      <c r="Y52" s="703">
        <v>0</v>
      </c>
      <c r="Z52" s="703">
        <v>0</v>
      </c>
      <c r="AB52" s="679">
        <v>620</v>
      </c>
      <c r="AC52" s="680"/>
      <c r="AD52" s="681">
        <v>0</v>
      </c>
      <c r="AE52" s="681"/>
      <c r="AF52" s="681"/>
      <c r="AG52" s="681">
        <v>0</v>
      </c>
      <c r="AH52" s="681">
        <v>0</v>
      </c>
      <c r="AI52" s="681"/>
      <c r="AJ52" s="681">
        <v>0</v>
      </c>
      <c r="AK52" s="681">
        <v>0</v>
      </c>
      <c r="AL52" s="681">
        <v>0</v>
      </c>
      <c r="AM52" s="682">
        <v>0</v>
      </c>
      <c r="AO52" s="679">
        <v>620</v>
      </c>
      <c r="AP52" s="680"/>
      <c r="AQ52" s="681">
        <v>0</v>
      </c>
      <c r="AR52" s="681"/>
      <c r="AS52" s="681"/>
      <c r="AT52" s="681">
        <v>0</v>
      </c>
      <c r="AU52" s="681">
        <v>0</v>
      </c>
      <c r="AV52" s="681"/>
      <c r="AW52" s="681">
        <v>0</v>
      </c>
      <c r="AX52" s="681">
        <v>0</v>
      </c>
      <c r="AY52" s="681">
        <v>0</v>
      </c>
      <c r="AZ52" s="682">
        <v>0</v>
      </c>
      <c r="BB52" s="679">
        <v>620</v>
      </c>
      <c r="BC52" s="704"/>
      <c r="BD52" s="703">
        <v>0</v>
      </c>
      <c r="BE52" s="703"/>
      <c r="BF52" s="703"/>
      <c r="BG52" s="703">
        <v>0</v>
      </c>
      <c r="BH52" s="703">
        <v>0</v>
      </c>
      <c r="BI52" s="703"/>
      <c r="BJ52" s="703">
        <v>0</v>
      </c>
      <c r="BK52" s="703">
        <v>0</v>
      </c>
      <c r="BL52" s="703">
        <v>0</v>
      </c>
      <c r="BM52" s="682">
        <v>0</v>
      </c>
      <c r="BN52" s="254"/>
      <c r="BO52" s="679">
        <v>620</v>
      </c>
      <c r="BP52" s="704"/>
      <c r="BQ52" s="703">
        <v>0</v>
      </c>
      <c r="BR52" s="703"/>
      <c r="BS52" s="703"/>
      <c r="BT52" s="703">
        <v>0</v>
      </c>
      <c r="BU52" s="703">
        <v>0</v>
      </c>
      <c r="BV52" s="703"/>
      <c r="BW52" s="703">
        <v>0</v>
      </c>
      <c r="BX52" s="703">
        <v>0</v>
      </c>
      <c r="BY52" s="703">
        <v>0</v>
      </c>
      <c r="BZ52" s="682">
        <v>0</v>
      </c>
    </row>
    <row r="53" spans="2:79" s="111" customFormat="1" ht="18" customHeight="1" x14ac:dyDescent="0.3">
      <c r="B53" s="679">
        <v>700</v>
      </c>
      <c r="C53" s="680" t="s">
        <v>304</v>
      </c>
      <c r="D53" s="681">
        <v>0</v>
      </c>
      <c r="E53" s="681"/>
      <c r="F53" s="681"/>
      <c r="G53" s="681">
        <v>0</v>
      </c>
      <c r="H53" s="681">
        <v>0</v>
      </c>
      <c r="I53" s="681"/>
      <c r="J53" s="681">
        <v>0</v>
      </c>
      <c r="K53" s="681">
        <v>0</v>
      </c>
      <c r="L53" s="681">
        <v>0</v>
      </c>
      <c r="M53" s="682">
        <v>0</v>
      </c>
      <c r="N53" s="253"/>
      <c r="O53" s="662">
        <v>700</v>
      </c>
      <c r="P53" s="705" t="s">
        <v>304</v>
      </c>
      <c r="Q53" s="701">
        <v>0</v>
      </c>
      <c r="R53" s="701"/>
      <c r="S53" s="701"/>
      <c r="T53" s="701">
        <v>0</v>
      </c>
      <c r="U53" s="701">
        <v>0</v>
      </c>
      <c r="V53" s="701"/>
      <c r="W53" s="701">
        <v>0</v>
      </c>
      <c r="X53" s="701">
        <v>0</v>
      </c>
      <c r="Y53" s="701">
        <v>0</v>
      </c>
      <c r="Z53" s="701">
        <v>0</v>
      </c>
      <c r="AA53" s="253"/>
      <c r="AB53" s="662">
        <v>700</v>
      </c>
      <c r="AC53" s="710" t="s">
        <v>304</v>
      </c>
      <c r="AD53" s="707">
        <v>0</v>
      </c>
      <c r="AE53" s="707"/>
      <c r="AF53" s="707"/>
      <c r="AG53" s="707">
        <v>0</v>
      </c>
      <c r="AH53" s="707">
        <v>0</v>
      </c>
      <c r="AI53" s="707"/>
      <c r="AJ53" s="707">
        <v>0</v>
      </c>
      <c r="AK53" s="707">
        <v>0</v>
      </c>
      <c r="AL53" s="707">
        <v>0</v>
      </c>
      <c r="AM53" s="708">
        <v>0</v>
      </c>
      <c r="AN53" s="253"/>
      <c r="AO53" s="662">
        <v>700</v>
      </c>
      <c r="AP53" s="710" t="s">
        <v>304</v>
      </c>
      <c r="AQ53" s="707">
        <v>0</v>
      </c>
      <c r="AR53" s="707"/>
      <c r="AS53" s="707"/>
      <c r="AT53" s="707">
        <v>0</v>
      </c>
      <c r="AU53" s="707">
        <v>0</v>
      </c>
      <c r="AV53" s="707"/>
      <c r="AW53" s="707">
        <v>0</v>
      </c>
      <c r="AX53" s="707">
        <v>0</v>
      </c>
      <c r="AY53" s="707">
        <v>0</v>
      </c>
      <c r="AZ53" s="708">
        <v>0</v>
      </c>
      <c r="BB53" s="662">
        <v>700</v>
      </c>
      <c r="BC53" s="705" t="s">
        <v>304</v>
      </c>
      <c r="BD53" s="701">
        <v>0</v>
      </c>
      <c r="BE53" s="701"/>
      <c r="BF53" s="701"/>
      <c r="BG53" s="701">
        <v>0</v>
      </c>
      <c r="BH53" s="701">
        <v>0</v>
      </c>
      <c r="BI53" s="701"/>
      <c r="BJ53" s="701">
        <v>0</v>
      </c>
      <c r="BK53" s="701">
        <v>0</v>
      </c>
      <c r="BL53" s="701">
        <v>0</v>
      </c>
      <c r="BM53" s="708">
        <v>0</v>
      </c>
      <c r="BN53" s="254"/>
      <c r="BO53" s="662">
        <v>700</v>
      </c>
      <c r="BP53" s="705" t="s">
        <v>304</v>
      </c>
      <c r="BQ53" s="701">
        <v>5658895.5599999996</v>
      </c>
      <c r="BR53" s="701"/>
      <c r="BS53" s="701"/>
      <c r="BT53" s="701">
        <v>0</v>
      </c>
      <c r="BU53" s="701">
        <v>5658895.5599999996</v>
      </c>
      <c r="BV53" s="701"/>
      <c r="BW53" s="701">
        <v>-243923.75</v>
      </c>
      <c r="BX53" s="701">
        <v>-340079.7</v>
      </c>
      <c r="BY53" s="701">
        <v>5902819.3099999996</v>
      </c>
      <c r="BZ53" s="708">
        <v>5998975.2599999998</v>
      </c>
      <c r="CA53" s="120"/>
    </row>
    <row r="54" spans="2:79" x14ac:dyDescent="0.25">
      <c r="B54" s="679">
        <v>710</v>
      </c>
      <c r="C54" s="680" t="s">
        <v>13</v>
      </c>
      <c r="D54" s="681">
        <v>0</v>
      </c>
      <c r="E54" s="681"/>
      <c r="F54" s="681"/>
      <c r="G54" s="681">
        <v>0</v>
      </c>
      <c r="H54" s="681">
        <v>0</v>
      </c>
      <c r="I54" s="681"/>
      <c r="J54" s="681">
        <v>0</v>
      </c>
      <c r="K54" s="681">
        <v>0</v>
      </c>
      <c r="L54" s="681">
        <v>0</v>
      </c>
      <c r="M54" s="682">
        <v>0</v>
      </c>
      <c r="O54" s="679">
        <v>710</v>
      </c>
      <c r="P54" s="704" t="s">
        <v>13</v>
      </c>
      <c r="Q54" s="703">
        <v>0</v>
      </c>
      <c r="R54" s="703"/>
      <c r="S54" s="703"/>
      <c r="T54" s="703">
        <v>0</v>
      </c>
      <c r="U54" s="703">
        <v>0</v>
      </c>
      <c r="V54" s="703"/>
      <c r="W54" s="703">
        <v>0</v>
      </c>
      <c r="X54" s="703">
        <v>0</v>
      </c>
      <c r="Y54" s="703">
        <v>0</v>
      </c>
      <c r="Z54" s="703">
        <v>0</v>
      </c>
      <c r="AB54" s="679">
        <v>710</v>
      </c>
      <c r="AC54" s="680" t="s">
        <v>13</v>
      </c>
      <c r="AD54" s="681">
        <v>0</v>
      </c>
      <c r="AE54" s="681"/>
      <c r="AF54" s="681"/>
      <c r="AG54" s="681">
        <v>0</v>
      </c>
      <c r="AH54" s="681">
        <v>0</v>
      </c>
      <c r="AI54" s="681"/>
      <c r="AJ54" s="681">
        <v>0</v>
      </c>
      <c r="AK54" s="681">
        <v>0</v>
      </c>
      <c r="AL54" s="681">
        <v>0</v>
      </c>
      <c r="AM54" s="682">
        <v>0</v>
      </c>
      <c r="AO54" s="679">
        <v>710</v>
      </c>
      <c r="AP54" s="680" t="s">
        <v>13</v>
      </c>
      <c r="AQ54" s="681">
        <v>0</v>
      </c>
      <c r="AR54" s="681"/>
      <c r="AS54" s="681"/>
      <c r="AT54" s="681">
        <v>0</v>
      </c>
      <c r="AU54" s="681">
        <v>0</v>
      </c>
      <c r="AV54" s="681"/>
      <c r="AW54" s="681">
        <v>0</v>
      </c>
      <c r="AX54" s="681">
        <v>0</v>
      </c>
      <c r="AY54" s="681">
        <v>0</v>
      </c>
      <c r="AZ54" s="682">
        <v>0</v>
      </c>
      <c r="BB54" s="679">
        <v>710</v>
      </c>
      <c r="BC54" s="704" t="s">
        <v>13</v>
      </c>
      <c r="BD54" s="703">
        <v>0</v>
      </c>
      <c r="BE54" s="703"/>
      <c r="BF54" s="703"/>
      <c r="BG54" s="703">
        <v>0</v>
      </c>
      <c r="BH54" s="703">
        <v>0</v>
      </c>
      <c r="BI54" s="703"/>
      <c r="BJ54" s="703">
        <v>0</v>
      </c>
      <c r="BK54" s="703">
        <v>0</v>
      </c>
      <c r="BL54" s="703">
        <v>0</v>
      </c>
      <c r="BM54" s="682">
        <v>0</v>
      </c>
      <c r="BN54" s="254"/>
      <c r="BO54" s="679">
        <v>710</v>
      </c>
      <c r="BP54" s="704" t="s">
        <v>13</v>
      </c>
      <c r="BQ54" s="703">
        <v>0</v>
      </c>
      <c r="BR54" s="703"/>
      <c r="BS54" s="703"/>
      <c r="BT54" s="703">
        <v>0</v>
      </c>
      <c r="BU54" s="703">
        <v>0</v>
      </c>
      <c r="BV54" s="703"/>
      <c r="BW54" s="703">
        <v>0</v>
      </c>
      <c r="BX54" s="703">
        <v>0</v>
      </c>
      <c r="BY54" s="703">
        <v>0</v>
      </c>
      <c r="BZ54" s="682">
        <v>0</v>
      </c>
    </row>
    <row r="55" spans="2:79" x14ac:dyDescent="0.25">
      <c r="B55" s="679">
        <v>720</v>
      </c>
      <c r="C55" s="680" t="s">
        <v>305</v>
      </c>
      <c r="D55" s="681">
        <v>2000</v>
      </c>
      <c r="E55" s="681"/>
      <c r="F55" s="681"/>
      <c r="G55" s="681">
        <v>2000</v>
      </c>
      <c r="H55" s="681">
        <v>0</v>
      </c>
      <c r="I55" s="681"/>
      <c r="J55" s="681">
        <v>0</v>
      </c>
      <c r="K55" s="681">
        <v>0</v>
      </c>
      <c r="L55" s="681">
        <v>2000</v>
      </c>
      <c r="M55" s="682">
        <v>2000</v>
      </c>
      <c r="O55" s="679">
        <v>720</v>
      </c>
      <c r="P55" s="702" t="s">
        <v>305</v>
      </c>
      <c r="Q55" s="703">
        <v>1000</v>
      </c>
      <c r="R55" s="703"/>
      <c r="S55" s="703"/>
      <c r="T55" s="703">
        <v>1000</v>
      </c>
      <c r="U55" s="703">
        <v>0</v>
      </c>
      <c r="V55" s="703"/>
      <c r="W55" s="703">
        <v>0</v>
      </c>
      <c r="X55" s="703">
        <v>0</v>
      </c>
      <c r="Y55" s="703">
        <v>1000</v>
      </c>
      <c r="Z55" s="703">
        <v>1000</v>
      </c>
      <c r="AB55" s="679">
        <v>720</v>
      </c>
      <c r="AC55" s="709" t="s">
        <v>305</v>
      </c>
      <c r="AD55" s="681">
        <v>1000</v>
      </c>
      <c r="AE55" s="681"/>
      <c r="AF55" s="681"/>
      <c r="AG55" s="681">
        <v>1000</v>
      </c>
      <c r="AH55" s="681">
        <v>0</v>
      </c>
      <c r="AI55" s="681"/>
      <c r="AJ55" s="681">
        <v>0</v>
      </c>
      <c r="AK55" s="681">
        <v>0</v>
      </c>
      <c r="AL55" s="681">
        <v>1000</v>
      </c>
      <c r="AM55" s="682">
        <v>1000</v>
      </c>
      <c r="AO55" s="679">
        <v>720</v>
      </c>
      <c r="AP55" s="709" t="s">
        <v>305</v>
      </c>
      <c r="AQ55" s="681">
        <v>1000</v>
      </c>
      <c r="AR55" s="681"/>
      <c r="AS55" s="681"/>
      <c r="AT55" s="681">
        <v>1000</v>
      </c>
      <c r="AU55" s="681">
        <v>0</v>
      </c>
      <c r="AV55" s="681"/>
      <c r="AW55" s="681">
        <v>0</v>
      </c>
      <c r="AX55" s="681">
        <v>0</v>
      </c>
      <c r="AY55" s="681">
        <v>1000</v>
      </c>
      <c r="AZ55" s="682">
        <v>1000</v>
      </c>
      <c r="BB55" s="679">
        <v>720</v>
      </c>
      <c r="BC55" s="702" t="s">
        <v>305</v>
      </c>
      <c r="BD55" s="703">
        <v>1000</v>
      </c>
      <c r="BE55" s="703"/>
      <c r="BF55" s="703"/>
      <c r="BG55" s="703">
        <v>1000</v>
      </c>
      <c r="BH55" s="703">
        <v>0</v>
      </c>
      <c r="BI55" s="703"/>
      <c r="BJ55" s="703">
        <v>0</v>
      </c>
      <c r="BK55" s="703">
        <v>0</v>
      </c>
      <c r="BL55" s="703">
        <v>1000</v>
      </c>
      <c r="BM55" s="682">
        <v>1000</v>
      </c>
      <c r="BN55" s="254"/>
      <c r="BO55" s="679">
        <v>720</v>
      </c>
      <c r="BP55" s="702" t="s">
        <v>305</v>
      </c>
      <c r="BQ55" s="703">
        <v>2714342.52</v>
      </c>
      <c r="BR55" s="703"/>
      <c r="BS55" s="703"/>
      <c r="BT55" s="703">
        <v>0</v>
      </c>
      <c r="BU55" s="703">
        <v>2714342.52</v>
      </c>
      <c r="BV55" s="703"/>
      <c r="BW55" s="703">
        <v>0</v>
      </c>
      <c r="BX55" s="703">
        <v>-30017.31</v>
      </c>
      <c r="BY55" s="703">
        <v>2714342.52</v>
      </c>
      <c r="BZ55" s="682">
        <v>2744359.83</v>
      </c>
    </row>
    <row r="56" spans="2:79" x14ac:dyDescent="0.25">
      <c r="B56" s="679">
        <v>730</v>
      </c>
      <c r="C56" s="680" t="s">
        <v>306</v>
      </c>
      <c r="D56" s="681">
        <v>0</v>
      </c>
      <c r="E56" s="681"/>
      <c r="F56" s="681"/>
      <c r="G56" s="681">
        <v>0</v>
      </c>
      <c r="H56" s="681">
        <v>0</v>
      </c>
      <c r="I56" s="681"/>
      <c r="J56" s="681">
        <v>0</v>
      </c>
      <c r="K56" s="681">
        <v>0</v>
      </c>
      <c r="L56" s="681">
        <v>0</v>
      </c>
      <c r="M56" s="682">
        <v>0</v>
      </c>
      <c r="O56" s="679">
        <v>730</v>
      </c>
      <c r="P56" s="706" t="s">
        <v>306</v>
      </c>
      <c r="Q56" s="703">
        <v>0</v>
      </c>
      <c r="R56" s="703"/>
      <c r="S56" s="703"/>
      <c r="T56" s="703">
        <v>0</v>
      </c>
      <c r="U56" s="703">
        <v>0</v>
      </c>
      <c r="V56" s="703"/>
      <c r="W56" s="703">
        <v>0</v>
      </c>
      <c r="X56" s="703">
        <v>0</v>
      </c>
      <c r="Y56" s="703">
        <v>0</v>
      </c>
      <c r="Z56" s="703">
        <v>0</v>
      </c>
      <c r="AB56" s="679">
        <v>730</v>
      </c>
      <c r="AC56" s="711" t="s">
        <v>306</v>
      </c>
      <c r="AD56" s="681">
        <v>0</v>
      </c>
      <c r="AE56" s="681"/>
      <c r="AF56" s="681"/>
      <c r="AG56" s="681">
        <v>0</v>
      </c>
      <c r="AH56" s="681">
        <v>0</v>
      </c>
      <c r="AI56" s="681"/>
      <c r="AJ56" s="681">
        <v>0</v>
      </c>
      <c r="AK56" s="681">
        <v>0</v>
      </c>
      <c r="AL56" s="681">
        <v>0</v>
      </c>
      <c r="AM56" s="682">
        <v>0</v>
      </c>
      <c r="AO56" s="679">
        <v>730</v>
      </c>
      <c r="AP56" s="711" t="s">
        <v>306</v>
      </c>
      <c r="AQ56" s="681">
        <v>0</v>
      </c>
      <c r="AR56" s="681"/>
      <c r="AS56" s="681"/>
      <c r="AT56" s="681">
        <v>0</v>
      </c>
      <c r="AU56" s="681">
        <v>0</v>
      </c>
      <c r="AV56" s="681"/>
      <c r="AW56" s="681">
        <v>0</v>
      </c>
      <c r="AX56" s="681">
        <v>0</v>
      </c>
      <c r="AY56" s="681">
        <v>0</v>
      </c>
      <c r="AZ56" s="682">
        <v>0</v>
      </c>
      <c r="BB56" s="679">
        <v>730</v>
      </c>
      <c r="BC56" s="706" t="s">
        <v>306</v>
      </c>
      <c r="BD56" s="703">
        <v>0</v>
      </c>
      <c r="BE56" s="703"/>
      <c r="BF56" s="703"/>
      <c r="BG56" s="703">
        <v>0</v>
      </c>
      <c r="BH56" s="703">
        <v>0</v>
      </c>
      <c r="BI56" s="703"/>
      <c r="BJ56" s="703">
        <v>0</v>
      </c>
      <c r="BK56" s="703">
        <v>0</v>
      </c>
      <c r="BL56" s="703">
        <v>0</v>
      </c>
      <c r="BM56" s="682">
        <v>0</v>
      </c>
      <c r="BN56" s="254"/>
      <c r="BO56" s="679">
        <v>730</v>
      </c>
      <c r="BP56" s="706" t="s">
        <v>306</v>
      </c>
      <c r="BQ56" s="703">
        <v>50000</v>
      </c>
      <c r="BR56" s="703"/>
      <c r="BS56" s="703"/>
      <c r="BT56" s="703">
        <v>0</v>
      </c>
      <c r="BU56" s="703">
        <v>50000</v>
      </c>
      <c r="BV56" s="703"/>
      <c r="BW56" s="703">
        <v>0</v>
      </c>
      <c r="BX56" s="703">
        <v>0</v>
      </c>
      <c r="BY56" s="703">
        <v>50000</v>
      </c>
      <c r="BZ56" s="682">
        <v>50000</v>
      </c>
    </row>
    <row r="57" spans="2:79" x14ac:dyDescent="0.25">
      <c r="B57" s="679">
        <v>740</v>
      </c>
      <c r="C57" s="680" t="s">
        <v>307</v>
      </c>
      <c r="D57" s="681">
        <v>-8433659.7400000002</v>
      </c>
      <c r="E57" s="681"/>
      <c r="F57" s="681"/>
      <c r="G57" s="681">
        <v>-8097103</v>
      </c>
      <c r="H57" s="681">
        <v>-336556.74</v>
      </c>
      <c r="I57" s="681"/>
      <c r="J57" s="681">
        <v>0</v>
      </c>
      <c r="K57" s="681">
        <v>0</v>
      </c>
      <c r="L57" s="681">
        <v>-8433659.7400000002</v>
      </c>
      <c r="M57" s="682">
        <v>-8433659.7400000002</v>
      </c>
      <c r="O57" s="679">
        <v>740</v>
      </c>
      <c r="P57" s="702" t="s">
        <v>307</v>
      </c>
      <c r="Q57" s="703">
        <v>-1007352.3</v>
      </c>
      <c r="R57" s="703"/>
      <c r="S57" s="703"/>
      <c r="T57" s="703">
        <v>-835801</v>
      </c>
      <c r="U57" s="703">
        <v>-171551.3</v>
      </c>
      <c r="V57" s="703"/>
      <c r="W57" s="703">
        <v>0</v>
      </c>
      <c r="X57" s="703">
        <v>0</v>
      </c>
      <c r="Y57" s="703">
        <v>-1007352.3</v>
      </c>
      <c r="Z57" s="703">
        <v>-1007352.3</v>
      </c>
      <c r="AB57" s="679">
        <v>740</v>
      </c>
      <c r="AC57" s="709" t="s">
        <v>307</v>
      </c>
      <c r="AD57" s="681">
        <v>-3119729</v>
      </c>
      <c r="AE57" s="681"/>
      <c r="AF57" s="681"/>
      <c r="AG57" s="681">
        <v>-2878621</v>
      </c>
      <c r="AH57" s="681">
        <v>-241108</v>
      </c>
      <c r="AI57" s="681"/>
      <c r="AJ57" s="681">
        <v>0</v>
      </c>
      <c r="AK57" s="681">
        <v>0</v>
      </c>
      <c r="AL57" s="681">
        <v>-3119729</v>
      </c>
      <c r="AM57" s="682">
        <v>-3119729</v>
      </c>
      <c r="AO57" s="679">
        <v>740</v>
      </c>
      <c r="AP57" s="709" t="s">
        <v>307</v>
      </c>
      <c r="AQ57" s="681">
        <v>-1610700.93</v>
      </c>
      <c r="AR57" s="681"/>
      <c r="AS57" s="681"/>
      <c r="AT57" s="681">
        <v>-835801</v>
      </c>
      <c r="AU57" s="681">
        <v>-774899.93</v>
      </c>
      <c r="AV57" s="681"/>
      <c r="AW57" s="681">
        <v>0</v>
      </c>
      <c r="AX57" s="681">
        <v>0</v>
      </c>
      <c r="AY57" s="681">
        <v>-1610700.93</v>
      </c>
      <c r="AZ57" s="682">
        <v>-1610700.93</v>
      </c>
      <c r="BB57" s="679">
        <v>740</v>
      </c>
      <c r="BC57" s="702" t="s">
        <v>307</v>
      </c>
      <c r="BD57" s="703">
        <v>18910.09</v>
      </c>
      <c r="BE57" s="703"/>
      <c r="BF57" s="703"/>
      <c r="BG57" s="703">
        <v>-835801</v>
      </c>
      <c r="BH57" s="703">
        <v>854711.09</v>
      </c>
      <c r="BI57" s="703"/>
      <c r="BJ57" s="703">
        <v>0</v>
      </c>
      <c r="BK57" s="703">
        <v>0</v>
      </c>
      <c r="BL57" s="703">
        <v>18910.09</v>
      </c>
      <c r="BM57" s="682">
        <v>18910.09</v>
      </c>
      <c r="BN57" s="254"/>
      <c r="BO57" s="679">
        <v>740</v>
      </c>
      <c r="BP57" s="702" t="s">
        <v>307</v>
      </c>
      <c r="BQ57" s="703">
        <v>2671035.4</v>
      </c>
      <c r="BR57" s="703"/>
      <c r="BS57" s="703"/>
      <c r="BT57" s="703">
        <v>0</v>
      </c>
      <c r="BU57" s="703">
        <v>2671035.4</v>
      </c>
      <c r="BV57" s="703"/>
      <c r="BW57" s="703">
        <v>0</v>
      </c>
      <c r="BX57" s="703">
        <v>0</v>
      </c>
      <c r="BY57" s="703">
        <v>2671035.4</v>
      </c>
      <c r="BZ57" s="682">
        <v>2671035.4</v>
      </c>
    </row>
    <row r="58" spans="2:79" x14ac:dyDescent="0.25">
      <c r="B58" s="679">
        <v>750</v>
      </c>
      <c r="C58" s="680" t="s">
        <v>250</v>
      </c>
      <c r="D58" s="681">
        <v>154378.34</v>
      </c>
      <c r="E58" s="681"/>
      <c r="F58" s="681"/>
      <c r="G58" s="681">
        <v>34011</v>
      </c>
      <c r="H58" s="681">
        <v>120367.34</v>
      </c>
      <c r="I58" s="681"/>
      <c r="J58" s="681">
        <v>-4671.57</v>
      </c>
      <c r="K58" s="681">
        <v>154378.34</v>
      </c>
      <c r="L58" s="681">
        <v>159049.91</v>
      </c>
      <c r="M58" s="682">
        <v>0</v>
      </c>
      <c r="O58" s="679">
        <v>750</v>
      </c>
      <c r="P58" s="702" t="s">
        <v>250</v>
      </c>
      <c r="Q58" s="703">
        <v>-17519.650000000001</v>
      </c>
      <c r="R58" s="703"/>
      <c r="S58" s="703"/>
      <c r="T58" s="703">
        <v>-23425</v>
      </c>
      <c r="U58" s="703">
        <v>5905.35</v>
      </c>
      <c r="V58" s="703"/>
      <c r="W58" s="703">
        <v>-3777.7</v>
      </c>
      <c r="X58" s="703">
        <v>-17519.650000000001</v>
      </c>
      <c r="Y58" s="703">
        <v>-13741.95</v>
      </c>
      <c r="Z58" s="703">
        <v>0</v>
      </c>
      <c r="AB58" s="679">
        <v>750</v>
      </c>
      <c r="AC58" s="709" t="s">
        <v>250</v>
      </c>
      <c r="AD58" s="681">
        <v>-71060.84</v>
      </c>
      <c r="AE58" s="681"/>
      <c r="AF58" s="681"/>
      <c r="AG58" s="681">
        <v>-4770</v>
      </c>
      <c r="AH58" s="681">
        <v>-66290.84</v>
      </c>
      <c r="AI58" s="681"/>
      <c r="AJ58" s="681">
        <v>6689.45</v>
      </c>
      <c r="AK58" s="681">
        <v>-71060.84</v>
      </c>
      <c r="AL58" s="681">
        <v>-77750.289999999994</v>
      </c>
      <c r="AM58" s="682">
        <v>0</v>
      </c>
      <c r="AO58" s="679">
        <v>750</v>
      </c>
      <c r="AP58" s="709" t="s">
        <v>250</v>
      </c>
      <c r="AQ58" s="681">
        <v>-140155</v>
      </c>
      <c r="AR58" s="681"/>
      <c r="AS58" s="681"/>
      <c r="AT58" s="681">
        <v>-27298</v>
      </c>
      <c r="AU58" s="681">
        <v>-112857</v>
      </c>
      <c r="AV58" s="681"/>
      <c r="AW58" s="681">
        <v>-28065.7</v>
      </c>
      <c r="AX58" s="681">
        <v>-140155</v>
      </c>
      <c r="AY58" s="681">
        <v>-112089.3</v>
      </c>
      <c r="AZ58" s="682">
        <v>0</v>
      </c>
      <c r="BB58" s="679">
        <v>750</v>
      </c>
      <c r="BC58" s="702" t="s">
        <v>250</v>
      </c>
      <c r="BD58" s="703">
        <v>-82031.490000000005</v>
      </c>
      <c r="BE58" s="703"/>
      <c r="BF58" s="703"/>
      <c r="BG58" s="703">
        <v>-12061</v>
      </c>
      <c r="BH58" s="703">
        <v>-69970.490000000005</v>
      </c>
      <c r="BI58" s="703"/>
      <c r="BJ58" s="703">
        <v>-2349.11</v>
      </c>
      <c r="BK58" s="703">
        <v>-82031.490000000005</v>
      </c>
      <c r="BL58" s="703">
        <v>-79682.38</v>
      </c>
      <c r="BM58" s="682">
        <v>0</v>
      </c>
      <c r="BN58" s="254"/>
      <c r="BO58" s="679">
        <v>750</v>
      </c>
      <c r="BP58" s="702" t="s">
        <v>250</v>
      </c>
      <c r="BQ58" s="703">
        <v>305072.93</v>
      </c>
      <c r="BR58" s="703"/>
      <c r="BS58" s="703"/>
      <c r="BT58" s="703">
        <v>116300</v>
      </c>
      <c r="BU58" s="703">
        <v>188772.93</v>
      </c>
      <c r="BV58" s="703"/>
      <c r="BW58" s="703">
        <v>57793.279999999999</v>
      </c>
      <c r="BX58" s="703">
        <v>305072.93</v>
      </c>
      <c r="BY58" s="703">
        <v>247279.65</v>
      </c>
      <c r="BZ58" s="682">
        <v>0</v>
      </c>
    </row>
    <row r="59" spans="2:79" x14ac:dyDescent="0.25">
      <c r="B59" s="679">
        <v>760</v>
      </c>
      <c r="C59" s="680" t="s">
        <v>308</v>
      </c>
      <c r="D59" s="681">
        <v>3594747.53</v>
      </c>
      <c r="E59" s="681"/>
      <c r="F59" s="681"/>
      <c r="G59" s="681">
        <v>3594750</v>
      </c>
      <c r="H59" s="681">
        <v>-2.4700000000000002</v>
      </c>
      <c r="I59" s="681"/>
      <c r="J59" s="681">
        <v>0</v>
      </c>
      <c r="K59" s="681">
        <v>0</v>
      </c>
      <c r="L59" s="681">
        <v>3594747.53</v>
      </c>
      <c r="M59" s="682">
        <v>3594747.53</v>
      </c>
      <c r="O59" s="679">
        <v>760</v>
      </c>
      <c r="P59" s="702" t="s">
        <v>308</v>
      </c>
      <c r="Q59" s="703">
        <v>0</v>
      </c>
      <c r="R59" s="703"/>
      <c r="S59" s="703"/>
      <c r="T59" s="703">
        <v>0</v>
      </c>
      <c r="U59" s="703">
        <v>0</v>
      </c>
      <c r="V59" s="703"/>
      <c r="W59" s="703">
        <v>0</v>
      </c>
      <c r="X59" s="703">
        <v>0</v>
      </c>
      <c r="Y59" s="703">
        <v>0</v>
      </c>
      <c r="Z59" s="703">
        <v>0</v>
      </c>
      <c r="AB59" s="679">
        <v>760</v>
      </c>
      <c r="AC59" s="709" t="s">
        <v>308</v>
      </c>
      <c r="AD59" s="681">
        <v>0</v>
      </c>
      <c r="AE59" s="681"/>
      <c r="AF59" s="681"/>
      <c r="AG59" s="681">
        <v>0</v>
      </c>
      <c r="AH59" s="681">
        <v>0</v>
      </c>
      <c r="AI59" s="681"/>
      <c r="AJ59" s="681">
        <v>0</v>
      </c>
      <c r="AK59" s="681">
        <v>0</v>
      </c>
      <c r="AL59" s="681">
        <v>0</v>
      </c>
      <c r="AM59" s="682">
        <v>0</v>
      </c>
      <c r="AO59" s="679">
        <v>760</v>
      </c>
      <c r="AP59" s="709" t="s">
        <v>308</v>
      </c>
      <c r="AQ59" s="681">
        <v>399500</v>
      </c>
      <c r="AR59" s="681"/>
      <c r="AS59" s="681"/>
      <c r="AT59" s="681">
        <v>0</v>
      </c>
      <c r="AU59" s="681">
        <v>399500</v>
      </c>
      <c r="AV59" s="681"/>
      <c r="AW59" s="681">
        <v>0</v>
      </c>
      <c r="AX59" s="681">
        <v>0</v>
      </c>
      <c r="AY59" s="681">
        <v>399500</v>
      </c>
      <c r="AZ59" s="682">
        <v>399500</v>
      </c>
      <c r="BB59" s="679">
        <v>760</v>
      </c>
      <c r="BC59" s="702" t="s">
        <v>308</v>
      </c>
      <c r="BD59" s="703">
        <v>4000</v>
      </c>
      <c r="BE59" s="703"/>
      <c r="BF59" s="703"/>
      <c r="BG59" s="703">
        <v>0</v>
      </c>
      <c r="BH59" s="703">
        <v>4000</v>
      </c>
      <c r="BI59" s="703"/>
      <c r="BJ59" s="703">
        <v>0</v>
      </c>
      <c r="BK59" s="703">
        <v>0</v>
      </c>
      <c r="BL59" s="703">
        <v>4000</v>
      </c>
      <c r="BM59" s="682">
        <v>4000</v>
      </c>
      <c r="BN59" s="254"/>
      <c r="BO59" s="679">
        <v>760</v>
      </c>
      <c r="BP59" s="702" t="s">
        <v>308</v>
      </c>
      <c r="BQ59" s="703">
        <v>0</v>
      </c>
      <c r="BR59" s="703"/>
      <c r="BS59" s="703"/>
      <c r="BT59" s="703">
        <v>0</v>
      </c>
      <c r="BU59" s="703">
        <v>0</v>
      </c>
      <c r="BV59" s="703"/>
      <c r="BW59" s="703">
        <v>0</v>
      </c>
      <c r="BX59" s="703">
        <v>0</v>
      </c>
      <c r="BY59" s="703">
        <v>0</v>
      </c>
      <c r="BZ59" s="682">
        <v>0</v>
      </c>
    </row>
    <row r="60" spans="2:79" hidden="1" x14ac:dyDescent="0.25">
      <c r="B60" s="679">
        <v>770</v>
      </c>
      <c r="C60" s="680"/>
      <c r="D60" s="681">
        <v>0</v>
      </c>
      <c r="E60" s="681"/>
      <c r="F60" s="681"/>
      <c r="G60" s="681">
        <v>0</v>
      </c>
      <c r="H60" s="681">
        <v>0</v>
      </c>
      <c r="I60" s="681"/>
      <c r="J60" s="681">
        <v>0</v>
      </c>
      <c r="K60" s="681">
        <v>0</v>
      </c>
      <c r="L60" s="681">
        <v>0</v>
      </c>
      <c r="M60" s="682">
        <v>0</v>
      </c>
      <c r="O60" s="679">
        <v>770</v>
      </c>
      <c r="P60" s="704"/>
      <c r="Q60" s="703">
        <v>0</v>
      </c>
      <c r="R60" s="703"/>
      <c r="S60" s="703"/>
      <c r="T60" s="703">
        <v>0</v>
      </c>
      <c r="U60" s="703">
        <v>0</v>
      </c>
      <c r="V60" s="703"/>
      <c r="W60" s="703">
        <v>0</v>
      </c>
      <c r="X60" s="703">
        <v>0</v>
      </c>
      <c r="Y60" s="703">
        <v>0</v>
      </c>
      <c r="Z60" s="703">
        <v>0</v>
      </c>
      <c r="AB60" s="679">
        <v>770</v>
      </c>
      <c r="AC60" s="680"/>
      <c r="AD60" s="681">
        <v>0</v>
      </c>
      <c r="AE60" s="681"/>
      <c r="AF60" s="681"/>
      <c r="AG60" s="681">
        <v>0</v>
      </c>
      <c r="AH60" s="681">
        <v>0</v>
      </c>
      <c r="AI60" s="681"/>
      <c r="AJ60" s="681">
        <v>0</v>
      </c>
      <c r="AK60" s="681">
        <v>0</v>
      </c>
      <c r="AL60" s="681">
        <v>0</v>
      </c>
      <c r="AM60" s="682">
        <v>0</v>
      </c>
      <c r="AO60" s="679">
        <v>770</v>
      </c>
      <c r="AP60" s="680"/>
      <c r="AQ60" s="681">
        <v>0</v>
      </c>
      <c r="AR60" s="681"/>
      <c r="AS60" s="681"/>
      <c r="AT60" s="681">
        <v>0</v>
      </c>
      <c r="AU60" s="681">
        <v>0</v>
      </c>
      <c r="AV60" s="681"/>
      <c r="AW60" s="681">
        <v>0</v>
      </c>
      <c r="AX60" s="681">
        <v>0</v>
      </c>
      <c r="AY60" s="681">
        <v>0</v>
      </c>
      <c r="AZ60" s="682">
        <v>0</v>
      </c>
      <c r="BB60" s="679">
        <v>770</v>
      </c>
      <c r="BC60" s="704"/>
      <c r="BD60" s="703">
        <v>0</v>
      </c>
      <c r="BE60" s="703"/>
      <c r="BF60" s="703"/>
      <c r="BG60" s="703">
        <v>0</v>
      </c>
      <c r="BH60" s="703">
        <v>0</v>
      </c>
      <c r="BI60" s="703"/>
      <c r="BJ60" s="703">
        <v>0</v>
      </c>
      <c r="BK60" s="703">
        <v>0</v>
      </c>
      <c r="BL60" s="703">
        <v>0</v>
      </c>
      <c r="BM60" s="682">
        <v>0</v>
      </c>
      <c r="BN60" s="254"/>
      <c r="BO60" s="679">
        <v>770</v>
      </c>
      <c r="BP60" s="704"/>
      <c r="BQ60" s="703">
        <v>0</v>
      </c>
      <c r="BR60" s="703"/>
      <c r="BS60" s="703"/>
      <c r="BT60" s="703">
        <v>0</v>
      </c>
      <c r="BU60" s="703">
        <v>0</v>
      </c>
      <c r="BV60" s="703"/>
      <c r="BW60" s="703">
        <v>0</v>
      </c>
      <c r="BX60" s="703">
        <v>0</v>
      </c>
      <c r="BY60" s="703">
        <v>0</v>
      </c>
      <c r="BZ60" s="682">
        <v>0</v>
      </c>
    </row>
    <row r="61" spans="2:79" s="111" customFormat="1" ht="13" x14ac:dyDescent="0.3">
      <c r="B61" s="679">
        <v>800</v>
      </c>
      <c r="C61" s="680" t="s">
        <v>309</v>
      </c>
      <c r="D61" s="681">
        <v>-4682533.87</v>
      </c>
      <c r="E61" s="681"/>
      <c r="F61" s="681"/>
      <c r="G61" s="681">
        <v>-4466342</v>
      </c>
      <c r="H61" s="681">
        <v>-216191.87</v>
      </c>
      <c r="I61" s="681"/>
      <c r="J61" s="681">
        <v>-4671.57</v>
      </c>
      <c r="K61" s="681">
        <v>154378.34</v>
      </c>
      <c r="L61" s="681">
        <v>-4677862.3</v>
      </c>
      <c r="M61" s="682">
        <v>-4836912.21</v>
      </c>
      <c r="N61" s="253"/>
      <c r="O61" s="662">
        <v>800</v>
      </c>
      <c r="P61" s="705" t="s">
        <v>309</v>
      </c>
      <c r="Q61" s="701">
        <v>-1023871.95</v>
      </c>
      <c r="R61" s="701"/>
      <c r="S61" s="701"/>
      <c r="T61" s="701">
        <v>-858226</v>
      </c>
      <c r="U61" s="701">
        <v>-165645.95000000001</v>
      </c>
      <c r="V61" s="701"/>
      <c r="W61" s="701">
        <v>-3777.7</v>
      </c>
      <c r="X61" s="701">
        <v>-17519.650000000001</v>
      </c>
      <c r="Y61" s="701">
        <v>-1020094.25</v>
      </c>
      <c r="Z61" s="701">
        <v>-1006352.3</v>
      </c>
      <c r="AA61" s="253"/>
      <c r="AB61" s="662">
        <v>800</v>
      </c>
      <c r="AC61" s="710" t="s">
        <v>309</v>
      </c>
      <c r="AD61" s="707">
        <v>-3189789.84</v>
      </c>
      <c r="AE61" s="707"/>
      <c r="AF61" s="707"/>
      <c r="AG61" s="707">
        <v>-2882391</v>
      </c>
      <c r="AH61" s="707">
        <v>-307398.84000000003</v>
      </c>
      <c r="AI61" s="707"/>
      <c r="AJ61" s="707">
        <v>6689.45</v>
      </c>
      <c r="AK61" s="707">
        <v>-71060.84</v>
      </c>
      <c r="AL61" s="707">
        <v>-3196479.29</v>
      </c>
      <c r="AM61" s="708">
        <v>-3118729</v>
      </c>
      <c r="AN61" s="253"/>
      <c r="AO61" s="662">
        <v>800</v>
      </c>
      <c r="AP61" s="710" t="s">
        <v>309</v>
      </c>
      <c r="AQ61" s="707">
        <v>-1350355.93</v>
      </c>
      <c r="AR61" s="707"/>
      <c r="AS61" s="707"/>
      <c r="AT61" s="707">
        <v>-862099</v>
      </c>
      <c r="AU61" s="707">
        <v>-488256.93</v>
      </c>
      <c r="AV61" s="707"/>
      <c r="AW61" s="707">
        <v>-28065.7</v>
      </c>
      <c r="AX61" s="707">
        <v>-140155</v>
      </c>
      <c r="AY61" s="707">
        <v>-1322290.23</v>
      </c>
      <c r="AZ61" s="708">
        <v>-1210200.93</v>
      </c>
      <c r="BB61" s="662">
        <v>800</v>
      </c>
      <c r="BC61" s="705" t="s">
        <v>309</v>
      </c>
      <c r="BD61" s="701">
        <v>-58121.4</v>
      </c>
      <c r="BE61" s="701"/>
      <c r="BF61" s="701"/>
      <c r="BG61" s="701">
        <v>-846862</v>
      </c>
      <c r="BH61" s="701">
        <v>788740.6</v>
      </c>
      <c r="BI61" s="701"/>
      <c r="BJ61" s="701">
        <v>-2349.11</v>
      </c>
      <c r="BK61" s="701">
        <v>-82031.490000000005</v>
      </c>
      <c r="BL61" s="701">
        <v>-55772.29</v>
      </c>
      <c r="BM61" s="708">
        <v>23910.09</v>
      </c>
      <c r="BN61" s="254"/>
      <c r="BO61" s="662">
        <v>800</v>
      </c>
      <c r="BP61" s="705" t="s">
        <v>309</v>
      </c>
      <c r="BQ61" s="701">
        <v>5740450.8499999996</v>
      </c>
      <c r="BR61" s="701"/>
      <c r="BS61" s="701"/>
      <c r="BT61" s="701">
        <v>116300</v>
      </c>
      <c r="BU61" s="701">
        <v>5624150.8499999996</v>
      </c>
      <c r="BV61" s="701"/>
      <c r="BW61" s="701">
        <v>57793.279999999999</v>
      </c>
      <c r="BX61" s="701">
        <v>275055.62</v>
      </c>
      <c r="BY61" s="701">
        <v>5682657.5700000003</v>
      </c>
      <c r="BZ61" s="708">
        <v>5465395.2300000004</v>
      </c>
      <c r="CA61" s="120"/>
    </row>
    <row r="62" spans="2:79" s="111" customFormat="1" ht="13" x14ac:dyDescent="0.3">
      <c r="B62" s="679">
        <v>900</v>
      </c>
      <c r="C62" s="680" t="s">
        <v>310</v>
      </c>
      <c r="D62" s="681">
        <v>561305.17000000004</v>
      </c>
      <c r="E62" s="681"/>
      <c r="F62" s="681"/>
      <c r="G62" s="681">
        <v>7681160</v>
      </c>
      <c r="H62" s="681">
        <v>-7119854.8300000001</v>
      </c>
      <c r="I62" s="681"/>
      <c r="J62" s="681">
        <v>13621.97</v>
      </c>
      <c r="K62" s="681">
        <v>-6466544.1200000001</v>
      </c>
      <c r="L62" s="681">
        <v>547683.19999999995</v>
      </c>
      <c r="M62" s="682">
        <v>7027849.29</v>
      </c>
      <c r="N62" s="253"/>
      <c r="O62" s="662">
        <v>900</v>
      </c>
      <c r="P62" s="705" t="s">
        <v>310</v>
      </c>
      <c r="Q62" s="701">
        <v>590217.82999999996</v>
      </c>
      <c r="R62" s="701"/>
      <c r="S62" s="701"/>
      <c r="T62" s="701">
        <v>607463</v>
      </c>
      <c r="U62" s="701">
        <v>-17245.169999999998</v>
      </c>
      <c r="V62" s="701"/>
      <c r="W62" s="701">
        <v>-23220.45</v>
      </c>
      <c r="X62" s="701">
        <v>4574.79</v>
      </c>
      <c r="Y62" s="701">
        <v>613438.28</v>
      </c>
      <c r="Z62" s="701">
        <v>585643.04</v>
      </c>
      <c r="AA62" s="253"/>
      <c r="AB62" s="662">
        <v>900</v>
      </c>
      <c r="AC62" s="710" t="s">
        <v>310</v>
      </c>
      <c r="AD62" s="707">
        <v>3871475.47</v>
      </c>
      <c r="AE62" s="707"/>
      <c r="AF62" s="707"/>
      <c r="AG62" s="707">
        <v>3942873</v>
      </c>
      <c r="AH62" s="707">
        <v>-71397.53</v>
      </c>
      <c r="AI62" s="707"/>
      <c r="AJ62" s="707">
        <v>-114343.03999999999</v>
      </c>
      <c r="AK62" s="707">
        <v>156155.72</v>
      </c>
      <c r="AL62" s="707">
        <v>3985818.51</v>
      </c>
      <c r="AM62" s="708">
        <v>3715319.75</v>
      </c>
      <c r="AN62" s="253"/>
      <c r="AO62" s="662">
        <v>900</v>
      </c>
      <c r="AP62" s="710" t="s">
        <v>310</v>
      </c>
      <c r="AQ62" s="707">
        <v>393278.65</v>
      </c>
      <c r="AR62" s="707"/>
      <c r="AS62" s="707"/>
      <c r="AT62" s="707">
        <v>603590</v>
      </c>
      <c r="AU62" s="707">
        <v>-210311.35</v>
      </c>
      <c r="AV62" s="707"/>
      <c r="AW62" s="707">
        <v>13710.53</v>
      </c>
      <c r="AX62" s="707">
        <v>-11633.29</v>
      </c>
      <c r="AY62" s="707">
        <v>379568.12</v>
      </c>
      <c r="AZ62" s="708">
        <v>404911.94</v>
      </c>
      <c r="BB62" s="662">
        <v>900</v>
      </c>
      <c r="BC62" s="705" t="s">
        <v>310</v>
      </c>
      <c r="BD62" s="701">
        <v>348523.23</v>
      </c>
      <c r="BE62" s="701"/>
      <c r="BF62" s="701"/>
      <c r="BG62" s="701">
        <v>618827</v>
      </c>
      <c r="BH62" s="701">
        <v>-270303.77</v>
      </c>
      <c r="BI62" s="701"/>
      <c r="BJ62" s="701">
        <v>-6488.63</v>
      </c>
      <c r="BK62" s="701">
        <v>-41393.83</v>
      </c>
      <c r="BL62" s="701">
        <v>355011.86</v>
      </c>
      <c r="BM62" s="708">
        <v>389917.06</v>
      </c>
      <c r="BN62" s="254"/>
      <c r="BO62" s="662">
        <v>900</v>
      </c>
      <c r="BP62" s="705" t="s">
        <v>310</v>
      </c>
      <c r="BQ62" s="701">
        <v>11399346.41</v>
      </c>
      <c r="BR62" s="701"/>
      <c r="BS62" s="701"/>
      <c r="BT62" s="701">
        <v>116300</v>
      </c>
      <c r="BU62" s="701">
        <v>11283046.41</v>
      </c>
      <c r="BV62" s="701"/>
      <c r="BW62" s="701">
        <v>-186130.47</v>
      </c>
      <c r="BX62" s="701">
        <v>-65024.08</v>
      </c>
      <c r="BY62" s="701">
        <v>11585476.880000001</v>
      </c>
      <c r="BZ62" s="708">
        <v>11464370.49</v>
      </c>
      <c r="CA62" s="120"/>
    </row>
    <row r="63" spans="2:79" x14ac:dyDescent="0.25">
      <c r="B63" s="683">
        <v>1000</v>
      </c>
      <c r="C63" s="684" t="s">
        <v>14</v>
      </c>
      <c r="D63" s="685">
        <v>0</v>
      </c>
      <c r="E63" s="685"/>
      <c r="F63" s="685"/>
      <c r="G63" s="685">
        <v>38</v>
      </c>
      <c r="H63" s="685">
        <v>-38</v>
      </c>
      <c r="I63" s="685"/>
      <c r="J63" s="685">
        <v>0</v>
      </c>
      <c r="K63" s="685">
        <v>0</v>
      </c>
      <c r="L63" s="685">
        <v>0</v>
      </c>
      <c r="M63" s="686">
        <v>0</v>
      </c>
      <c r="O63" s="683">
        <v>1000</v>
      </c>
      <c r="P63" s="684" t="s">
        <v>14</v>
      </c>
      <c r="Q63" s="685">
        <v>0</v>
      </c>
      <c r="R63" s="685"/>
      <c r="S63" s="685"/>
      <c r="T63" s="685">
        <v>0</v>
      </c>
      <c r="U63" s="685">
        <v>0</v>
      </c>
      <c r="V63" s="685"/>
      <c r="W63" s="685">
        <v>0</v>
      </c>
      <c r="X63" s="685">
        <v>0</v>
      </c>
      <c r="Y63" s="685">
        <v>0</v>
      </c>
      <c r="Z63" s="685">
        <v>0</v>
      </c>
      <c r="AB63" s="683">
        <v>1000</v>
      </c>
      <c r="AC63" s="684" t="s">
        <v>14</v>
      </c>
      <c r="AD63" s="685">
        <v>0</v>
      </c>
      <c r="AE63" s="685"/>
      <c r="AF63" s="685"/>
      <c r="AG63" s="685">
        <v>-3</v>
      </c>
      <c r="AH63" s="685">
        <v>3</v>
      </c>
      <c r="AI63" s="685"/>
      <c r="AJ63" s="685">
        <v>0</v>
      </c>
      <c r="AK63" s="685">
        <v>0</v>
      </c>
      <c r="AL63" s="685">
        <v>0</v>
      </c>
      <c r="AM63" s="686">
        <v>0</v>
      </c>
      <c r="AO63" s="683">
        <v>1000</v>
      </c>
      <c r="AP63" s="684" t="s">
        <v>14</v>
      </c>
      <c r="AQ63" s="685">
        <v>0</v>
      </c>
      <c r="AR63" s="685"/>
      <c r="AS63" s="685"/>
      <c r="AT63" s="685">
        <v>3873</v>
      </c>
      <c r="AU63" s="685">
        <v>-3873</v>
      </c>
      <c r="AV63" s="685"/>
      <c r="AW63" s="685">
        <v>0</v>
      </c>
      <c r="AX63" s="685">
        <v>0</v>
      </c>
      <c r="AY63" s="685">
        <v>0</v>
      </c>
      <c r="AZ63" s="686">
        <v>0</v>
      </c>
      <c r="BB63" s="683">
        <v>1000</v>
      </c>
      <c r="BC63" s="684" t="s">
        <v>14</v>
      </c>
      <c r="BD63" s="685">
        <v>0</v>
      </c>
      <c r="BE63" s="685"/>
      <c r="BF63" s="685"/>
      <c r="BG63" s="685">
        <v>-11364</v>
      </c>
      <c r="BH63" s="685">
        <v>11364</v>
      </c>
      <c r="BI63" s="685"/>
      <c r="BJ63" s="685">
        <v>0</v>
      </c>
      <c r="BK63" s="685">
        <v>0</v>
      </c>
      <c r="BL63" s="685">
        <v>0</v>
      </c>
      <c r="BM63" s="686">
        <v>0</v>
      </c>
      <c r="BN63" s="254"/>
      <c r="BO63" s="683">
        <v>1000</v>
      </c>
      <c r="BP63" s="684" t="s">
        <v>14</v>
      </c>
      <c r="BQ63" s="685">
        <v>0</v>
      </c>
      <c r="BR63" s="685"/>
      <c r="BS63" s="685"/>
      <c r="BT63" s="685">
        <v>-116300</v>
      </c>
      <c r="BU63" s="685">
        <v>116300</v>
      </c>
      <c r="BV63" s="685"/>
      <c r="BW63" s="685">
        <v>0</v>
      </c>
      <c r="BX63" s="685">
        <v>0</v>
      </c>
      <c r="BY63" s="685">
        <v>0</v>
      </c>
      <c r="BZ63" s="686">
        <v>0</v>
      </c>
    </row>
    <row r="64" spans="2:79" ht="13" x14ac:dyDescent="0.3">
      <c r="B64" s="662"/>
      <c r="C64" s="671"/>
      <c r="D64" s="701"/>
      <c r="E64" s="701"/>
      <c r="F64" s="701"/>
      <c r="G64" s="701"/>
      <c r="H64" s="701"/>
      <c r="I64" s="701"/>
      <c r="J64" s="701"/>
      <c r="K64" s="701"/>
      <c r="L64" s="701"/>
      <c r="M64" s="708"/>
      <c r="O64" s="128"/>
      <c r="P64" s="128"/>
      <c r="AB64" s="128"/>
      <c r="AC64" s="128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S64" s="128"/>
      <c r="AT64" s="128"/>
      <c r="BN64" s="254"/>
      <c r="BY64" s="122"/>
      <c r="BZ64" s="122"/>
    </row>
    <row r="65" spans="2:78" x14ac:dyDescent="0.25">
      <c r="B65" s="284"/>
      <c r="C65" s="285"/>
      <c r="D65" s="286"/>
      <c r="E65" s="286"/>
      <c r="F65" s="286"/>
      <c r="G65" s="286"/>
      <c r="H65" s="286"/>
      <c r="I65" s="286"/>
      <c r="J65" s="286"/>
      <c r="K65" s="286"/>
      <c r="L65" s="286"/>
      <c r="M65" s="287"/>
      <c r="BN65" s="254"/>
      <c r="BY65" s="122"/>
      <c r="BZ65" s="122"/>
    </row>
    <row r="66" spans="2:78" x14ac:dyDescent="0.25">
      <c r="B66" s="128"/>
      <c r="C66" s="128"/>
      <c r="BN66" s="254"/>
      <c r="BY66" s="122"/>
      <c r="BZ66" s="122"/>
    </row>
    <row r="67" spans="2:78" x14ac:dyDescent="0.25">
      <c r="B67" s="128"/>
      <c r="C67" s="128"/>
      <c r="D67" s="121">
        <f>+D52+D63</f>
        <v>0</v>
      </c>
      <c r="BD67" s="120" t="s">
        <v>181</v>
      </c>
      <c r="BL67" s="120" t="s">
        <v>181</v>
      </c>
      <c r="BN67" s="254"/>
      <c r="BY67" s="122"/>
      <c r="BZ67" s="122"/>
    </row>
    <row r="68" spans="2:78" x14ac:dyDescent="0.25">
      <c r="B68" s="128"/>
      <c r="C68" s="128"/>
      <c r="BN68" s="254"/>
      <c r="BY68" s="122"/>
      <c r="BZ68" s="122"/>
    </row>
    <row r="69" spans="2:78" x14ac:dyDescent="0.25">
      <c r="B69" s="128"/>
      <c r="C69" s="128"/>
      <c r="BN69" s="254"/>
    </row>
    <row r="70" spans="2:78" x14ac:dyDescent="0.25">
      <c r="B70" s="128"/>
      <c r="C70" s="128"/>
      <c r="BN70" s="254"/>
    </row>
    <row r="71" spans="2:78" x14ac:dyDescent="0.25">
      <c r="B71" s="128"/>
      <c r="C71" s="128"/>
      <c r="BN71" s="254"/>
    </row>
    <row r="72" spans="2:78" x14ac:dyDescent="0.25">
      <c r="B72" s="128"/>
      <c r="C72" s="128"/>
      <c r="BN72" s="254"/>
    </row>
    <row r="73" spans="2:78" x14ac:dyDescent="0.25">
      <c r="B73" s="128"/>
      <c r="C73" s="128"/>
      <c r="BN73" s="254"/>
    </row>
    <row r="74" spans="2:78" x14ac:dyDescent="0.25">
      <c r="B74" s="128"/>
      <c r="C74" s="128"/>
      <c r="BN74" s="254"/>
    </row>
    <row r="75" spans="2:78" x14ac:dyDescent="0.25">
      <c r="B75" s="128"/>
      <c r="C75" s="128"/>
      <c r="BN75" s="254"/>
    </row>
    <row r="76" spans="2:78" x14ac:dyDescent="0.25">
      <c r="B76" s="128"/>
      <c r="C76" s="128"/>
      <c r="BN76" s="254"/>
    </row>
    <row r="77" spans="2:78" x14ac:dyDescent="0.25">
      <c r="B77" s="128"/>
      <c r="C77" s="128"/>
      <c r="BN77" s="254"/>
    </row>
    <row r="78" spans="2:78" x14ac:dyDescent="0.25">
      <c r="B78" s="128"/>
      <c r="C78" s="128"/>
      <c r="BN78" s="254"/>
    </row>
    <row r="79" spans="2:78" x14ac:dyDescent="0.25">
      <c r="B79" s="128"/>
      <c r="C79" s="128"/>
      <c r="BN79" s="254"/>
    </row>
    <row r="80" spans="2:78" x14ac:dyDescent="0.25">
      <c r="B80" s="128"/>
      <c r="C80" s="128"/>
      <c r="BN80" s="254"/>
    </row>
    <row r="81" spans="2:66" x14ac:dyDescent="0.25">
      <c r="B81" s="128"/>
      <c r="C81" s="128"/>
      <c r="BN81" s="254"/>
    </row>
    <row r="82" spans="2:66" x14ac:dyDescent="0.25">
      <c r="B82" s="128"/>
      <c r="C82" s="128"/>
      <c r="BN82" s="254"/>
    </row>
    <row r="83" spans="2:66" x14ac:dyDescent="0.25">
      <c r="B83" s="128"/>
      <c r="C83" s="128"/>
      <c r="BN83" s="254"/>
    </row>
    <row r="84" spans="2:66" x14ac:dyDescent="0.25">
      <c r="B84" s="128"/>
      <c r="C84" s="128"/>
      <c r="BN84" s="254"/>
    </row>
    <row r="85" spans="2:66" x14ac:dyDescent="0.25">
      <c r="B85" s="128"/>
      <c r="C85" s="128"/>
      <c r="BN85" s="254"/>
    </row>
    <row r="86" spans="2:66" x14ac:dyDescent="0.25">
      <c r="B86" s="128"/>
      <c r="C86" s="128"/>
      <c r="BN86" s="254"/>
    </row>
    <row r="87" spans="2:66" x14ac:dyDescent="0.25">
      <c r="B87" s="128"/>
      <c r="C87" s="128"/>
      <c r="BN87" s="254"/>
    </row>
    <row r="88" spans="2:66" x14ac:dyDescent="0.25">
      <c r="B88" s="128"/>
      <c r="C88" s="128"/>
      <c r="BN88" s="254"/>
    </row>
    <row r="89" spans="2:66" x14ac:dyDescent="0.25">
      <c r="B89" s="128"/>
      <c r="C89" s="128"/>
      <c r="BN89" s="254"/>
    </row>
    <row r="90" spans="2:66" x14ac:dyDescent="0.25">
      <c r="B90" s="128"/>
      <c r="C90" s="128"/>
      <c r="BN90" s="254"/>
    </row>
    <row r="91" spans="2:66" x14ac:dyDescent="0.25">
      <c r="B91" s="128"/>
      <c r="C91" s="128"/>
      <c r="BN91" s="254"/>
    </row>
    <row r="92" spans="2:66" x14ac:dyDescent="0.25">
      <c r="B92" s="128"/>
      <c r="C92" s="128"/>
      <c r="BN92" s="254"/>
    </row>
    <row r="93" spans="2:66" x14ac:dyDescent="0.25">
      <c r="B93" s="128"/>
      <c r="C93" s="128"/>
      <c r="BN93" s="254"/>
    </row>
    <row r="94" spans="2:66" x14ac:dyDescent="0.25">
      <c r="B94" s="128"/>
      <c r="C94" s="128"/>
      <c r="BN94" s="254"/>
    </row>
    <row r="95" spans="2:66" x14ac:dyDescent="0.25">
      <c r="B95" s="128"/>
      <c r="C95" s="128"/>
      <c r="BN95" s="254"/>
    </row>
    <row r="96" spans="2:66" x14ac:dyDescent="0.25">
      <c r="B96" s="128"/>
      <c r="C96" s="128"/>
      <c r="BN96" s="254"/>
    </row>
    <row r="97" spans="2:66" x14ac:dyDescent="0.25">
      <c r="B97" s="128"/>
      <c r="C97" s="128"/>
      <c r="BN97" s="254"/>
    </row>
    <row r="98" spans="2:66" x14ac:dyDescent="0.25">
      <c r="B98" s="128"/>
      <c r="C98" s="128"/>
      <c r="BN98" s="254"/>
    </row>
    <row r="99" spans="2:66" x14ac:dyDescent="0.25">
      <c r="B99" s="128"/>
      <c r="C99" s="128"/>
      <c r="BN99" s="254"/>
    </row>
    <row r="100" spans="2:66" x14ac:dyDescent="0.25">
      <c r="B100" s="128"/>
      <c r="C100" s="128"/>
      <c r="BN100" s="254"/>
    </row>
    <row r="101" spans="2:66" x14ac:dyDescent="0.25">
      <c r="B101" s="128"/>
      <c r="C101" s="128"/>
      <c r="BN101" s="254"/>
    </row>
    <row r="102" spans="2:66" x14ac:dyDescent="0.25">
      <c r="B102" s="128"/>
      <c r="C102" s="128"/>
      <c r="BN102" s="254"/>
    </row>
    <row r="103" spans="2:66" x14ac:dyDescent="0.25">
      <c r="B103" s="128"/>
      <c r="C103" s="128"/>
      <c r="BN103" s="254"/>
    </row>
    <row r="104" spans="2:66" x14ac:dyDescent="0.25">
      <c r="B104" s="128"/>
      <c r="C104" s="128"/>
      <c r="BN104" s="254"/>
    </row>
    <row r="105" spans="2:66" x14ac:dyDescent="0.25">
      <c r="B105" s="128"/>
      <c r="C105" s="128"/>
    </row>
    <row r="106" spans="2:66" x14ac:dyDescent="0.25">
      <c r="B106" s="128"/>
      <c r="C106" s="128"/>
    </row>
    <row r="107" spans="2:66" x14ac:dyDescent="0.25">
      <c r="B107" s="128"/>
      <c r="C107" s="128"/>
    </row>
    <row r="108" spans="2:66" x14ac:dyDescent="0.25">
      <c r="B108" s="128"/>
      <c r="C108" s="128"/>
    </row>
    <row r="109" spans="2:66" x14ac:dyDescent="0.25">
      <c r="B109" s="128"/>
      <c r="C109" s="128"/>
    </row>
    <row r="110" spans="2:66" x14ac:dyDescent="0.25">
      <c r="B110" s="128"/>
      <c r="C110" s="128"/>
    </row>
    <row r="111" spans="2:66" x14ac:dyDescent="0.25">
      <c r="B111" s="128"/>
      <c r="C111" s="128"/>
    </row>
    <row r="112" spans="2:66" x14ac:dyDescent="0.25">
      <c r="B112" s="128"/>
      <c r="C112" s="128"/>
    </row>
    <row r="113" spans="2:3" x14ac:dyDescent="0.25">
      <c r="B113" s="128"/>
      <c r="C113" s="128"/>
    </row>
    <row r="114" spans="2:3" x14ac:dyDescent="0.25">
      <c r="B114" s="128"/>
      <c r="C114" s="128"/>
    </row>
    <row r="115" spans="2:3" x14ac:dyDescent="0.25">
      <c r="B115" s="128"/>
      <c r="C115" s="128"/>
    </row>
    <row r="116" spans="2:3" x14ac:dyDescent="0.25">
      <c r="B116" s="128"/>
      <c r="C116" s="128"/>
    </row>
    <row r="117" spans="2:3" x14ac:dyDescent="0.25">
      <c r="B117" s="128"/>
      <c r="C117" s="128"/>
    </row>
    <row r="118" spans="2:3" x14ac:dyDescent="0.25">
      <c r="B118" s="128"/>
      <c r="C118" s="128"/>
    </row>
    <row r="119" spans="2:3" x14ac:dyDescent="0.25">
      <c r="B119" s="128"/>
      <c r="C119" s="128"/>
    </row>
    <row r="120" spans="2:3" x14ac:dyDescent="0.25">
      <c r="B120" s="128"/>
      <c r="C120" s="128"/>
    </row>
    <row r="121" spans="2:3" x14ac:dyDescent="0.25">
      <c r="B121" s="128"/>
      <c r="C121" s="128"/>
    </row>
    <row r="122" spans="2:3" x14ac:dyDescent="0.25">
      <c r="B122" s="128"/>
      <c r="C122" s="128"/>
    </row>
    <row r="123" spans="2:3" x14ac:dyDescent="0.25">
      <c r="B123" s="128"/>
      <c r="C123" s="128"/>
    </row>
    <row r="124" spans="2:3" x14ac:dyDescent="0.25">
      <c r="B124" s="128"/>
      <c r="C124" s="128"/>
    </row>
    <row r="125" spans="2:3" x14ac:dyDescent="0.25">
      <c r="B125" s="128"/>
      <c r="C125" s="128"/>
    </row>
    <row r="126" spans="2:3" x14ac:dyDescent="0.25">
      <c r="B126" s="128"/>
      <c r="C126" s="128"/>
    </row>
    <row r="127" spans="2:3" x14ac:dyDescent="0.25">
      <c r="B127" s="128"/>
      <c r="C127" s="128"/>
    </row>
    <row r="128" spans="2:3" x14ac:dyDescent="0.25">
      <c r="B128" s="128"/>
      <c r="C128" s="128"/>
    </row>
    <row r="129" spans="2:3" x14ac:dyDescent="0.25">
      <c r="B129" s="128"/>
      <c r="C129" s="128"/>
    </row>
    <row r="130" spans="2:3" x14ac:dyDescent="0.25">
      <c r="B130" s="128"/>
      <c r="C130" s="128"/>
    </row>
    <row r="131" spans="2:3" x14ac:dyDescent="0.25">
      <c r="B131" s="128"/>
      <c r="C131" s="128"/>
    </row>
    <row r="132" spans="2:3" x14ac:dyDescent="0.25">
      <c r="B132" s="128"/>
      <c r="C132" s="128"/>
    </row>
    <row r="133" spans="2:3" x14ac:dyDescent="0.25">
      <c r="B133" s="128"/>
      <c r="C133" s="128"/>
    </row>
    <row r="134" spans="2:3" x14ac:dyDescent="0.25">
      <c r="B134" s="128"/>
      <c r="C134" s="128"/>
    </row>
    <row r="135" spans="2:3" x14ac:dyDescent="0.25">
      <c r="B135" s="128"/>
      <c r="C135" s="128"/>
    </row>
    <row r="136" spans="2:3" x14ac:dyDescent="0.25">
      <c r="B136" s="128"/>
      <c r="C136" s="128"/>
    </row>
    <row r="137" spans="2:3" x14ac:dyDescent="0.25">
      <c r="B137" s="128"/>
      <c r="C137" s="128"/>
    </row>
    <row r="138" spans="2:3" x14ac:dyDescent="0.25">
      <c r="B138" s="128"/>
      <c r="C138" s="128"/>
    </row>
    <row r="139" spans="2:3" x14ac:dyDescent="0.25">
      <c r="B139" s="128"/>
      <c r="C139" s="128"/>
    </row>
    <row r="140" spans="2:3" x14ac:dyDescent="0.25">
      <c r="B140" s="128"/>
      <c r="C140" s="128"/>
    </row>
    <row r="141" spans="2:3" x14ac:dyDescent="0.25">
      <c r="B141" s="128"/>
      <c r="C141" s="128"/>
    </row>
    <row r="142" spans="2:3" x14ac:dyDescent="0.25">
      <c r="B142" s="128"/>
      <c r="C142" s="128"/>
    </row>
    <row r="143" spans="2:3" x14ac:dyDescent="0.25">
      <c r="B143" s="128"/>
      <c r="C143" s="128"/>
    </row>
    <row r="144" spans="2:3" x14ac:dyDescent="0.25">
      <c r="B144" s="128"/>
      <c r="C144" s="128"/>
    </row>
    <row r="145" spans="2:3" x14ac:dyDescent="0.25">
      <c r="B145" s="128"/>
      <c r="C145" s="128"/>
    </row>
    <row r="146" spans="2:3" x14ac:dyDescent="0.25">
      <c r="B146" s="128"/>
      <c r="C146" s="128"/>
    </row>
    <row r="147" spans="2:3" x14ac:dyDescent="0.25">
      <c r="B147" s="128"/>
      <c r="C147" s="128"/>
    </row>
    <row r="148" spans="2:3" x14ac:dyDescent="0.25">
      <c r="B148" s="128"/>
      <c r="C148" s="128"/>
    </row>
    <row r="149" spans="2:3" x14ac:dyDescent="0.25">
      <c r="B149" s="128"/>
      <c r="C149" s="128"/>
    </row>
    <row r="150" spans="2:3" x14ac:dyDescent="0.25">
      <c r="B150" s="128"/>
      <c r="C150" s="128"/>
    </row>
    <row r="151" spans="2:3" x14ac:dyDescent="0.25">
      <c r="B151" s="128"/>
      <c r="C151" s="128"/>
    </row>
    <row r="152" spans="2:3" x14ac:dyDescent="0.25">
      <c r="B152" s="128"/>
      <c r="C152" s="128"/>
    </row>
    <row r="153" spans="2:3" x14ac:dyDescent="0.25">
      <c r="B153" s="128"/>
      <c r="C153" s="128"/>
    </row>
    <row r="154" spans="2:3" x14ac:dyDescent="0.25">
      <c r="B154" s="128"/>
      <c r="C154" s="128"/>
    </row>
    <row r="155" spans="2:3" x14ac:dyDescent="0.25">
      <c r="B155" s="128"/>
      <c r="C155" s="128"/>
    </row>
    <row r="156" spans="2:3" x14ac:dyDescent="0.25">
      <c r="B156" s="128"/>
      <c r="C156" s="128"/>
    </row>
    <row r="157" spans="2:3" x14ac:dyDescent="0.25">
      <c r="B157" s="128"/>
      <c r="C157" s="128"/>
    </row>
    <row r="158" spans="2:3" x14ac:dyDescent="0.25">
      <c r="B158" s="128"/>
      <c r="C158" s="128"/>
    </row>
    <row r="159" spans="2:3" x14ac:dyDescent="0.25">
      <c r="B159" s="128"/>
      <c r="C159" s="128"/>
    </row>
    <row r="160" spans="2:3" x14ac:dyDescent="0.25">
      <c r="B160" s="128"/>
      <c r="C160" s="128"/>
    </row>
    <row r="161" spans="2:3" x14ac:dyDescent="0.25">
      <c r="B161" s="128"/>
      <c r="C161" s="128"/>
    </row>
    <row r="162" spans="2:3" x14ac:dyDescent="0.25">
      <c r="B162" s="128"/>
      <c r="C162" s="128"/>
    </row>
    <row r="163" spans="2:3" x14ac:dyDescent="0.25">
      <c r="B163" s="128"/>
      <c r="C163" s="128"/>
    </row>
    <row r="164" spans="2:3" x14ac:dyDescent="0.25">
      <c r="B164" s="128"/>
      <c r="C164" s="128"/>
    </row>
    <row r="165" spans="2:3" x14ac:dyDescent="0.25">
      <c r="B165" s="128"/>
      <c r="C165" s="128"/>
    </row>
    <row r="166" spans="2:3" x14ac:dyDescent="0.25">
      <c r="B166" s="128"/>
      <c r="C166" s="128"/>
    </row>
    <row r="167" spans="2:3" x14ac:dyDescent="0.25">
      <c r="B167" s="128"/>
      <c r="C167" s="128"/>
    </row>
    <row r="168" spans="2:3" x14ac:dyDescent="0.25">
      <c r="B168" s="128"/>
      <c r="C168" s="128"/>
    </row>
    <row r="169" spans="2:3" x14ac:dyDescent="0.25">
      <c r="B169" s="128"/>
      <c r="C169" s="128"/>
    </row>
    <row r="170" spans="2:3" x14ac:dyDescent="0.25">
      <c r="B170" s="128"/>
      <c r="C170" s="128"/>
    </row>
    <row r="171" spans="2:3" x14ac:dyDescent="0.25">
      <c r="B171" s="128"/>
      <c r="C171" s="128"/>
    </row>
    <row r="172" spans="2:3" x14ac:dyDescent="0.25">
      <c r="B172" s="128"/>
      <c r="C172" s="128"/>
    </row>
    <row r="173" spans="2:3" x14ac:dyDescent="0.25">
      <c r="B173" s="128"/>
      <c r="C173" s="128"/>
    </row>
    <row r="174" spans="2:3" x14ac:dyDescent="0.25">
      <c r="B174" s="128"/>
      <c r="C174" s="128"/>
    </row>
    <row r="175" spans="2:3" x14ac:dyDescent="0.25">
      <c r="B175" s="128"/>
      <c r="C175" s="128"/>
    </row>
    <row r="176" spans="2:3" x14ac:dyDescent="0.25">
      <c r="B176" s="128"/>
      <c r="C176" s="128"/>
    </row>
    <row r="177" spans="2:3" x14ac:dyDescent="0.25">
      <c r="B177" s="128"/>
      <c r="C177" s="128"/>
    </row>
    <row r="178" spans="2:3" x14ac:dyDescent="0.25">
      <c r="B178" s="128"/>
      <c r="C178" s="128"/>
    </row>
    <row r="179" spans="2:3" x14ac:dyDescent="0.25">
      <c r="B179" s="128"/>
      <c r="C179" s="128"/>
    </row>
    <row r="180" spans="2:3" x14ac:dyDescent="0.25">
      <c r="B180" s="128"/>
      <c r="C180" s="128"/>
    </row>
    <row r="181" spans="2:3" x14ac:dyDescent="0.25">
      <c r="B181" s="128"/>
      <c r="C181" s="128"/>
    </row>
    <row r="182" spans="2:3" x14ac:dyDescent="0.25">
      <c r="B182" s="128"/>
      <c r="C182" s="128"/>
    </row>
    <row r="183" spans="2:3" x14ac:dyDescent="0.25">
      <c r="B183" s="128"/>
      <c r="C183" s="128"/>
    </row>
    <row r="184" spans="2:3" x14ac:dyDescent="0.25">
      <c r="B184" s="128"/>
      <c r="C184" s="128"/>
    </row>
    <row r="185" spans="2:3" x14ac:dyDescent="0.25">
      <c r="B185" s="128"/>
      <c r="C185" s="128"/>
    </row>
    <row r="186" spans="2:3" x14ac:dyDescent="0.25">
      <c r="B186" s="128"/>
      <c r="C186" s="128"/>
    </row>
    <row r="187" spans="2:3" x14ac:dyDescent="0.25">
      <c r="B187" s="128"/>
      <c r="C187" s="128"/>
    </row>
    <row r="188" spans="2:3" x14ac:dyDescent="0.25">
      <c r="B188" s="128"/>
      <c r="C188" s="128"/>
    </row>
    <row r="189" spans="2:3" x14ac:dyDescent="0.25">
      <c r="B189" s="128"/>
      <c r="C189" s="128"/>
    </row>
    <row r="190" spans="2:3" x14ac:dyDescent="0.25">
      <c r="B190" s="128"/>
      <c r="C190" s="128"/>
    </row>
    <row r="191" spans="2:3" x14ac:dyDescent="0.25">
      <c r="B191" s="128"/>
      <c r="C191" s="128"/>
    </row>
    <row r="192" spans="2:3" x14ac:dyDescent="0.25">
      <c r="B192" s="128"/>
      <c r="C192" s="128"/>
    </row>
    <row r="193" spans="2:3" x14ac:dyDescent="0.25">
      <c r="B193" s="128"/>
      <c r="C193" s="128"/>
    </row>
    <row r="194" spans="2:3" x14ac:dyDescent="0.25">
      <c r="B194" s="128"/>
      <c r="C194" s="128"/>
    </row>
    <row r="195" spans="2:3" x14ac:dyDescent="0.25">
      <c r="B195" s="128"/>
      <c r="C195" s="128"/>
    </row>
    <row r="196" spans="2:3" x14ac:dyDescent="0.25">
      <c r="B196" s="128"/>
      <c r="C196" s="128"/>
    </row>
    <row r="197" spans="2:3" x14ac:dyDescent="0.25">
      <c r="B197" s="128"/>
      <c r="C197" s="128"/>
    </row>
    <row r="198" spans="2:3" x14ac:dyDescent="0.25">
      <c r="B198" s="128"/>
      <c r="C198" s="128"/>
    </row>
    <row r="199" spans="2:3" x14ac:dyDescent="0.25">
      <c r="B199" s="128"/>
      <c r="C199" s="128"/>
    </row>
    <row r="200" spans="2:3" x14ac:dyDescent="0.25">
      <c r="B200" s="128"/>
      <c r="C200" s="128"/>
    </row>
    <row r="201" spans="2:3" x14ac:dyDescent="0.25">
      <c r="B201" s="128"/>
      <c r="C201" s="128"/>
    </row>
    <row r="202" spans="2:3" x14ac:dyDescent="0.25">
      <c r="B202" s="128"/>
      <c r="C202" s="128"/>
    </row>
    <row r="203" spans="2:3" x14ac:dyDescent="0.25">
      <c r="B203" s="128"/>
      <c r="C203" s="128"/>
    </row>
    <row r="204" spans="2:3" x14ac:dyDescent="0.25">
      <c r="B204" s="128"/>
      <c r="C204" s="128"/>
    </row>
    <row r="205" spans="2:3" x14ac:dyDescent="0.25">
      <c r="B205" s="128"/>
      <c r="C205" s="128"/>
    </row>
    <row r="206" spans="2:3" x14ac:dyDescent="0.25">
      <c r="B206" s="128"/>
      <c r="C206" s="128"/>
    </row>
    <row r="207" spans="2:3" x14ac:dyDescent="0.25">
      <c r="B207" s="128"/>
      <c r="C207" s="128"/>
    </row>
    <row r="208" spans="2:3" x14ac:dyDescent="0.25">
      <c r="B208" s="128"/>
      <c r="C208" s="128"/>
    </row>
    <row r="209" spans="2:3" x14ac:dyDescent="0.25">
      <c r="B209" s="128"/>
      <c r="C209" s="128"/>
    </row>
    <row r="210" spans="2:3" x14ac:dyDescent="0.25">
      <c r="B210" s="128"/>
      <c r="C210" s="128"/>
    </row>
    <row r="211" spans="2:3" x14ac:dyDescent="0.25">
      <c r="B211" s="128"/>
      <c r="C211" s="128"/>
    </row>
    <row r="212" spans="2:3" x14ac:dyDescent="0.25">
      <c r="B212" s="128"/>
      <c r="C212" s="128"/>
    </row>
    <row r="213" spans="2:3" x14ac:dyDescent="0.25">
      <c r="B213" s="128"/>
      <c r="C213" s="128"/>
    </row>
    <row r="214" spans="2:3" x14ac:dyDescent="0.25">
      <c r="B214" s="128"/>
      <c r="C214" s="128"/>
    </row>
    <row r="215" spans="2:3" x14ac:dyDescent="0.25">
      <c r="B215" s="128"/>
      <c r="C215" s="128"/>
    </row>
    <row r="216" spans="2:3" x14ac:dyDescent="0.25">
      <c r="B216" s="128"/>
      <c r="C216" s="128"/>
    </row>
    <row r="217" spans="2:3" x14ac:dyDescent="0.25">
      <c r="B217" s="128"/>
      <c r="C217" s="128"/>
    </row>
    <row r="218" spans="2:3" x14ac:dyDescent="0.25">
      <c r="B218" s="128"/>
      <c r="C218" s="128"/>
    </row>
    <row r="219" spans="2:3" x14ac:dyDescent="0.25">
      <c r="B219" s="128"/>
      <c r="C219" s="128"/>
    </row>
    <row r="220" spans="2:3" x14ac:dyDescent="0.25">
      <c r="B220" s="128"/>
      <c r="C220" s="128"/>
    </row>
    <row r="221" spans="2:3" x14ac:dyDescent="0.25">
      <c r="B221" s="128"/>
      <c r="C221" s="128"/>
    </row>
    <row r="222" spans="2:3" x14ac:dyDescent="0.25">
      <c r="B222" s="128"/>
      <c r="C222" s="128"/>
    </row>
    <row r="223" spans="2:3" x14ac:dyDescent="0.25">
      <c r="B223" s="128"/>
      <c r="C223" s="128"/>
    </row>
    <row r="224" spans="2:3" x14ac:dyDescent="0.25">
      <c r="B224" s="128"/>
      <c r="C224" s="128"/>
    </row>
    <row r="225" spans="2:3" x14ac:dyDescent="0.25">
      <c r="B225" s="128"/>
      <c r="C225" s="128"/>
    </row>
    <row r="226" spans="2:3" x14ac:dyDescent="0.25">
      <c r="B226" s="128"/>
      <c r="C226" s="128"/>
    </row>
    <row r="227" spans="2:3" x14ac:dyDescent="0.25">
      <c r="B227" s="128"/>
      <c r="C227" s="128"/>
    </row>
    <row r="228" spans="2:3" x14ac:dyDescent="0.25">
      <c r="B228" s="128"/>
      <c r="C228" s="128"/>
    </row>
    <row r="229" spans="2:3" x14ac:dyDescent="0.25">
      <c r="B229" s="128"/>
      <c r="C229" s="128"/>
    </row>
    <row r="230" spans="2:3" x14ac:dyDescent="0.25">
      <c r="B230" s="128"/>
      <c r="C230" s="128"/>
    </row>
    <row r="231" spans="2:3" x14ac:dyDescent="0.25">
      <c r="B231" s="128"/>
      <c r="C231" s="128"/>
    </row>
    <row r="232" spans="2:3" x14ac:dyDescent="0.25">
      <c r="B232" s="128"/>
      <c r="C232" s="128"/>
    </row>
    <row r="233" spans="2:3" x14ac:dyDescent="0.25">
      <c r="B233" s="128"/>
      <c r="C233" s="128"/>
    </row>
    <row r="234" spans="2:3" x14ac:dyDescent="0.25">
      <c r="B234" s="128"/>
      <c r="C234" s="128"/>
    </row>
    <row r="235" spans="2:3" x14ac:dyDescent="0.25">
      <c r="B235" s="128"/>
      <c r="C235" s="128"/>
    </row>
    <row r="236" spans="2:3" x14ac:dyDescent="0.25">
      <c r="B236" s="128"/>
      <c r="C236" s="128"/>
    </row>
    <row r="237" spans="2:3" x14ac:dyDescent="0.25">
      <c r="B237" s="128"/>
      <c r="C237" s="128"/>
    </row>
    <row r="238" spans="2:3" x14ac:dyDescent="0.25">
      <c r="B238" s="128"/>
      <c r="C238" s="128"/>
    </row>
    <row r="239" spans="2:3" x14ac:dyDescent="0.25">
      <c r="B239" s="128"/>
      <c r="C239" s="128"/>
    </row>
    <row r="240" spans="2:3" x14ac:dyDescent="0.25">
      <c r="B240" s="128"/>
      <c r="C240" s="128"/>
    </row>
    <row r="241" spans="2:3" x14ac:dyDescent="0.25">
      <c r="B241" s="128"/>
      <c r="C241" s="128"/>
    </row>
    <row r="242" spans="2:3" x14ac:dyDescent="0.25">
      <c r="B242" s="128"/>
      <c r="C242" s="128"/>
    </row>
    <row r="243" spans="2:3" x14ac:dyDescent="0.25">
      <c r="B243" s="128"/>
      <c r="C243" s="128"/>
    </row>
    <row r="244" spans="2:3" x14ac:dyDescent="0.25">
      <c r="B244" s="128"/>
      <c r="C244" s="128"/>
    </row>
    <row r="245" spans="2:3" x14ac:dyDescent="0.25">
      <c r="B245" s="128"/>
      <c r="C245" s="128"/>
    </row>
    <row r="246" spans="2:3" x14ac:dyDescent="0.25">
      <c r="B246" s="128"/>
      <c r="C246" s="128"/>
    </row>
    <row r="247" spans="2:3" x14ac:dyDescent="0.25">
      <c r="B247" s="128"/>
      <c r="C247" s="128"/>
    </row>
    <row r="248" spans="2:3" x14ac:dyDescent="0.25">
      <c r="B248" s="128"/>
      <c r="C248" s="128"/>
    </row>
    <row r="249" spans="2:3" x14ac:dyDescent="0.25">
      <c r="B249" s="128"/>
      <c r="C249" s="128"/>
    </row>
    <row r="250" spans="2:3" x14ac:dyDescent="0.25">
      <c r="B250" s="128"/>
      <c r="C250" s="128"/>
    </row>
  </sheetData>
  <phoneticPr fontId="0" type="noConversion"/>
  <pageMargins left="0" right="0" top="0.25" bottom="0.25" header="0.5" footer="0.5"/>
  <pageSetup scale="80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</sheetPr>
  <dimension ref="A1:R206"/>
  <sheetViews>
    <sheetView showGridLines="0" topLeftCell="A11" zoomScale="80" zoomScaleNormal="80" workbookViewId="0">
      <selection activeCell="B185" sqref="B185:P206"/>
    </sheetView>
  </sheetViews>
  <sheetFormatPr baseColWidth="10" defaultColWidth="10.90625" defaultRowHeight="12.5" x14ac:dyDescent="0.25"/>
  <cols>
    <col min="1" max="1" width="6.7265625" customWidth="1"/>
    <col min="3" max="3" width="21.81640625" customWidth="1"/>
    <col min="4" max="4" width="15.54296875" bestFit="1" customWidth="1"/>
  </cols>
  <sheetData>
    <row r="1" spans="2:18" ht="13" x14ac:dyDescent="0.3">
      <c r="D1" s="523" t="str">
        <f>TEXT(DATE(YEAR(MES_CIERRE),1,1),"MMMM")</f>
        <v>enero</v>
      </c>
      <c r="E1" s="523" t="str">
        <f>TEXT(DATE(YEAR(MES_CIERRE),2,1),"MMMM")</f>
        <v>febrero</v>
      </c>
      <c r="F1" s="523" t="str">
        <f>TEXT(DATE(YEAR(MES_CIERRE),3,1),"MMMM")</f>
        <v>marzo</v>
      </c>
      <c r="G1" s="523" t="str">
        <f>TEXT(DATE(YEAR(MES_CIERRE),4,1),"MMMM")</f>
        <v>abril</v>
      </c>
      <c r="H1" s="523" t="str">
        <f>TEXT(DATE(YEAR(MES_CIERRE),5,1),"MMMM")</f>
        <v>mayo</v>
      </c>
      <c r="I1" s="523" t="str">
        <f>TEXT(DATE(YEAR(MES_CIERRE),6,1),"MMMM")</f>
        <v>junio</v>
      </c>
      <c r="J1" s="523" t="str">
        <f>TEXT(DATE(YEAR(MES_CIERRE),7,1),"MMMM")</f>
        <v>julio</v>
      </c>
      <c r="K1" s="523" t="str">
        <f>TEXT(DATE(YEAR(MES_CIERRE),8,1),"MMMM")</f>
        <v>agosto</v>
      </c>
      <c r="L1" s="523" t="str">
        <f>TEXT(DATE(YEAR(MES_CIERRE),9,1),"MMMM")</f>
        <v>septiembre</v>
      </c>
      <c r="M1" s="523" t="str">
        <f>TEXT(DATE(YEAR(MES_CIERRE),10,1),"MMMM")</f>
        <v>octubre</v>
      </c>
      <c r="N1" s="523" t="str">
        <f>TEXT(DATE(YEAR(MES_CIERRE),11,1),"MMMM")</f>
        <v>noviembre</v>
      </c>
      <c r="O1" s="523" t="str">
        <f>TEXT(DATE(YEAR(MES_CIERRE),12,1),"MMMM")</f>
        <v>diciembre</v>
      </c>
      <c r="P1" s="523"/>
    </row>
    <row r="3" spans="2:18" s="292" customFormat="1" x14ac:dyDescent="0.25"/>
    <row r="4" spans="2:18" s="292" customFormat="1" x14ac:dyDescent="0.25"/>
    <row r="5" spans="2:18" s="292" customFormat="1" x14ac:dyDescent="0.25"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21"/>
      <c r="P5" s="521"/>
      <c r="Q5" s="521"/>
    </row>
    <row r="6" spans="2:18" s="292" customFormat="1" x14ac:dyDescent="0.25"/>
    <row r="7" spans="2:18" s="292" customFormat="1" x14ac:dyDescent="0.25"/>
    <row r="8" spans="2:18" s="359" customFormat="1" ht="13" x14ac:dyDescent="0.3">
      <c r="B8" s="111" t="s">
        <v>344</v>
      </c>
      <c r="C8" s="111">
        <v>601</v>
      </c>
    </row>
    <row r="9" spans="2:18" s="359" customFormat="1" ht="13" x14ac:dyDescent="0.3">
      <c r="B9" s="301" t="s">
        <v>164</v>
      </c>
      <c r="C9" s="302" t="s">
        <v>165</v>
      </c>
      <c r="D9" s="302" t="s">
        <v>418</v>
      </c>
      <c r="E9" s="302" t="s">
        <v>419</v>
      </c>
      <c r="F9" s="302" t="s">
        <v>417</v>
      </c>
      <c r="G9" s="302" t="s">
        <v>420</v>
      </c>
      <c r="H9" s="302" t="s">
        <v>421</v>
      </c>
      <c r="I9" s="302" t="s">
        <v>422</v>
      </c>
      <c r="J9" s="302" t="s">
        <v>423</v>
      </c>
      <c r="K9" s="302" t="s">
        <v>428</v>
      </c>
      <c r="L9" s="302" t="s">
        <v>424</v>
      </c>
      <c r="M9" s="302" t="s">
        <v>425</v>
      </c>
      <c r="N9" s="302" t="s">
        <v>426</v>
      </c>
      <c r="O9" s="302" t="s">
        <v>427</v>
      </c>
      <c r="P9" s="303" t="s">
        <v>8</v>
      </c>
    </row>
    <row r="10" spans="2:18" s="359" customFormat="1" ht="13" x14ac:dyDescent="0.3">
      <c r="B10" s="304" t="s">
        <v>181</v>
      </c>
      <c r="C10" s="305" t="s">
        <v>181</v>
      </c>
      <c r="D10" s="305"/>
      <c r="E10" s="305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6"/>
    </row>
    <row r="11" spans="2:18" s="359" customFormat="1" ht="13" x14ac:dyDescent="0.3">
      <c r="B11" s="307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/>
    </row>
    <row r="12" spans="2:18" s="359" customFormat="1" x14ac:dyDescent="0.25">
      <c r="B12" s="374">
        <v>30</v>
      </c>
      <c r="C12" s="375" t="s">
        <v>232</v>
      </c>
      <c r="D12" s="376">
        <f>+D40+D69+D98+D127+D155+D185</f>
        <v>1622903</v>
      </c>
      <c r="E12" s="376">
        <f t="shared" ref="E12:H12" si="0">+E40+E69+E98+E127+E155+E185</f>
        <v>1564394</v>
      </c>
      <c r="F12" s="376">
        <f t="shared" si="0"/>
        <v>1810232</v>
      </c>
      <c r="G12" s="376">
        <f t="shared" si="0"/>
        <v>1654640</v>
      </c>
      <c r="H12" s="376">
        <f t="shared" si="0"/>
        <v>1749197</v>
      </c>
      <c r="I12" s="376">
        <f t="shared" ref="I12:P21" si="1">+I40+I69+I98+I127+I155+I185</f>
        <v>1702190</v>
      </c>
      <c r="J12" s="376">
        <f t="shared" si="1"/>
        <v>1660672</v>
      </c>
      <c r="K12" s="376">
        <f t="shared" si="1"/>
        <v>3384665</v>
      </c>
      <c r="L12" s="376">
        <f t="shared" si="1"/>
        <v>3252657</v>
      </c>
      <c r="M12" s="376">
        <f t="shared" si="1"/>
        <v>3614455</v>
      </c>
      <c r="N12" s="376">
        <f t="shared" si="1"/>
        <v>3384839</v>
      </c>
      <c r="O12" s="376">
        <f t="shared" si="1"/>
        <v>3664067</v>
      </c>
      <c r="P12" s="377">
        <f t="shared" si="1"/>
        <v>29064911</v>
      </c>
      <c r="R12" s="380">
        <f>+G12-2+F12+E12+D12</f>
        <v>6652167</v>
      </c>
    </row>
    <row r="13" spans="2:18" s="359" customFormat="1" x14ac:dyDescent="0.25">
      <c r="B13" s="293">
        <v>40</v>
      </c>
      <c r="C13" s="294" t="s">
        <v>233</v>
      </c>
      <c r="D13" s="295">
        <f t="shared" ref="D13:H13" si="2">+D41+D70+D99+D128+D156+D186</f>
        <v>0</v>
      </c>
      <c r="E13" s="295">
        <f t="shared" si="2"/>
        <v>0</v>
      </c>
      <c r="F13" s="295">
        <f t="shared" si="2"/>
        <v>0</v>
      </c>
      <c r="G13" s="295">
        <f t="shared" si="2"/>
        <v>0</v>
      </c>
      <c r="H13" s="295">
        <f t="shared" si="2"/>
        <v>0</v>
      </c>
      <c r="I13" s="295">
        <f t="shared" si="1"/>
        <v>0</v>
      </c>
      <c r="J13" s="295">
        <f t="shared" si="1"/>
        <v>0</v>
      </c>
      <c r="K13" s="295">
        <f t="shared" si="1"/>
        <v>0</v>
      </c>
      <c r="L13" s="295">
        <f t="shared" si="1"/>
        <v>0</v>
      </c>
      <c r="M13" s="295">
        <f t="shared" si="1"/>
        <v>0</v>
      </c>
      <c r="N13" s="295">
        <f t="shared" si="1"/>
        <v>0</v>
      </c>
      <c r="O13" s="295">
        <f t="shared" si="1"/>
        <v>0</v>
      </c>
      <c r="P13" s="296">
        <f t="shared" si="1"/>
        <v>0</v>
      </c>
      <c r="R13" s="380">
        <f t="shared" ref="R13:R33" si="3">+G13-2</f>
        <v>-2</v>
      </c>
    </row>
    <row r="14" spans="2:18" s="359" customFormat="1" x14ac:dyDescent="0.25">
      <c r="B14" s="293">
        <v>50</v>
      </c>
      <c r="C14" s="294" t="s">
        <v>234</v>
      </c>
      <c r="D14" s="295">
        <f t="shared" ref="D14:H14" si="4">+D42+D71+D100+D129+D157+D187</f>
        <v>1622903</v>
      </c>
      <c r="E14" s="295">
        <f t="shared" si="4"/>
        <v>1564394</v>
      </c>
      <c r="F14" s="295">
        <f t="shared" si="4"/>
        <v>1810232</v>
      </c>
      <c r="G14" s="295">
        <f t="shared" si="4"/>
        <v>1654640</v>
      </c>
      <c r="H14" s="295">
        <f t="shared" si="4"/>
        <v>1749197</v>
      </c>
      <c r="I14" s="295">
        <f t="shared" si="1"/>
        <v>1702190</v>
      </c>
      <c r="J14" s="295">
        <f t="shared" si="1"/>
        <v>1660672</v>
      </c>
      <c r="K14" s="295">
        <f t="shared" si="1"/>
        <v>3384665</v>
      </c>
      <c r="L14" s="295">
        <f t="shared" si="1"/>
        <v>3252657</v>
      </c>
      <c r="M14" s="295">
        <f t="shared" si="1"/>
        <v>3614455</v>
      </c>
      <c r="N14" s="295">
        <f t="shared" si="1"/>
        <v>3384839</v>
      </c>
      <c r="O14" s="295">
        <f t="shared" si="1"/>
        <v>3664067</v>
      </c>
      <c r="P14" s="296">
        <f t="shared" si="1"/>
        <v>29064911</v>
      </c>
      <c r="R14" s="380">
        <f t="shared" si="3"/>
        <v>1654638</v>
      </c>
    </row>
    <row r="15" spans="2:18" s="359" customFormat="1" x14ac:dyDescent="0.25">
      <c r="B15" s="293">
        <v>60</v>
      </c>
      <c r="C15" s="294" t="s">
        <v>235</v>
      </c>
      <c r="D15" s="295">
        <f t="shared" ref="D15:H15" si="5">+D43+D72+D101+D130+D158+D188</f>
        <v>529627</v>
      </c>
      <c r="E15" s="295">
        <f t="shared" si="5"/>
        <v>508961</v>
      </c>
      <c r="F15" s="295">
        <f t="shared" si="5"/>
        <v>595426</v>
      </c>
      <c r="G15" s="295">
        <f t="shared" si="5"/>
        <v>540759</v>
      </c>
      <c r="H15" s="295">
        <f t="shared" si="5"/>
        <v>573904</v>
      </c>
      <c r="I15" s="295">
        <f t="shared" si="1"/>
        <v>557500</v>
      </c>
      <c r="J15" s="295">
        <f t="shared" si="1"/>
        <v>542971</v>
      </c>
      <c r="K15" s="295">
        <f t="shared" si="1"/>
        <v>1193613</v>
      </c>
      <c r="L15" s="295">
        <f t="shared" si="1"/>
        <v>1145659</v>
      </c>
      <c r="M15" s="295">
        <f t="shared" si="1"/>
        <v>1282161</v>
      </c>
      <c r="N15" s="295">
        <f t="shared" si="1"/>
        <v>1196574</v>
      </c>
      <c r="O15" s="295">
        <f t="shared" si="1"/>
        <v>1299307</v>
      </c>
      <c r="P15" s="296">
        <f t="shared" si="1"/>
        <v>9966462</v>
      </c>
      <c r="R15" s="380">
        <f t="shared" si="3"/>
        <v>540757</v>
      </c>
    </row>
    <row r="16" spans="2:18" s="359" customFormat="1" x14ac:dyDescent="0.25">
      <c r="B16" s="293">
        <v>65</v>
      </c>
      <c r="C16" s="294" t="s">
        <v>236</v>
      </c>
      <c r="D16" s="295">
        <f t="shared" ref="D16:H16" si="6">+D44+D73+D102+D131+D159+D189</f>
        <v>0</v>
      </c>
      <c r="E16" s="295">
        <f t="shared" si="6"/>
        <v>0</v>
      </c>
      <c r="F16" s="295">
        <f t="shared" si="6"/>
        <v>0</v>
      </c>
      <c r="G16" s="295">
        <f t="shared" si="6"/>
        <v>0</v>
      </c>
      <c r="H16" s="295">
        <f t="shared" si="6"/>
        <v>0</v>
      </c>
      <c r="I16" s="295">
        <f t="shared" si="1"/>
        <v>0</v>
      </c>
      <c r="J16" s="295">
        <f t="shared" si="1"/>
        <v>0</v>
      </c>
      <c r="K16" s="295">
        <f t="shared" si="1"/>
        <v>0</v>
      </c>
      <c r="L16" s="295">
        <f t="shared" si="1"/>
        <v>0</v>
      </c>
      <c r="M16" s="295">
        <f t="shared" si="1"/>
        <v>0</v>
      </c>
      <c r="N16" s="295">
        <f t="shared" si="1"/>
        <v>0</v>
      </c>
      <c r="O16" s="295">
        <f t="shared" si="1"/>
        <v>0</v>
      </c>
      <c r="P16" s="296">
        <f t="shared" si="1"/>
        <v>0</v>
      </c>
      <c r="R16" s="380">
        <f t="shared" si="3"/>
        <v>-2</v>
      </c>
    </row>
    <row r="17" spans="2:18" s="359" customFormat="1" x14ac:dyDescent="0.25">
      <c r="B17" s="293">
        <v>70</v>
      </c>
      <c r="C17" s="294" t="s">
        <v>237</v>
      </c>
      <c r="D17" s="295">
        <f t="shared" ref="D17:H17" si="7">+D45+D74+D103+D132+D160+D190</f>
        <v>1093276</v>
      </c>
      <c r="E17" s="295">
        <f t="shared" si="7"/>
        <v>1055433</v>
      </c>
      <c r="F17" s="295">
        <f t="shared" si="7"/>
        <v>1214806</v>
      </c>
      <c r="G17" s="295">
        <f t="shared" si="7"/>
        <v>1113881</v>
      </c>
      <c r="H17" s="295">
        <f t="shared" si="7"/>
        <v>1175293</v>
      </c>
      <c r="I17" s="295">
        <f t="shared" si="1"/>
        <v>1144690</v>
      </c>
      <c r="J17" s="295">
        <f t="shared" si="1"/>
        <v>1117701</v>
      </c>
      <c r="K17" s="295">
        <f t="shared" si="1"/>
        <v>2191052</v>
      </c>
      <c r="L17" s="295">
        <f t="shared" si="1"/>
        <v>2106998</v>
      </c>
      <c r="M17" s="295">
        <f t="shared" si="1"/>
        <v>2332294</v>
      </c>
      <c r="N17" s="295">
        <f t="shared" si="1"/>
        <v>2188265</v>
      </c>
      <c r="O17" s="295">
        <f t="shared" si="1"/>
        <v>2364760</v>
      </c>
      <c r="P17" s="296">
        <f t="shared" si="1"/>
        <v>19098449</v>
      </c>
      <c r="R17" s="380">
        <f t="shared" si="3"/>
        <v>1113879</v>
      </c>
    </row>
    <row r="18" spans="2:18" s="359" customFormat="1" x14ac:dyDescent="0.25">
      <c r="B18" s="293">
        <v>80</v>
      </c>
      <c r="C18" s="294" t="s">
        <v>238</v>
      </c>
      <c r="D18" s="295">
        <f t="shared" ref="D18:H18" si="8">+D46+D75+D104+D133+D161+D191</f>
        <v>981260</v>
      </c>
      <c r="E18" s="295">
        <f t="shared" si="8"/>
        <v>953763</v>
      </c>
      <c r="F18" s="295">
        <f t="shared" si="8"/>
        <v>1023326</v>
      </c>
      <c r="G18" s="295">
        <f t="shared" si="8"/>
        <v>983616</v>
      </c>
      <c r="H18" s="295">
        <f t="shared" si="8"/>
        <v>1008895</v>
      </c>
      <c r="I18" s="295">
        <f t="shared" si="1"/>
        <v>987654</v>
      </c>
      <c r="J18" s="295">
        <f t="shared" si="1"/>
        <v>981605</v>
      </c>
      <c r="K18" s="295">
        <f t="shared" si="1"/>
        <v>1965073</v>
      </c>
      <c r="L18" s="295">
        <f t="shared" si="1"/>
        <v>1900596</v>
      </c>
      <c r="M18" s="295">
        <f t="shared" si="1"/>
        <v>2017290</v>
      </c>
      <c r="N18" s="295">
        <f t="shared" si="1"/>
        <v>1907174</v>
      </c>
      <c r="O18" s="295">
        <f t="shared" si="1"/>
        <v>2013154</v>
      </c>
      <c r="P18" s="296">
        <f t="shared" si="1"/>
        <v>16723406</v>
      </c>
      <c r="R18" s="380">
        <f t="shared" si="3"/>
        <v>983614</v>
      </c>
    </row>
    <row r="19" spans="2:18" s="359" customFormat="1" x14ac:dyDescent="0.25">
      <c r="B19" s="293">
        <v>90</v>
      </c>
      <c r="C19" s="294" t="s">
        <v>239</v>
      </c>
      <c r="D19" s="295">
        <f t="shared" ref="D19:H19" si="9">+D47+D76+D105+D134+D162+D192</f>
        <v>85637</v>
      </c>
      <c r="E19" s="295">
        <f t="shared" si="9"/>
        <v>73709</v>
      </c>
      <c r="F19" s="295">
        <f t="shared" si="9"/>
        <v>67383</v>
      </c>
      <c r="G19" s="295">
        <f t="shared" si="9"/>
        <v>74288</v>
      </c>
      <c r="H19" s="295">
        <f t="shared" si="9"/>
        <v>81686</v>
      </c>
      <c r="I19" s="295">
        <f t="shared" si="1"/>
        <v>73292</v>
      </c>
      <c r="J19" s="295">
        <f t="shared" si="1"/>
        <v>64023</v>
      </c>
      <c r="K19" s="295">
        <f t="shared" si="1"/>
        <v>194074</v>
      </c>
      <c r="L19" s="295">
        <f t="shared" si="1"/>
        <v>168702</v>
      </c>
      <c r="M19" s="295">
        <f t="shared" si="1"/>
        <v>168012</v>
      </c>
      <c r="N19" s="295">
        <f t="shared" si="1"/>
        <v>168794</v>
      </c>
      <c r="O19" s="295">
        <f t="shared" si="1"/>
        <v>178284</v>
      </c>
      <c r="P19" s="296">
        <f t="shared" si="1"/>
        <v>1397884</v>
      </c>
      <c r="R19" s="380">
        <f t="shared" si="3"/>
        <v>74286</v>
      </c>
    </row>
    <row r="20" spans="2:18" s="359" customFormat="1" x14ac:dyDescent="0.25">
      <c r="B20" s="293">
        <v>100</v>
      </c>
      <c r="C20" s="294" t="s">
        <v>240</v>
      </c>
      <c r="D20" s="295">
        <f t="shared" ref="D20:H20" si="10">+D48+D77+D106+D135+D163+D193</f>
        <v>47904</v>
      </c>
      <c r="E20" s="295">
        <f t="shared" si="10"/>
        <v>47904</v>
      </c>
      <c r="F20" s="295">
        <f t="shared" si="10"/>
        <v>47904</v>
      </c>
      <c r="G20" s="295">
        <f t="shared" si="10"/>
        <v>47904</v>
      </c>
      <c r="H20" s="295">
        <f t="shared" si="10"/>
        <v>47904</v>
      </c>
      <c r="I20" s="295">
        <f t="shared" si="1"/>
        <v>47904</v>
      </c>
      <c r="J20" s="295">
        <f t="shared" si="1"/>
        <v>47904</v>
      </c>
      <c r="K20" s="295">
        <f t="shared" si="1"/>
        <v>62211</v>
      </c>
      <c r="L20" s="295">
        <f t="shared" si="1"/>
        <v>62211</v>
      </c>
      <c r="M20" s="295">
        <f t="shared" si="1"/>
        <v>62211</v>
      </c>
      <c r="N20" s="295">
        <f t="shared" si="1"/>
        <v>62211</v>
      </c>
      <c r="O20" s="295">
        <f t="shared" si="1"/>
        <v>62211</v>
      </c>
      <c r="P20" s="296">
        <f t="shared" si="1"/>
        <v>646383</v>
      </c>
      <c r="R20" s="380">
        <f t="shared" si="3"/>
        <v>47902</v>
      </c>
    </row>
    <row r="21" spans="2:18" s="359" customFormat="1" x14ac:dyDescent="0.25">
      <c r="B21" s="293">
        <v>110</v>
      </c>
      <c r="C21" s="294" t="s">
        <v>241</v>
      </c>
      <c r="D21" s="295">
        <f t="shared" ref="D21:H21" si="11">+D49+D78+D107+D136+D164+D194</f>
        <v>1114801</v>
      </c>
      <c r="E21" s="295">
        <f t="shared" si="11"/>
        <v>1075376</v>
      </c>
      <c r="F21" s="295">
        <f t="shared" si="11"/>
        <v>1138613</v>
      </c>
      <c r="G21" s="295">
        <f t="shared" si="11"/>
        <v>1105808</v>
      </c>
      <c r="H21" s="295">
        <f t="shared" si="11"/>
        <v>1138485</v>
      </c>
      <c r="I21" s="295">
        <f t="shared" si="1"/>
        <v>1108850</v>
      </c>
      <c r="J21" s="295">
        <f t="shared" si="1"/>
        <v>1093532</v>
      </c>
      <c r="K21" s="295">
        <f t="shared" si="1"/>
        <v>2221358</v>
      </c>
      <c r="L21" s="295">
        <f t="shared" si="1"/>
        <v>2131509</v>
      </c>
      <c r="M21" s="295">
        <f t="shared" si="1"/>
        <v>2247513</v>
      </c>
      <c r="N21" s="295">
        <f t="shared" si="1"/>
        <v>2138179</v>
      </c>
      <c r="O21" s="295">
        <f t="shared" si="1"/>
        <v>2253649</v>
      </c>
      <c r="P21" s="296">
        <f t="shared" si="1"/>
        <v>18767673</v>
      </c>
      <c r="R21" s="380">
        <f t="shared" si="3"/>
        <v>1105806</v>
      </c>
    </row>
    <row r="22" spans="2:18" s="359" customFormat="1" x14ac:dyDescent="0.25">
      <c r="B22" s="293">
        <v>120</v>
      </c>
      <c r="C22" s="294" t="s">
        <v>242</v>
      </c>
      <c r="D22" s="295">
        <f t="shared" ref="D22:H22" si="12">+D50+D79+D108+D137+D165+D195</f>
        <v>-21525</v>
      </c>
      <c r="E22" s="295">
        <f t="shared" si="12"/>
        <v>-19943</v>
      </c>
      <c r="F22" s="295">
        <f t="shared" si="12"/>
        <v>76193</v>
      </c>
      <c r="G22" s="295">
        <f t="shared" si="12"/>
        <v>8073</v>
      </c>
      <c r="H22" s="295">
        <f t="shared" si="12"/>
        <v>36808</v>
      </c>
      <c r="I22" s="295">
        <f t="shared" ref="I22:P31" si="13">+I50+I79+I108+I137+I165+I195</f>
        <v>35840</v>
      </c>
      <c r="J22" s="295">
        <f t="shared" si="13"/>
        <v>24169</v>
      </c>
      <c r="K22" s="295">
        <f t="shared" si="13"/>
        <v>-30306</v>
      </c>
      <c r="L22" s="295">
        <f t="shared" si="13"/>
        <v>-24511</v>
      </c>
      <c r="M22" s="295">
        <f t="shared" si="13"/>
        <v>84781</v>
      </c>
      <c r="N22" s="295">
        <f t="shared" si="13"/>
        <v>50086</v>
      </c>
      <c r="O22" s="295">
        <f t="shared" si="13"/>
        <v>111111</v>
      </c>
      <c r="P22" s="296">
        <f t="shared" si="13"/>
        <v>330776</v>
      </c>
      <c r="R22" s="380">
        <f t="shared" si="3"/>
        <v>8071</v>
      </c>
    </row>
    <row r="23" spans="2:18" s="359" customFormat="1" x14ac:dyDescent="0.25">
      <c r="B23" s="293">
        <v>130</v>
      </c>
      <c r="C23" s="294"/>
      <c r="D23" s="295">
        <f t="shared" ref="D23:H23" si="14">+D51+D80+D109+D138+D166+D196</f>
        <v>0</v>
      </c>
      <c r="E23" s="295">
        <f t="shared" si="14"/>
        <v>0</v>
      </c>
      <c r="F23" s="295">
        <f t="shared" si="14"/>
        <v>0</v>
      </c>
      <c r="G23" s="295">
        <f t="shared" si="14"/>
        <v>0</v>
      </c>
      <c r="H23" s="295">
        <f t="shared" si="14"/>
        <v>0</v>
      </c>
      <c r="I23" s="295">
        <f t="shared" si="13"/>
        <v>0</v>
      </c>
      <c r="J23" s="295">
        <f t="shared" si="13"/>
        <v>0</v>
      </c>
      <c r="K23" s="295">
        <f t="shared" si="13"/>
        <v>0</v>
      </c>
      <c r="L23" s="295">
        <f t="shared" si="13"/>
        <v>0</v>
      </c>
      <c r="M23" s="295">
        <f t="shared" si="13"/>
        <v>0</v>
      </c>
      <c r="N23" s="295">
        <f t="shared" si="13"/>
        <v>0</v>
      </c>
      <c r="O23" s="295">
        <f t="shared" si="13"/>
        <v>0</v>
      </c>
      <c r="P23" s="296">
        <f t="shared" si="13"/>
        <v>0</v>
      </c>
      <c r="R23" s="380">
        <f t="shared" si="3"/>
        <v>-2</v>
      </c>
    </row>
    <row r="24" spans="2:18" s="359" customFormat="1" x14ac:dyDescent="0.25">
      <c r="B24" s="293">
        <v>135</v>
      </c>
      <c r="C24" s="294" t="s">
        <v>243</v>
      </c>
      <c r="D24" s="295">
        <f t="shared" ref="D24:H24" si="15">+D52+D81+D110+D139+D167+D197</f>
        <v>-7444</v>
      </c>
      <c r="E24" s="295">
        <f t="shared" si="15"/>
        <v>-7444</v>
      </c>
      <c r="F24" s="295">
        <f t="shared" si="15"/>
        <v>-7444</v>
      </c>
      <c r="G24" s="295">
        <f t="shared" si="15"/>
        <v>-7444</v>
      </c>
      <c r="H24" s="295">
        <f t="shared" si="15"/>
        <v>-7444</v>
      </c>
      <c r="I24" s="295">
        <f t="shared" si="13"/>
        <v>-7444</v>
      </c>
      <c r="J24" s="295">
        <f t="shared" si="13"/>
        <v>-7444</v>
      </c>
      <c r="K24" s="295">
        <f t="shared" si="13"/>
        <v>-58824</v>
      </c>
      <c r="L24" s="295">
        <f t="shared" si="13"/>
        <v>-58824</v>
      </c>
      <c r="M24" s="295">
        <f t="shared" si="13"/>
        <v>-58824</v>
      </c>
      <c r="N24" s="295">
        <f t="shared" si="13"/>
        <v>-58824</v>
      </c>
      <c r="O24" s="295">
        <f t="shared" si="13"/>
        <v>-58824</v>
      </c>
      <c r="P24" s="296">
        <f t="shared" si="13"/>
        <v>-346228</v>
      </c>
      <c r="R24" s="380">
        <f t="shared" si="3"/>
        <v>-7446</v>
      </c>
    </row>
    <row r="25" spans="2:18" s="359" customFormat="1" x14ac:dyDescent="0.25">
      <c r="B25" s="293">
        <v>140</v>
      </c>
      <c r="C25" s="294" t="s">
        <v>244</v>
      </c>
      <c r="D25" s="295">
        <f t="shared" ref="D25:H25" si="16">+D53+D82+D111+D140+D168+D198</f>
        <v>48964</v>
      </c>
      <c r="E25" s="295">
        <f t="shared" si="16"/>
        <v>47714</v>
      </c>
      <c r="F25" s="295">
        <f t="shared" si="16"/>
        <v>47464</v>
      </c>
      <c r="G25" s="295">
        <f t="shared" si="16"/>
        <v>47213</v>
      </c>
      <c r="H25" s="295">
        <f t="shared" si="16"/>
        <v>46961</v>
      </c>
      <c r="I25" s="295">
        <f t="shared" si="13"/>
        <v>46709</v>
      </c>
      <c r="J25" s="295">
        <f t="shared" si="13"/>
        <v>46457</v>
      </c>
      <c r="K25" s="295">
        <f t="shared" si="13"/>
        <v>77766</v>
      </c>
      <c r="L25" s="295">
        <f t="shared" si="13"/>
        <v>77373</v>
      </c>
      <c r="M25" s="295">
        <f t="shared" si="13"/>
        <v>76980</v>
      </c>
      <c r="N25" s="295">
        <f t="shared" si="13"/>
        <v>76586</v>
      </c>
      <c r="O25" s="295">
        <f t="shared" si="13"/>
        <v>77189</v>
      </c>
      <c r="P25" s="296">
        <f t="shared" si="13"/>
        <v>717376</v>
      </c>
      <c r="R25" s="380">
        <f t="shared" si="3"/>
        <v>47211</v>
      </c>
    </row>
    <row r="26" spans="2:18" s="359" customFormat="1" x14ac:dyDescent="0.25">
      <c r="B26" s="293">
        <v>150</v>
      </c>
      <c r="C26" s="294" t="s">
        <v>245</v>
      </c>
      <c r="D26" s="295">
        <f t="shared" ref="D26:H26" si="17">+D54+D83+D112+D141+D169+D199</f>
        <v>0</v>
      </c>
      <c r="E26" s="295">
        <f t="shared" si="17"/>
        <v>0</v>
      </c>
      <c r="F26" s="295">
        <f t="shared" si="17"/>
        <v>0</v>
      </c>
      <c r="G26" s="295">
        <f t="shared" si="17"/>
        <v>0</v>
      </c>
      <c r="H26" s="295">
        <f t="shared" si="17"/>
        <v>0</v>
      </c>
      <c r="I26" s="295">
        <f t="shared" si="13"/>
        <v>0</v>
      </c>
      <c r="J26" s="295">
        <f t="shared" si="13"/>
        <v>0</v>
      </c>
      <c r="K26" s="295">
        <f t="shared" si="13"/>
        <v>0</v>
      </c>
      <c r="L26" s="295">
        <f t="shared" si="13"/>
        <v>0</v>
      </c>
      <c r="M26" s="295">
        <f t="shared" si="13"/>
        <v>0</v>
      </c>
      <c r="N26" s="295">
        <f t="shared" si="13"/>
        <v>0</v>
      </c>
      <c r="O26" s="295">
        <f t="shared" si="13"/>
        <v>0</v>
      </c>
      <c r="P26" s="296">
        <f t="shared" si="13"/>
        <v>0</v>
      </c>
      <c r="R26" s="380">
        <f t="shared" si="3"/>
        <v>-2</v>
      </c>
    </row>
    <row r="27" spans="2:18" s="359" customFormat="1" x14ac:dyDescent="0.25">
      <c r="B27" s="293">
        <v>155</v>
      </c>
      <c r="C27" s="294"/>
      <c r="D27" s="295">
        <f t="shared" ref="D27:H27" si="18">+D55+D84+D113+D142+D170+D200</f>
        <v>0</v>
      </c>
      <c r="E27" s="295">
        <f t="shared" si="18"/>
        <v>0</v>
      </c>
      <c r="F27" s="295">
        <f t="shared" si="18"/>
        <v>0</v>
      </c>
      <c r="G27" s="295">
        <f t="shared" si="18"/>
        <v>0</v>
      </c>
      <c r="H27" s="295">
        <f t="shared" si="18"/>
        <v>0</v>
      </c>
      <c r="I27" s="295">
        <f t="shared" si="13"/>
        <v>0</v>
      </c>
      <c r="J27" s="295">
        <f t="shared" si="13"/>
        <v>0</v>
      </c>
      <c r="K27" s="295">
        <f t="shared" si="13"/>
        <v>0</v>
      </c>
      <c r="L27" s="295">
        <f t="shared" si="13"/>
        <v>0</v>
      </c>
      <c r="M27" s="295">
        <f t="shared" si="13"/>
        <v>0</v>
      </c>
      <c r="N27" s="295">
        <f t="shared" si="13"/>
        <v>0</v>
      </c>
      <c r="O27" s="295">
        <f t="shared" si="13"/>
        <v>0</v>
      </c>
      <c r="P27" s="296">
        <f t="shared" si="13"/>
        <v>0</v>
      </c>
      <c r="R27" s="380">
        <f t="shared" si="3"/>
        <v>-2</v>
      </c>
    </row>
    <row r="28" spans="2:18" s="359" customFormat="1" x14ac:dyDescent="0.25">
      <c r="B28" s="293">
        <v>160</v>
      </c>
      <c r="C28" s="294" t="s">
        <v>246</v>
      </c>
      <c r="D28" s="295">
        <f t="shared" ref="D28:H28" si="19">+D56+D85+D114+D143+D171+D201</f>
        <v>41520</v>
      </c>
      <c r="E28" s="295">
        <f t="shared" si="19"/>
        <v>40270</v>
      </c>
      <c r="F28" s="295">
        <f t="shared" si="19"/>
        <v>40020</v>
      </c>
      <c r="G28" s="295">
        <f t="shared" si="19"/>
        <v>39769</v>
      </c>
      <c r="H28" s="295">
        <f t="shared" si="19"/>
        <v>39517</v>
      </c>
      <c r="I28" s="295">
        <f t="shared" si="13"/>
        <v>39265</v>
      </c>
      <c r="J28" s="295">
        <f t="shared" si="13"/>
        <v>39013</v>
      </c>
      <c r="K28" s="295">
        <f t="shared" si="13"/>
        <v>18942</v>
      </c>
      <c r="L28" s="295">
        <f t="shared" si="13"/>
        <v>18549</v>
      </c>
      <c r="M28" s="295">
        <f t="shared" si="13"/>
        <v>18156</v>
      </c>
      <c r="N28" s="295">
        <f t="shared" si="13"/>
        <v>17762</v>
      </c>
      <c r="O28" s="295">
        <f t="shared" si="13"/>
        <v>18365</v>
      </c>
      <c r="P28" s="296">
        <f t="shared" si="13"/>
        <v>371148</v>
      </c>
      <c r="R28" s="380">
        <f t="shared" si="3"/>
        <v>39767</v>
      </c>
    </row>
    <row r="29" spans="2:18" s="359" customFormat="1" x14ac:dyDescent="0.25">
      <c r="B29" s="293">
        <v>170</v>
      </c>
      <c r="C29" s="294" t="s">
        <v>247</v>
      </c>
      <c r="D29" s="295">
        <f t="shared" ref="D29:H29" si="20">+D57+D86+D115+D144+D172+D202</f>
        <v>-63045</v>
      </c>
      <c r="E29" s="295">
        <f t="shared" si="20"/>
        <v>-60213</v>
      </c>
      <c r="F29" s="295">
        <f t="shared" si="20"/>
        <v>36173</v>
      </c>
      <c r="G29" s="295">
        <f t="shared" si="20"/>
        <v>-31696</v>
      </c>
      <c r="H29" s="295">
        <f t="shared" si="20"/>
        <v>-2709</v>
      </c>
      <c r="I29" s="295">
        <f t="shared" si="13"/>
        <v>-3425</v>
      </c>
      <c r="J29" s="295">
        <f t="shared" si="13"/>
        <v>-14844</v>
      </c>
      <c r="K29" s="295">
        <f t="shared" si="13"/>
        <v>-49248</v>
      </c>
      <c r="L29" s="295">
        <f t="shared" si="13"/>
        <v>-43060</v>
      </c>
      <c r="M29" s="295">
        <f t="shared" si="13"/>
        <v>66625</v>
      </c>
      <c r="N29" s="295">
        <f t="shared" si="13"/>
        <v>32324</v>
      </c>
      <c r="O29" s="295">
        <f t="shared" si="13"/>
        <v>92746</v>
      </c>
      <c r="P29" s="296">
        <f t="shared" si="13"/>
        <v>-40372</v>
      </c>
      <c r="R29" s="380">
        <f t="shared" si="3"/>
        <v>-31698</v>
      </c>
    </row>
    <row r="30" spans="2:18" s="359" customFormat="1" x14ac:dyDescent="0.25">
      <c r="B30" s="293">
        <v>180</v>
      </c>
      <c r="C30" s="294" t="s">
        <v>248</v>
      </c>
      <c r="D30" s="295">
        <f t="shared" ref="D30:H30" si="21">+D58+D87+D116+D145+D173+D203</f>
        <v>0</v>
      </c>
      <c r="E30" s="295">
        <f t="shared" si="21"/>
        <v>0</v>
      </c>
      <c r="F30" s="295">
        <f t="shared" si="21"/>
        <v>0</v>
      </c>
      <c r="G30" s="295">
        <f t="shared" si="21"/>
        <v>0</v>
      </c>
      <c r="H30" s="295">
        <f t="shared" si="21"/>
        <v>0</v>
      </c>
      <c r="I30" s="295">
        <f t="shared" si="13"/>
        <v>0</v>
      </c>
      <c r="J30" s="295">
        <f t="shared" si="13"/>
        <v>0</v>
      </c>
      <c r="K30" s="295">
        <f t="shared" si="13"/>
        <v>0</v>
      </c>
      <c r="L30" s="295">
        <f t="shared" si="13"/>
        <v>0</v>
      </c>
      <c r="M30" s="295">
        <f t="shared" si="13"/>
        <v>0</v>
      </c>
      <c r="N30" s="295">
        <f t="shared" si="13"/>
        <v>0</v>
      </c>
      <c r="O30" s="295">
        <f t="shared" si="13"/>
        <v>0</v>
      </c>
      <c r="P30" s="296">
        <f t="shared" si="13"/>
        <v>0</v>
      </c>
      <c r="R30" s="380">
        <f t="shared" si="3"/>
        <v>-2</v>
      </c>
    </row>
    <row r="31" spans="2:18" s="359" customFormat="1" x14ac:dyDescent="0.25">
      <c r="B31" s="293">
        <v>190</v>
      </c>
      <c r="C31" s="294" t="s">
        <v>249</v>
      </c>
      <c r="D31" s="295">
        <f t="shared" ref="D31:H31" si="22">+D59+D88+D117+D146+D174+D204</f>
        <v>0</v>
      </c>
      <c r="E31" s="295">
        <f t="shared" si="22"/>
        <v>0</v>
      </c>
      <c r="F31" s="295">
        <f t="shared" si="22"/>
        <v>0</v>
      </c>
      <c r="G31" s="295">
        <f t="shared" si="22"/>
        <v>0</v>
      </c>
      <c r="H31" s="295">
        <f t="shared" si="22"/>
        <v>0</v>
      </c>
      <c r="I31" s="295">
        <f t="shared" si="13"/>
        <v>0</v>
      </c>
      <c r="J31" s="295">
        <f t="shared" si="13"/>
        <v>0</v>
      </c>
      <c r="K31" s="295">
        <f t="shared" si="13"/>
        <v>0</v>
      </c>
      <c r="L31" s="295">
        <f t="shared" si="13"/>
        <v>0</v>
      </c>
      <c r="M31" s="295">
        <f t="shared" si="13"/>
        <v>0</v>
      </c>
      <c r="N31" s="295">
        <f t="shared" si="13"/>
        <v>0</v>
      </c>
      <c r="O31" s="295">
        <f t="shared" si="13"/>
        <v>0</v>
      </c>
      <c r="P31" s="296">
        <f t="shared" si="13"/>
        <v>0</v>
      </c>
      <c r="R31" s="380">
        <f t="shared" si="3"/>
        <v>-2</v>
      </c>
    </row>
    <row r="32" spans="2:18" s="359" customFormat="1" x14ac:dyDescent="0.25">
      <c r="B32" s="293">
        <v>200</v>
      </c>
      <c r="C32" s="294" t="s">
        <v>250</v>
      </c>
      <c r="D32" s="295">
        <f t="shared" ref="D32:H32" si="23">+D60+D89+D118+D147+D175+D205</f>
        <v>-63045</v>
      </c>
      <c r="E32" s="295">
        <f t="shared" si="23"/>
        <v>-60213</v>
      </c>
      <c r="F32" s="295">
        <f t="shared" si="23"/>
        <v>36173</v>
      </c>
      <c r="G32" s="295">
        <f t="shared" si="23"/>
        <v>-31696</v>
      </c>
      <c r="H32" s="295">
        <f t="shared" si="23"/>
        <v>-2709</v>
      </c>
      <c r="I32" s="295">
        <f t="shared" ref="I32:P33" si="24">+I60+I89+I118+I147+I175+I205</f>
        <v>-3425</v>
      </c>
      <c r="J32" s="295">
        <f t="shared" si="24"/>
        <v>-14844</v>
      </c>
      <c r="K32" s="295">
        <f t="shared" si="24"/>
        <v>-49248</v>
      </c>
      <c r="L32" s="295">
        <f t="shared" si="24"/>
        <v>-43060</v>
      </c>
      <c r="M32" s="295">
        <f t="shared" si="24"/>
        <v>66625</v>
      </c>
      <c r="N32" s="295">
        <f t="shared" si="24"/>
        <v>32324</v>
      </c>
      <c r="O32" s="295">
        <f t="shared" si="24"/>
        <v>92746</v>
      </c>
      <c r="P32" s="296">
        <f t="shared" si="24"/>
        <v>-40372</v>
      </c>
      <c r="R32" s="380">
        <f t="shared" si="3"/>
        <v>-31698</v>
      </c>
    </row>
    <row r="33" spans="1:18" s="359" customFormat="1" x14ac:dyDescent="0.25">
      <c r="B33" s="297">
        <v>210</v>
      </c>
      <c r="C33" s="298" t="s">
        <v>251</v>
      </c>
      <c r="D33" s="299">
        <f t="shared" ref="D33:H33" si="25">+D61+D90+D119+D148+D176+D206</f>
        <v>26379</v>
      </c>
      <c r="E33" s="299">
        <f t="shared" si="25"/>
        <v>27961</v>
      </c>
      <c r="F33" s="299">
        <f t="shared" si="25"/>
        <v>124097</v>
      </c>
      <c r="G33" s="299">
        <f t="shared" si="25"/>
        <v>55977</v>
      </c>
      <c r="H33" s="299">
        <f t="shared" si="25"/>
        <v>84712</v>
      </c>
      <c r="I33" s="299">
        <f t="shared" si="24"/>
        <v>83744</v>
      </c>
      <c r="J33" s="299">
        <f t="shared" si="24"/>
        <v>72073</v>
      </c>
      <c r="K33" s="299">
        <f t="shared" si="24"/>
        <v>31905</v>
      </c>
      <c r="L33" s="299">
        <f t="shared" si="24"/>
        <v>37700</v>
      </c>
      <c r="M33" s="299">
        <f t="shared" si="24"/>
        <v>146992</v>
      </c>
      <c r="N33" s="299">
        <f t="shared" si="24"/>
        <v>112297</v>
      </c>
      <c r="O33" s="299">
        <f t="shared" si="24"/>
        <v>173322</v>
      </c>
      <c r="P33" s="300">
        <f t="shared" si="24"/>
        <v>977159</v>
      </c>
      <c r="R33" s="380">
        <f t="shared" si="3"/>
        <v>55975</v>
      </c>
    </row>
    <row r="34" spans="1:18" s="359" customFormat="1" x14ac:dyDescent="0.25"/>
    <row r="35" spans="1:18" s="292" customFormat="1" x14ac:dyDescent="0.25"/>
    <row r="36" spans="1:18" ht="13" x14ac:dyDescent="0.3">
      <c r="B36" s="311" t="s">
        <v>343</v>
      </c>
      <c r="C36" s="111">
        <v>601</v>
      </c>
    </row>
    <row r="37" spans="1:18" ht="13" x14ac:dyDescent="0.3">
      <c r="B37" s="547" t="s">
        <v>164</v>
      </c>
      <c r="C37" s="548" t="s">
        <v>165</v>
      </c>
      <c r="D37" s="548" t="s">
        <v>418</v>
      </c>
      <c r="E37" s="548" t="s">
        <v>419</v>
      </c>
      <c r="F37" s="548" t="s">
        <v>417</v>
      </c>
      <c r="G37" s="548" t="s">
        <v>420</v>
      </c>
      <c r="H37" s="548" t="s">
        <v>421</v>
      </c>
      <c r="I37" s="548" t="s">
        <v>422</v>
      </c>
      <c r="J37" s="548" t="s">
        <v>423</v>
      </c>
      <c r="K37" s="548" t="s">
        <v>428</v>
      </c>
      <c r="L37" s="548" t="s">
        <v>424</v>
      </c>
      <c r="M37" s="548" t="s">
        <v>425</v>
      </c>
      <c r="N37" s="548" t="s">
        <v>426</v>
      </c>
      <c r="O37" s="548" t="s">
        <v>427</v>
      </c>
      <c r="P37" s="549" t="s">
        <v>8</v>
      </c>
    </row>
    <row r="38" spans="1:18" ht="13" x14ac:dyDescent="0.3">
      <c r="B38" s="550" t="s">
        <v>181</v>
      </c>
      <c r="C38" s="551" t="s">
        <v>181</v>
      </c>
      <c r="D38" s="551"/>
      <c r="E38" s="551"/>
      <c r="F38" s="551"/>
      <c r="G38" s="551"/>
      <c r="H38" s="551"/>
      <c r="I38" s="551"/>
      <c r="J38" s="551"/>
      <c r="K38" s="551"/>
      <c r="L38" s="551"/>
      <c r="M38" s="551"/>
      <c r="N38" s="551"/>
      <c r="O38" s="551"/>
      <c r="P38" s="552"/>
    </row>
    <row r="39" spans="1:18" ht="13" x14ac:dyDescent="0.3">
      <c r="A39" s="292"/>
      <c r="B39" s="553"/>
      <c r="C39" s="554"/>
      <c r="D39" s="554"/>
      <c r="E39" s="554"/>
      <c r="F39" s="554"/>
      <c r="G39" s="554"/>
      <c r="H39" s="554"/>
      <c r="I39" s="554"/>
      <c r="J39" s="554"/>
      <c r="K39" s="554"/>
      <c r="L39" s="554"/>
      <c r="M39" s="554"/>
      <c r="N39" s="554"/>
      <c r="O39" s="554"/>
      <c r="P39" s="555"/>
    </row>
    <row r="40" spans="1:18" x14ac:dyDescent="0.25">
      <c r="A40" s="292"/>
      <c r="B40" s="658">
        <v>30</v>
      </c>
      <c r="C40" s="659" t="s">
        <v>232</v>
      </c>
      <c r="D40" s="660">
        <v>0</v>
      </c>
      <c r="E40" s="660">
        <v>0</v>
      </c>
      <c r="F40" s="660">
        <v>0</v>
      </c>
      <c r="G40" s="660">
        <v>0</v>
      </c>
      <c r="H40" s="660">
        <v>0</v>
      </c>
      <c r="I40" s="660">
        <v>0</v>
      </c>
      <c r="J40" s="660">
        <v>0</v>
      </c>
      <c r="K40" s="660">
        <v>1685348</v>
      </c>
      <c r="L40" s="660">
        <v>1630477</v>
      </c>
      <c r="M40" s="660">
        <v>1976409</v>
      </c>
      <c r="N40" s="660">
        <v>1801870</v>
      </c>
      <c r="O40" s="660">
        <v>1983573</v>
      </c>
      <c r="P40" s="661">
        <v>9077677</v>
      </c>
    </row>
    <row r="41" spans="1:18" x14ac:dyDescent="0.25">
      <c r="A41" s="292"/>
      <c r="B41" s="658">
        <v>40</v>
      </c>
      <c r="C41" s="659" t="s">
        <v>233</v>
      </c>
      <c r="D41" s="659">
        <v>0</v>
      </c>
      <c r="E41" s="659">
        <v>0</v>
      </c>
      <c r="F41" s="659">
        <v>0</v>
      </c>
      <c r="G41" s="659">
        <v>0</v>
      </c>
      <c r="H41" s="659">
        <v>0</v>
      </c>
      <c r="I41" s="659">
        <v>0</v>
      </c>
      <c r="J41" s="659">
        <v>0</v>
      </c>
      <c r="K41" s="659">
        <v>0</v>
      </c>
      <c r="L41" s="659">
        <v>0</v>
      </c>
      <c r="M41" s="659">
        <v>0</v>
      </c>
      <c r="N41" s="659">
        <v>0</v>
      </c>
      <c r="O41" s="659">
        <v>0</v>
      </c>
      <c r="P41" s="666">
        <v>0</v>
      </c>
    </row>
    <row r="42" spans="1:18" x14ac:dyDescent="0.25">
      <c r="A42" s="292"/>
      <c r="B42" s="658">
        <v>50</v>
      </c>
      <c r="C42" s="659" t="s">
        <v>234</v>
      </c>
      <c r="D42" s="660">
        <v>0</v>
      </c>
      <c r="E42" s="660">
        <v>0</v>
      </c>
      <c r="F42" s="660">
        <v>0</v>
      </c>
      <c r="G42" s="660">
        <v>0</v>
      </c>
      <c r="H42" s="660">
        <v>0</v>
      </c>
      <c r="I42" s="660">
        <v>0</v>
      </c>
      <c r="J42" s="660">
        <v>0</v>
      </c>
      <c r="K42" s="660">
        <v>1685348</v>
      </c>
      <c r="L42" s="660">
        <v>1630477</v>
      </c>
      <c r="M42" s="660">
        <v>1976409</v>
      </c>
      <c r="N42" s="660">
        <v>1801870</v>
      </c>
      <c r="O42" s="660">
        <v>1983573</v>
      </c>
      <c r="P42" s="661">
        <v>9077677</v>
      </c>
    </row>
    <row r="43" spans="1:18" x14ac:dyDescent="0.25">
      <c r="A43" s="292"/>
      <c r="B43" s="658">
        <v>60</v>
      </c>
      <c r="C43" s="659" t="s">
        <v>235</v>
      </c>
      <c r="D43" s="660">
        <v>0</v>
      </c>
      <c r="E43" s="660">
        <v>0</v>
      </c>
      <c r="F43" s="660">
        <v>0</v>
      </c>
      <c r="G43" s="660">
        <v>0</v>
      </c>
      <c r="H43" s="660">
        <v>0</v>
      </c>
      <c r="I43" s="660">
        <v>0</v>
      </c>
      <c r="J43" s="660">
        <v>0</v>
      </c>
      <c r="K43" s="660">
        <v>637062</v>
      </c>
      <c r="L43" s="660">
        <v>616320</v>
      </c>
      <c r="M43" s="660">
        <v>747082</v>
      </c>
      <c r="N43" s="660">
        <v>681107</v>
      </c>
      <c r="O43" s="660">
        <v>749791</v>
      </c>
      <c r="P43" s="661">
        <v>3431362</v>
      </c>
    </row>
    <row r="44" spans="1:18" x14ac:dyDescent="0.25">
      <c r="A44" s="292"/>
      <c r="B44" s="658">
        <v>65</v>
      </c>
      <c r="C44" s="659" t="s">
        <v>236</v>
      </c>
      <c r="D44" s="659">
        <v>0</v>
      </c>
      <c r="E44" s="659">
        <v>0</v>
      </c>
      <c r="F44" s="659">
        <v>0</v>
      </c>
      <c r="G44" s="659">
        <v>0</v>
      </c>
      <c r="H44" s="659">
        <v>0</v>
      </c>
      <c r="I44" s="659">
        <v>0</v>
      </c>
      <c r="J44" s="659">
        <v>0</v>
      </c>
      <c r="K44" s="659">
        <v>0</v>
      </c>
      <c r="L44" s="659">
        <v>0</v>
      </c>
      <c r="M44" s="659">
        <v>0</v>
      </c>
      <c r="N44" s="659">
        <v>0</v>
      </c>
      <c r="O44" s="659">
        <v>0</v>
      </c>
      <c r="P44" s="666">
        <v>0</v>
      </c>
    </row>
    <row r="45" spans="1:18" x14ac:dyDescent="0.25">
      <c r="A45" s="292"/>
      <c r="B45" s="658">
        <v>70</v>
      </c>
      <c r="C45" s="659" t="s">
        <v>237</v>
      </c>
      <c r="D45" s="660">
        <v>0</v>
      </c>
      <c r="E45" s="660">
        <v>0</v>
      </c>
      <c r="F45" s="660">
        <v>0</v>
      </c>
      <c r="G45" s="660">
        <v>0</v>
      </c>
      <c r="H45" s="660">
        <v>0</v>
      </c>
      <c r="I45" s="660">
        <v>0</v>
      </c>
      <c r="J45" s="660">
        <v>0</v>
      </c>
      <c r="K45" s="660">
        <v>1048286</v>
      </c>
      <c r="L45" s="660">
        <v>1014157</v>
      </c>
      <c r="M45" s="660">
        <v>1229327</v>
      </c>
      <c r="N45" s="660">
        <v>1120763</v>
      </c>
      <c r="O45" s="660">
        <v>1233782</v>
      </c>
      <c r="P45" s="661">
        <v>5646315</v>
      </c>
    </row>
    <row r="46" spans="1:18" x14ac:dyDescent="0.25">
      <c r="A46" s="292"/>
      <c r="B46" s="658">
        <v>80</v>
      </c>
      <c r="C46" s="659" t="s">
        <v>238</v>
      </c>
      <c r="D46" s="660">
        <v>0</v>
      </c>
      <c r="E46" s="660">
        <v>0</v>
      </c>
      <c r="F46" s="660">
        <v>0</v>
      </c>
      <c r="G46" s="660">
        <v>0</v>
      </c>
      <c r="H46" s="660">
        <v>0</v>
      </c>
      <c r="I46" s="660">
        <v>0</v>
      </c>
      <c r="J46" s="660">
        <v>0</v>
      </c>
      <c r="K46" s="660">
        <v>973842</v>
      </c>
      <c r="L46" s="660">
        <v>929812</v>
      </c>
      <c r="M46" s="660">
        <v>1031510</v>
      </c>
      <c r="N46" s="660">
        <v>974773</v>
      </c>
      <c r="O46" s="660">
        <v>1025144</v>
      </c>
      <c r="P46" s="661">
        <v>4935081</v>
      </c>
    </row>
    <row r="47" spans="1:18" x14ac:dyDescent="0.25">
      <c r="A47" s="292"/>
      <c r="B47" s="658">
        <v>90</v>
      </c>
      <c r="C47" s="659" t="s">
        <v>239</v>
      </c>
      <c r="D47" s="660">
        <v>0</v>
      </c>
      <c r="E47" s="660">
        <v>0</v>
      </c>
      <c r="F47" s="660">
        <v>0</v>
      </c>
      <c r="G47" s="660">
        <v>0</v>
      </c>
      <c r="H47" s="660">
        <v>0</v>
      </c>
      <c r="I47" s="660">
        <v>0</v>
      </c>
      <c r="J47" s="660">
        <v>0</v>
      </c>
      <c r="K47" s="660">
        <v>124082</v>
      </c>
      <c r="L47" s="660">
        <v>105161</v>
      </c>
      <c r="M47" s="660">
        <v>110701</v>
      </c>
      <c r="N47" s="660">
        <v>100408</v>
      </c>
      <c r="O47" s="660">
        <v>109898</v>
      </c>
      <c r="P47" s="661">
        <v>550250</v>
      </c>
    </row>
    <row r="48" spans="1:18" x14ac:dyDescent="0.25">
      <c r="A48" s="292"/>
      <c r="B48" s="658">
        <v>100</v>
      </c>
      <c r="C48" s="659" t="s">
        <v>240</v>
      </c>
      <c r="D48" s="660">
        <v>0</v>
      </c>
      <c r="E48" s="660">
        <v>0</v>
      </c>
      <c r="F48" s="660">
        <v>0</v>
      </c>
      <c r="G48" s="660">
        <v>0</v>
      </c>
      <c r="H48" s="660">
        <v>0</v>
      </c>
      <c r="I48" s="660">
        <v>0</v>
      </c>
      <c r="J48" s="660">
        <v>0</v>
      </c>
      <c r="K48" s="660">
        <v>14307</v>
      </c>
      <c r="L48" s="660">
        <v>14307</v>
      </c>
      <c r="M48" s="660">
        <v>14307</v>
      </c>
      <c r="N48" s="660">
        <v>14307</v>
      </c>
      <c r="O48" s="660">
        <v>14307</v>
      </c>
      <c r="P48" s="661">
        <v>71535</v>
      </c>
    </row>
    <row r="49" spans="1:16" x14ac:dyDescent="0.25">
      <c r="A49" s="292"/>
      <c r="B49" s="658">
        <v>110</v>
      </c>
      <c r="C49" s="659" t="s">
        <v>241</v>
      </c>
      <c r="D49" s="660">
        <v>0</v>
      </c>
      <c r="E49" s="660">
        <v>0</v>
      </c>
      <c r="F49" s="660">
        <v>0</v>
      </c>
      <c r="G49" s="660">
        <v>0</v>
      </c>
      <c r="H49" s="660">
        <v>0</v>
      </c>
      <c r="I49" s="660">
        <v>0</v>
      </c>
      <c r="J49" s="660">
        <v>0</v>
      </c>
      <c r="K49" s="660">
        <v>1112231</v>
      </c>
      <c r="L49" s="660">
        <v>1049280</v>
      </c>
      <c r="M49" s="660">
        <v>1156518</v>
      </c>
      <c r="N49" s="660">
        <v>1089488</v>
      </c>
      <c r="O49" s="660">
        <v>1149349</v>
      </c>
      <c r="P49" s="661">
        <v>5556866</v>
      </c>
    </row>
    <row r="50" spans="1:16" x14ac:dyDescent="0.25">
      <c r="A50" s="292"/>
      <c r="B50" s="658">
        <v>120</v>
      </c>
      <c r="C50" s="659" t="s">
        <v>242</v>
      </c>
      <c r="D50" s="660">
        <v>0</v>
      </c>
      <c r="E50" s="660">
        <v>0</v>
      </c>
      <c r="F50" s="660">
        <v>0</v>
      </c>
      <c r="G50" s="660">
        <v>0</v>
      </c>
      <c r="H50" s="660">
        <v>0</v>
      </c>
      <c r="I50" s="660">
        <v>0</v>
      </c>
      <c r="J50" s="660">
        <v>0</v>
      </c>
      <c r="K50" s="660">
        <v>-63945</v>
      </c>
      <c r="L50" s="660">
        <v>-35123</v>
      </c>
      <c r="M50" s="660">
        <v>72809</v>
      </c>
      <c r="N50" s="660">
        <v>31275</v>
      </c>
      <c r="O50" s="660">
        <v>84433</v>
      </c>
      <c r="P50" s="661">
        <v>89449</v>
      </c>
    </row>
    <row r="51" spans="1:16" x14ac:dyDescent="0.25">
      <c r="A51" s="292"/>
      <c r="B51" s="658">
        <v>130</v>
      </c>
      <c r="C51" s="659"/>
      <c r="D51" s="659">
        <v>0</v>
      </c>
      <c r="E51" s="659">
        <v>0</v>
      </c>
      <c r="F51" s="659">
        <v>0</v>
      </c>
      <c r="G51" s="659">
        <v>0</v>
      </c>
      <c r="H51" s="659">
        <v>0</v>
      </c>
      <c r="I51" s="659">
        <v>0</v>
      </c>
      <c r="J51" s="659">
        <v>0</v>
      </c>
      <c r="K51" s="659">
        <v>0</v>
      </c>
      <c r="L51" s="659">
        <v>0</v>
      </c>
      <c r="M51" s="659">
        <v>0</v>
      </c>
      <c r="N51" s="659">
        <v>0</v>
      </c>
      <c r="O51" s="659">
        <v>0</v>
      </c>
      <c r="P51" s="666">
        <v>0</v>
      </c>
    </row>
    <row r="52" spans="1:16" x14ac:dyDescent="0.25">
      <c r="A52" s="292"/>
      <c r="B52" s="658">
        <v>135</v>
      </c>
      <c r="C52" s="659" t="s">
        <v>243</v>
      </c>
      <c r="D52" s="660">
        <v>0</v>
      </c>
      <c r="E52" s="660">
        <v>0</v>
      </c>
      <c r="F52" s="660">
        <v>0</v>
      </c>
      <c r="G52" s="660">
        <v>0</v>
      </c>
      <c r="H52" s="660">
        <v>0</v>
      </c>
      <c r="I52" s="660">
        <v>0</v>
      </c>
      <c r="J52" s="660">
        <v>0</v>
      </c>
      <c r="K52" s="660">
        <v>-51380</v>
      </c>
      <c r="L52" s="660">
        <v>-51380</v>
      </c>
      <c r="M52" s="660">
        <v>-51380</v>
      </c>
      <c r="N52" s="660">
        <v>-51380</v>
      </c>
      <c r="O52" s="660">
        <v>-51380</v>
      </c>
      <c r="P52" s="661">
        <v>-256900</v>
      </c>
    </row>
    <row r="53" spans="1:16" x14ac:dyDescent="0.25">
      <c r="A53" s="292"/>
      <c r="B53" s="658">
        <v>140</v>
      </c>
      <c r="C53" s="659" t="s">
        <v>244</v>
      </c>
      <c r="D53" s="660">
        <v>0</v>
      </c>
      <c r="E53" s="660">
        <v>0</v>
      </c>
      <c r="F53" s="660">
        <v>0</v>
      </c>
      <c r="G53" s="660">
        <v>0</v>
      </c>
      <c r="H53" s="660">
        <v>0</v>
      </c>
      <c r="I53" s="660">
        <v>0</v>
      </c>
      <c r="J53" s="660">
        <v>0</v>
      </c>
      <c r="K53" s="660">
        <v>31561</v>
      </c>
      <c r="L53" s="660">
        <v>31422</v>
      </c>
      <c r="M53" s="660">
        <v>31282</v>
      </c>
      <c r="N53" s="660">
        <v>31142</v>
      </c>
      <c r="O53" s="660">
        <v>31000</v>
      </c>
      <c r="P53" s="661">
        <v>156407</v>
      </c>
    </row>
    <row r="54" spans="1:16" x14ac:dyDescent="0.25">
      <c r="A54" s="292"/>
      <c r="B54" s="658">
        <v>150</v>
      </c>
      <c r="C54" s="659" t="s">
        <v>245</v>
      </c>
      <c r="D54" s="659">
        <v>0</v>
      </c>
      <c r="E54" s="659">
        <v>0</v>
      </c>
      <c r="F54" s="659">
        <v>0</v>
      </c>
      <c r="G54" s="659">
        <v>0</v>
      </c>
      <c r="H54" s="659">
        <v>0</v>
      </c>
      <c r="I54" s="659">
        <v>0</v>
      </c>
      <c r="J54" s="659">
        <v>0</v>
      </c>
      <c r="K54" s="659">
        <v>0</v>
      </c>
      <c r="L54" s="659">
        <v>0</v>
      </c>
      <c r="M54" s="659">
        <v>0</v>
      </c>
      <c r="N54" s="659">
        <v>0</v>
      </c>
      <c r="O54" s="659">
        <v>0</v>
      </c>
      <c r="P54" s="666">
        <v>0</v>
      </c>
    </row>
    <row r="55" spans="1:16" x14ac:dyDescent="0.25">
      <c r="A55" s="292"/>
      <c r="B55" s="658">
        <v>155</v>
      </c>
      <c r="C55" s="659"/>
      <c r="D55" s="659">
        <v>0</v>
      </c>
      <c r="E55" s="659">
        <v>0</v>
      </c>
      <c r="F55" s="659">
        <v>0</v>
      </c>
      <c r="G55" s="659">
        <v>0</v>
      </c>
      <c r="H55" s="659">
        <v>0</v>
      </c>
      <c r="I55" s="659">
        <v>0</v>
      </c>
      <c r="J55" s="659">
        <v>0</v>
      </c>
      <c r="K55" s="659">
        <v>0</v>
      </c>
      <c r="L55" s="659">
        <v>0</v>
      </c>
      <c r="M55" s="659">
        <v>0</v>
      </c>
      <c r="N55" s="659">
        <v>0</v>
      </c>
      <c r="O55" s="659">
        <v>0</v>
      </c>
      <c r="P55" s="666">
        <v>0</v>
      </c>
    </row>
    <row r="56" spans="1:16" x14ac:dyDescent="0.25">
      <c r="A56" s="292"/>
      <c r="B56" s="658">
        <v>160</v>
      </c>
      <c r="C56" s="659" t="s">
        <v>246</v>
      </c>
      <c r="D56" s="660">
        <v>0</v>
      </c>
      <c r="E56" s="660">
        <v>0</v>
      </c>
      <c r="F56" s="660">
        <v>0</v>
      </c>
      <c r="G56" s="660">
        <v>0</v>
      </c>
      <c r="H56" s="660">
        <v>0</v>
      </c>
      <c r="I56" s="660">
        <v>0</v>
      </c>
      <c r="J56" s="660">
        <v>0</v>
      </c>
      <c r="K56" s="660">
        <v>-19819</v>
      </c>
      <c r="L56" s="660">
        <v>-19958</v>
      </c>
      <c r="M56" s="660">
        <v>-20098</v>
      </c>
      <c r="N56" s="660">
        <v>-20238</v>
      </c>
      <c r="O56" s="660">
        <v>-20380</v>
      </c>
      <c r="P56" s="661">
        <v>-100493</v>
      </c>
    </row>
    <row r="57" spans="1:16" x14ac:dyDescent="0.25">
      <c r="A57" s="292"/>
      <c r="B57" s="658">
        <v>170</v>
      </c>
      <c r="C57" s="659" t="s">
        <v>247</v>
      </c>
      <c r="D57" s="660">
        <v>0</v>
      </c>
      <c r="E57" s="660">
        <v>0</v>
      </c>
      <c r="F57" s="660">
        <v>0</v>
      </c>
      <c r="G57" s="660">
        <v>0</v>
      </c>
      <c r="H57" s="660">
        <v>0</v>
      </c>
      <c r="I57" s="660">
        <v>0</v>
      </c>
      <c r="J57" s="660">
        <v>0</v>
      </c>
      <c r="K57" s="660">
        <v>-44126</v>
      </c>
      <c r="L57" s="660">
        <v>-15165</v>
      </c>
      <c r="M57" s="660">
        <v>92907</v>
      </c>
      <c r="N57" s="660">
        <v>51513</v>
      </c>
      <c r="O57" s="660">
        <v>104813</v>
      </c>
      <c r="P57" s="661">
        <v>189942</v>
      </c>
    </row>
    <row r="58" spans="1:16" x14ac:dyDescent="0.25">
      <c r="A58" s="292"/>
      <c r="B58" s="658">
        <v>180</v>
      </c>
      <c r="C58" s="659" t="s">
        <v>248</v>
      </c>
      <c r="D58" s="659">
        <v>0</v>
      </c>
      <c r="E58" s="659">
        <v>0</v>
      </c>
      <c r="F58" s="659">
        <v>0</v>
      </c>
      <c r="G58" s="659">
        <v>0</v>
      </c>
      <c r="H58" s="659">
        <v>0</v>
      </c>
      <c r="I58" s="659">
        <v>0</v>
      </c>
      <c r="J58" s="659">
        <v>0</v>
      </c>
      <c r="K58" s="659">
        <v>0</v>
      </c>
      <c r="L58" s="659">
        <v>0</v>
      </c>
      <c r="M58" s="659">
        <v>0</v>
      </c>
      <c r="N58" s="659">
        <v>0</v>
      </c>
      <c r="O58" s="659">
        <v>0</v>
      </c>
      <c r="P58" s="666">
        <v>0</v>
      </c>
    </row>
    <row r="59" spans="1:16" x14ac:dyDescent="0.25">
      <c r="A59" s="292"/>
      <c r="B59" s="658">
        <v>190</v>
      </c>
      <c r="C59" s="659" t="s">
        <v>249</v>
      </c>
      <c r="D59" s="659">
        <v>0</v>
      </c>
      <c r="E59" s="659">
        <v>0</v>
      </c>
      <c r="F59" s="659">
        <v>0</v>
      </c>
      <c r="G59" s="659">
        <v>0</v>
      </c>
      <c r="H59" s="659">
        <v>0</v>
      </c>
      <c r="I59" s="659">
        <v>0</v>
      </c>
      <c r="J59" s="659">
        <v>0</v>
      </c>
      <c r="K59" s="659">
        <v>0</v>
      </c>
      <c r="L59" s="659">
        <v>0</v>
      </c>
      <c r="M59" s="659">
        <v>0</v>
      </c>
      <c r="N59" s="659">
        <v>0</v>
      </c>
      <c r="O59" s="659">
        <v>0</v>
      </c>
      <c r="P59" s="666">
        <v>0</v>
      </c>
    </row>
    <row r="60" spans="1:16" x14ac:dyDescent="0.25">
      <c r="A60" s="292"/>
      <c r="B60" s="658">
        <v>200</v>
      </c>
      <c r="C60" s="659" t="s">
        <v>250</v>
      </c>
      <c r="D60" s="660">
        <v>0</v>
      </c>
      <c r="E60" s="660">
        <v>0</v>
      </c>
      <c r="F60" s="660">
        <v>0</v>
      </c>
      <c r="G60" s="660">
        <v>0</v>
      </c>
      <c r="H60" s="660">
        <v>0</v>
      </c>
      <c r="I60" s="660">
        <v>0</v>
      </c>
      <c r="J60" s="660">
        <v>0</v>
      </c>
      <c r="K60" s="660">
        <v>-44126</v>
      </c>
      <c r="L60" s="660">
        <v>-15165</v>
      </c>
      <c r="M60" s="660">
        <v>92907</v>
      </c>
      <c r="N60" s="660">
        <v>51513</v>
      </c>
      <c r="O60" s="660">
        <v>104813</v>
      </c>
      <c r="P60" s="661">
        <v>189942</v>
      </c>
    </row>
    <row r="61" spans="1:16" x14ac:dyDescent="0.25">
      <c r="A61" s="292"/>
      <c r="B61" s="687">
        <v>210</v>
      </c>
      <c r="C61" s="688" t="s">
        <v>251</v>
      </c>
      <c r="D61" s="689">
        <v>0</v>
      </c>
      <c r="E61" s="689">
        <v>0</v>
      </c>
      <c r="F61" s="689">
        <v>0</v>
      </c>
      <c r="G61" s="689">
        <v>0</v>
      </c>
      <c r="H61" s="689">
        <v>0</v>
      </c>
      <c r="I61" s="689">
        <v>0</v>
      </c>
      <c r="J61" s="689">
        <v>0</v>
      </c>
      <c r="K61" s="689">
        <v>-49638</v>
      </c>
      <c r="L61" s="689">
        <v>-20816</v>
      </c>
      <c r="M61" s="689">
        <v>87116</v>
      </c>
      <c r="N61" s="689">
        <v>45582</v>
      </c>
      <c r="O61" s="689">
        <v>98740</v>
      </c>
      <c r="P61" s="690">
        <v>160984</v>
      </c>
    </row>
    <row r="65" spans="2:16" ht="13" x14ac:dyDescent="0.3">
      <c r="B65" s="281" t="s">
        <v>341</v>
      </c>
      <c r="C65" s="111">
        <v>601</v>
      </c>
      <c r="D65" s="290"/>
      <c r="E65" s="290"/>
      <c r="F65" s="290"/>
      <c r="G65" s="290"/>
      <c r="H65" s="290"/>
      <c r="I65" s="290"/>
      <c r="J65" s="290"/>
      <c r="K65" s="290"/>
      <c r="L65" s="290"/>
      <c r="M65" s="290"/>
      <c r="N65" s="290"/>
      <c r="O65" s="290"/>
      <c r="P65" s="290"/>
    </row>
    <row r="66" spans="2:16" ht="13" x14ac:dyDescent="0.3">
      <c r="B66" s="301" t="s">
        <v>164</v>
      </c>
      <c r="C66" s="302" t="s">
        <v>165</v>
      </c>
      <c r="D66" s="302" t="s">
        <v>418</v>
      </c>
      <c r="E66" s="302" t="s">
        <v>419</v>
      </c>
      <c r="F66" s="302" t="s">
        <v>417</v>
      </c>
      <c r="G66" s="302" t="s">
        <v>420</v>
      </c>
      <c r="H66" s="302" t="s">
        <v>421</v>
      </c>
      <c r="I66" s="302" t="s">
        <v>422</v>
      </c>
      <c r="J66" s="302" t="s">
        <v>423</v>
      </c>
      <c r="K66" s="302" t="s">
        <v>428</v>
      </c>
      <c r="L66" s="302" t="s">
        <v>424</v>
      </c>
      <c r="M66" s="302" t="s">
        <v>425</v>
      </c>
      <c r="N66" s="302" t="s">
        <v>426</v>
      </c>
      <c r="O66" s="302" t="s">
        <v>427</v>
      </c>
      <c r="P66" s="303" t="s">
        <v>8</v>
      </c>
    </row>
    <row r="67" spans="2:16" ht="13" x14ac:dyDescent="0.3">
      <c r="B67" s="304" t="s">
        <v>181</v>
      </c>
      <c r="C67" s="305" t="s">
        <v>181</v>
      </c>
      <c r="D67" s="305"/>
      <c r="E67" s="305"/>
      <c r="F67" s="305"/>
      <c r="G67" s="305"/>
      <c r="H67" s="305"/>
      <c r="I67" s="305"/>
      <c r="J67" s="305"/>
      <c r="K67" s="305"/>
      <c r="L67" s="305"/>
      <c r="M67" s="305"/>
      <c r="N67" s="305"/>
      <c r="O67" s="305"/>
      <c r="P67" s="306"/>
    </row>
    <row r="68" spans="2:16" ht="13" x14ac:dyDescent="0.3">
      <c r="B68" s="307"/>
      <c r="C68" s="308"/>
      <c r="D68" s="308"/>
      <c r="E68" s="308"/>
      <c r="F68" s="308"/>
      <c r="G68" s="308"/>
      <c r="H68" s="308"/>
      <c r="I68" s="308"/>
      <c r="J68" s="308"/>
      <c r="K68" s="308"/>
      <c r="L68" s="308"/>
      <c r="M68" s="308"/>
      <c r="N68" s="308"/>
      <c r="O68" s="308"/>
      <c r="P68" s="309"/>
    </row>
    <row r="69" spans="2:16" x14ac:dyDescent="0.25">
      <c r="B69" s="658">
        <v>30</v>
      </c>
      <c r="C69" s="659" t="s">
        <v>232</v>
      </c>
      <c r="D69" s="660">
        <v>285485</v>
      </c>
      <c r="E69" s="660">
        <v>288414</v>
      </c>
      <c r="F69" s="660">
        <v>334673</v>
      </c>
      <c r="G69" s="660">
        <v>305746</v>
      </c>
      <c r="H69" s="660">
        <v>321726</v>
      </c>
      <c r="I69" s="660">
        <v>300294</v>
      </c>
      <c r="J69" s="660">
        <v>309331</v>
      </c>
      <c r="K69" s="660">
        <v>315129</v>
      </c>
      <c r="L69" s="660">
        <v>292819</v>
      </c>
      <c r="M69" s="660">
        <v>302015</v>
      </c>
      <c r="N69" s="660">
        <v>288588</v>
      </c>
      <c r="O69" s="660">
        <v>302867</v>
      </c>
      <c r="P69" s="661">
        <v>3647087</v>
      </c>
    </row>
    <row r="70" spans="2:16" x14ac:dyDescent="0.25">
      <c r="B70" s="658">
        <v>40</v>
      </c>
      <c r="C70" s="659" t="s">
        <v>233</v>
      </c>
      <c r="D70" s="659">
        <v>0</v>
      </c>
      <c r="E70" s="659">
        <v>0</v>
      </c>
      <c r="F70" s="659">
        <v>0</v>
      </c>
      <c r="G70" s="659">
        <v>0</v>
      </c>
      <c r="H70" s="659">
        <v>0</v>
      </c>
      <c r="I70" s="659">
        <v>0</v>
      </c>
      <c r="J70" s="659">
        <v>0</v>
      </c>
      <c r="K70" s="659">
        <v>0</v>
      </c>
      <c r="L70" s="659">
        <v>0</v>
      </c>
      <c r="M70" s="659">
        <v>0</v>
      </c>
      <c r="N70" s="659">
        <v>0</v>
      </c>
      <c r="O70" s="659">
        <v>0</v>
      </c>
      <c r="P70" s="666">
        <v>0</v>
      </c>
    </row>
    <row r="71" spans="2:16" x14ac:dyDescent="0.25">
      <c r="B71" s="658">
        <v>50</v>
      </c>
      <c r="C71" s="659" t="s">
        <v>234</v>
      </c>
      <c r="D71" s="660">
        <v>285485</v>
      </c>
      <c r="E71" s="660">
        <v>288414</v>
      </c>
      <c r="F71" s="660">
        <v>334673</v>
      </c>
      <c r="G71" s="660">
        <v>305746</v>
      </c>
      <c r="H71" s="660">
        <v>321726</v>
      </c>
      <c r="I71" s="660">
        <v>300294</v>
      </c>
      <c r="J71" s="660">
        <v>309331</v>
      </c>
      <c r="K71" s="660">
        <v>315129</v>
      </c>
      <c r="L71" s="660">
        <v>292819</v>
      </c>
      <c r="M71" s="660">
        <v>302015</v>
      </c>
      <c r="N71" s="660">
        <v>288588</v>
      </c>
      <c r="O71" s="660">
        <v>302867</v>
      </c>
      <c r="P71" s="661">
        <v>3647087</v>
      </c>
    </row>
    <row r="72" spans="2:16" x14ac:dyDescent="0.25">
      <c r="B72" s="658">
        <v>60</v>
      </c>
      <c r="C72" s="659" t="s">
        <v>235</v>
      </c>
      <c r="D72" s="660">
        <v>101490</v>
      </c>
      <c r="E72" s="660">
        <v>102531</v>
      </c>
      <c r="F72" s="660">
        <v>118976</v>
      </c>
      <c r="G72" s="660">
        <v>108693</v>
      </c>
      <c r="H72" s="660">
        <v>114373</v>
      </c>
      <c r="I72" s="660">
        <v>106755</v>
      </c>
      <c r="J72" s="660">
        <v>109967</v>
      </c>
      <c r="K72" s="660">
        <v>112028</v>
      </c>
      <c r="L72" s="660">
        <v>104097</v>
      </c>
      <c r="M72" s="660">
        <v>107366</v>
      </c>
      <c r="N72" s="660">
        <v>102593</v>
      </c>
      <c r="O72" s="660">
        <v>107669</v>
      </c>
      <c r="P72" s="661">
        <v>1296538</v>
      </c>
    </row>
    <row r="73" spans="2:16" x14ac:dyDescent="0.25">
      <c r="B73" s="658">
        <v>65</v>
      </c>
      <c r="C73" s="659" t="s">
        <v>236</v>
      </c>
      <c r="D73" s="659">
        <v>0</v>
      </c>
      <c r="E73" s="659">
        <v>0</v>
      </c>
      <c r="F73" s="659">
        <v>0</v>
      </c>
      <c r="G73" s="659">
        <v>0</v>
      </c>
      <c r="H73" s="659">
        <v>0</v>
      </c>
      <c r="I73" s="659">
        <v>0</v>
      </c>
      <c r="J73" s="659">
        <v>0</v>
      </c>
      <c r="K73" s="659">
        <v>0</v>
      </c>
      <c r="L73" s="659">
        <v>0</v>
      </c>
      <c r="M73" s="659">
        <v>0</v>
      </c>
      <c r="N73" s="659">
        <v>0</v>
      </c>
      <c r="O73" s="659">
        <v>0</v>
      </c>
      <c r="P73" s="666">
        <v>0</v>
      </c>
    </row>
    <row r="74" spans="2:16" x14ac:dyDescent="0.25">
      <c r="B74" s="658">
        <v>70</v>
      </c>
      <c r="C74" s="659" t="s">
        <v>237</v>
      </c>
      <c r="D74" s="660">
        <v>183995</v>
      </c>
      <c r="E74" s="660">
        <v>185883</v>
      </c>
      <c r="F74" s="660">
        <v>215697</v>
      </c>
      <c r="G74" s="660">
        <v>197053</v>
      </c>
      <c r="H74" s="660">
        <v>207353</v>
      </c>
      <c r="I74" s="660">
        <v>193539</v>
      </c>
      <c r="J74" s="660">
        <v>199364</v>
      </c>
      <c r="K74" s="660">
        <v>203101</v>
      </c>
      <c r="L74" s="660">
        <v>188722</v>
      </c>
      <c r="M74" s="660">
        <v>194649</v>
      </c>
      <c r="N74" s="660">
        <v>185995</v>
      </c>
      <c r="O74" s="660">
        <v>195198</v>
      </c>
      <c r="P74" s="661">
        <v>2350549</v>
      </c>
    </row>
    <row r="75" spans="2:16" x14ac:dyDescent="0.25">
      <c r="B75" s="658">
        <v>80</v>
      </c>
      <c r="C75" s="659" t="s">
        <v>238</v>
      </c>
      <c r="D75" s="660">
        <v>199341</v>
      </c>
      <c r="E75" s="660">
        <v>197092</v>
      </c>
      <c r="F75" s="660">
        <v>207965</v>
      </c>
      <c r="G75" s="660">
        <v>207355</v>
      </c>
      <c r="H75" s="660">
        <v>209907</v>
      </c>
      <c r="I75" s="660">
        <v>202387</v>
      </c>
      <c r="J75" s="660">
        <v>202066</v>
      </c>
      <c r="K75" s="660">
        <v>205697</v>
      </c>
      <c r="L75" s="660">
        <v>199881</v>
      </c>
      <c r="M75" s="660">
        <v>202625</v>
      </c>
      <c r="N75" s="660">
        <v>194857</v>
      </c>
      <c r="O75" s="660">
        <v>205171</v>
      </c>
      <c r="P75" s="661">
        <v>2434344</v>
      </c>
    </row>
    <row r="76" spans="2:16" x14ac:dyDescent="0.25">
      <c r="B76" s="658">
        <v>90</v>
      </c>
      <c r="C76" s="659" t="s">
        <v>239</v>
      </c>
      <c r="D76" s="660">
        <v>15169</v>
      </c>
      <c r="E76" s="660">
        <v>14765</v>
      </c>
      <c r="F76" s="660">
        <v>13525</v>
      </c>
      <c r="G76" s="660">
        <v>14233</v>
      </c>
      <c r="H76" s="660">
        <v>14722</v>
      </c>
      <c r="I76" s="660">
        <v>13423</v>
      </c>
      <c r="J76" s="660">
        <v>10770</v>
      </c>
      <c r="K76" s="660">
        <v>12785</v>
      </c>
      <c r="L76" s="660">
        <v>12559</v>
      </c>
      <c r="M76" s="660">
        <v>10702</v>
      </c>
      <c r="N76" s="660">
        <v>12348</v>
      </c>
      <c r="O76" s="660">
        <v>12348</v>
      </c>
      <c r="P76" s="661">
        <v>157349</v>
      </c>
    </row>
    <row r="77" spans="2:16" x14ac:dyDescent="0.25">
      <c r="B77" s="658">
        <v>100</v>
      </c>
      <c r="C77" s="659" t="s">
        <v>240</v>
      </c>
      <c r="D77" s="660">
        <v>0</v>
      </c>
      <c r="E77" s="660">
        <v>0</v>
      </c>
      <c r="F77" s="660">
        <v>0</v>
      </c>
      <c r="G77" s="660">
        <v>0</v>
      </c>
      <c r="H77" s="660">
        <v>0</v>
      </c>
      <c r="I77" s="660">
        <v>0</v>
      </c>
      <c r="J77" s="660">
        <v>0</v>
      </c>
      <c r="K77" s="660">
        <v>0</v>
      </c>
      <c r="L77" s="660">
        <v>0</v>
      </c>
      <c r="M77" s="660">
        <v>0</v>
      </c>
      <c r="N77" s="660">
        <v>0</v>
      </c>
      <c r="O77" s="660">
        <v>0</v>
      </c>
      <c r="P77" s="661">
        <v>0</v>
      </c>
    </row>
    <row r="78" spans="2:16" x14ac:dyDescent="0.25">
      <c r="B78" s="658">
        <v>110</v>
      </c>
      <c r="C78" s="659" t="s">
        <v>241</v>
      </c>
      <c r="D78" s="660">
        <v>214510</v>
      </c>
      <c r="E78" s="660">
        <v>211857</v>
      </c>
      <c r="F78" s="660">
        <v>221490</v>
      </c>
      <c r="G78" s="660">
        <v>221588</v>
      </c>
      <c r="H78" s="660">
        <v>224629</v>
      </c>
      <c r="I78" s="660">
        <v>215810</v>
      </c>
      <c r="J78" s="660">
        <v>212836</v>
      </c>
      <c r="K78" s="660">
        <v>218482</v>
      </c>
      <c r="L78" s="660">
        <v>212440</v>
      </c>
      <c r="M78" s="660">
        <v>213327</v>
      </c>
      <c r="N78" s="660">
        <v>207205</v>
      </c>
      <c r="O78" s="660">
        <v>217519</v>
      </c>
      <c r="P78" s="661">
        <v>2591693</v>
      </c>
    </row>
    <row r="79" spans="2:16" x14ac:dyDescent="0.25">
      <c r="B79" s="658">
        <v>120</v>
      </c>
      <c r="C79" s="659" t="s">
        <v>242</v>
      </c>
      <c r="D79" s="660">
        <v>-30515</v>
      </c>
      <c r="E79" s="660">
        <v>-25974</v>
      </c>
      <c r="F79" s="660">
        <v>-5793</v>
      </c>
      <c r="G79" s="660">
        <v>-24535</v>
      </c>
      <c r="H79" s="660">
        <v>-17276</v>
      </c>
      <c r="I79" s="660">
        <v>-22271</v>
      </c>
      <c r="J79" s="660">
        <v>-13472</v>
      </c>
      <c r="K79" s="660">
        <v>-15381</v>
      </c>
      <c r="L79" s="660">
        <v>-23718</v>
      </c>
      <c r="M79" s="660">
        <v>-18678</v>
      </c>
      <c r="N79" s="660">
        <v>-21210</v>
      </c>
      <c r="O79" s="660">
        <v>-22321</v>
      </c>
      <c r="P79" s="661">
        <v>-241144</v>
      </c>
    </row>
    <row r="80" spans="2:16" x14ac:dyDescent="0.25">
      <c r="B80" s="658">
        <v>130</v>
      </c>
      <c r="C80" s="659"/>
      <c r="D80" s="659">
        <v>0</v>
      </c>
      <c r="E80" s="659">
        <v>0</v>
      </c>
      <c r="F80" s="659">
        <v>0</v>
      </c>
      <c r="G80" s="659">
        <v>0</v>
      </c>
      <c r="H80" s="659">
        <v>0</v>
      </c>
      <c r="I80" s="659">
        <v>0</v>
      </c>
      <c r="J80" s="659">
        <v>0</v>
      </c>
      <c r="K80" s="659">
        <v>0</v>
      </c>
      <c r="L80" s="659">
        <v>0</v>
      </c>
      <c r="M80" s="659">
        <v>0</v>
      </c>
      <c r="N80" s="659">
        <v>0</v>
      </c>
      <c r="O80" s="659">
        <v>0</v>
      </c>
      <c r="P80" s="666">
        <v>0</v>
      </c>
    </row>
    <row r="81" spans="2:16" x14ac:dyDescent="0.25">
      <c r="B81" s="658">
        <v>135</v>
      </c>
      <c r="C81" s="659" t="s">
        <v>243</v>
      </c>
      <c r="D81" s="660">
        <v>-1550</v>
      </c>
      <c r="E81" s="660">
        <v>-1550</v>
      </c>
      <c r="F81" s="660">
        <v>-1550</v>
      </c>
      <c r="G81" s="660">
        <v>-1550</v>
      </c>
      <c r="H81" s="660">
        <v>-1550</v>
      </c>
      <c r="I81" s="660">
        <v>-1550</v>
      </c>
      <c r="J81" s="660">
        <v>-1550</v>
      </c>
      <c r="K81" s="660">
        <v>-1550</v>
      </c>
      <c r="L81" s="660">
        <v>-1550</v>
      </c>
      <c r="M81" s="660">
        <v>-1550</v>
      </c>
      <c r="N81" s="660">
        <v>-1550</v>
      </c>
      <c r="O81" s="660">
        <v>-1550</v>
      </c>
      <c r="P81" s="661">
        <v>-18600</v>
      </c>
    </row>
    <row r="82" spans="2:16" x14ac:dyDescent="0.25">
      <c r="B82" s="658">
        <v>140</v>
      </c>
      <c r="C82" s="659" t="s">
        <v>244</v>
      </c>
      <c r="D82" s="660">
        <v>887</v>
      </c>
      <c r="E82" s="660">
        <v>884</v>
      </c>
      <c r="F82" s="660">
        <v>881</v>
      </c>
      <c r="G82" s="660">
        <v>878</v>
      </c>
      <c r="H82" s="660">
        <v>874</v>
      </c>
      <c r="I82" s="660">
        <v>871</v>
      </c>
      <c r="J82" s="660">
        <v>868</v>
      </c>
      <c r="K82" s="660">
        <v>865</v>
      </c>
      <c r="L82" s="660">
        <v>861</v>
      </c>
      <c r="M82" s="660">
        <v>858</v>
      </c>
      <c r="N82" s="660">
        <v>855</v>
      </c>
      <c r="O82" s="660">
        <v>851</v>
      </c>
      <c r="P82" s="661">
        <v>10433</v>
      </c>
    </row>
    <row r="83" spans="2:16" x14ac:dyDescent="0.25">
      <c r="B83" s="658">
        <v>150</v>
      </c>
      <c r="C83" s="659" t="s">
        <v>245</v>
      </c>
      <c r="D83" s="659">
        <v>0</v>
      </c>
      <c r="E83" s="659">
        <v>0</v>
      </c>
      <c r="F83" s="659">
        <v>0</v>
      </c>
      <c r="G83" s="659">
        <v>0</v>
      </c>
      <c r="H83" s="659">
        <v>0</v>
      </c>
      <c r="I83" s="659">
        <v>0</v>
      </c>
      <c r="J83" s="659">
        <v>0</v>
      </c>
      <c r="K83" s="659">
        <v>0</v>
      </c>
      <c r="L83" s="659">
        <v>0</v>
      </c>
      <c r="M83" s="659">
        <v>0</v>
      </c>
      <c r="N83" s="659">
        <v>0</v>
      </c>
      <c r="O83" s="659">
        <v>0</v>
      </c>
      <c r="P83" s="666">
        <v>0</v>
      </c>
    </row>
    <row r="84" spans="2:16" x14ac:dyDescent="0.25">
      <c r="B84" s="658">
        <v>155</v>
      </c>
      <c r="C84" s="659"/>
      <c r="D84" s="659">
        <v>0</v>
      </c>
      <c r="E84" s="659">
        <v>0</v>
      </c>
      <c r="F84" s="659">
        <v>0</v>
      </c>
      <c r="G84" s="659">
        <v>0</v>
      </c>
      <c r="H84" s="659">
        <v>0</v>
      </c>
      <c r="I84" s="659">
        <v>0</v>
      </c>
      <c r="J84" s="659">
        <v>0</v>
      </c>
      <c r="K84" s="659">
        <v>0</v>
      </c>
      <c r="L84" s="659">
        <v>0</v>
      </c>
      <c r="M84" s="659">
        <v>0</v>
      </c>
      <c r="N84" s="659">
        <v>0</v>
      </c>
      <c r="O84" s="659">
        <v>0</v>
      </c>
      <c r="P84" s="666">
        <v>0</v>
      </c>
    </row>
    <row r="85" spans="2:16" x14ac:dyDescent="0.25">
      <c r="B85" s="658">
        <v>160</v>
      </c>
      <c r="C85" s="659" t="s">
        <v>246</v>
      </c>
      <c r="D85" s="660">
        <v>-663</v>
      </c>
      <c r="E85" s="660">
        <v>-666</v>
      </c>
      <c r="F85" s="660">
        <v>-669</v>
      </c>
      <c r="G85" s="660">
        <v>-672</v>
      </c>
      <c r="H85" s="660">
        <v>-676</v>
      </c>
      <c r="I85" s="660">
        <v>-679</v>
      </c>
      <c r="J85" s="660">
        <v>-682</v>
      </c>
      <c r="K85" s="660">
        <v>-685</v>
      </c>
      <c r="L85" s="660">
        <v>-689</v>
      </c>
      <c r="M85" s="660">
        <v>-692</v>
      </c>
      <c r="N85" s="660">
        <v>-695</v>
      </c>
      <c r="O85" s="660">
        <v>-699</v>
      </c>
      <c r="P85" s="661">
        <v>-8167</v>
      </c>
    </row>
    <row r="86" spans="2:16" x14ac:dyDescent="0.25">
      <c r="B86" s="658">
        <v>170</v>
      </c>
      <c r="C86" s="659" t="s">
        <v>247</v>
      </c>
      <c r="D86" s="660">
        <v>-29852</v>
      </c>
      <c r="E86" s="660">
        <v>-25308</v>
      </c>
      <c r="F86" s="660">
        <v>-5124</v>
      </c>
      <c r="G86" s="660">
        <v>-23863</v>
      </c>
      <c r="H86" s="660">
        <v>-16600</v>
      </c>
      <c r="I86" s="660">
        <v>-21592</v>
      </c>
      <c r="J86" s="660">
        <v>-12790</v>
      </c>
      <c r="K86" s="660">
        <v>-14696</v>
      </c>
      <c r="L86" s="660">
        <v>-23029</v>
      </c>
      <c r="M86" s="660">
        <v>-17986</v>
      </c>
      <c r="N86" s="660">
        <v>-20515</v>
      </c>
      <c r="O86" s="660">
        <v>-21622</v>
      </c>
      <c r="P86" s="661">
        <v>-232977</v>
      </c>
    </row>
    <row r="87" spans="2:16" x14ac:dyDescent="0.25">
      <c r="B87" s="658">
        <v>180</v>
      </c>
      <c r="C87" s="659" t="s">
        <v>248</v>
      </c>
      <c r="D87" s="659">
        <v>0</v>
      </c>
      <c r="E87" s="659">
        <v>0</v>
      </c>
      <c r="F87" s="659">
        <v>0</v>
      </c>
      <c r="G87" s="659">
        <v>0</v>
      </c>
      <c r="H87" s="659">
        <v>0</v>
      </c>
      <c r="I87" s="659">
        <v>0</v>
      </c>
      <c r="J87" s="659">
        <v>0</v>
      </c>
      <c r="K87" s="659">
        <v>0</v>
      </c>
      <c r="L87" s="659">
        <v>0</v>
      </c>
      <c r="M87" s="659">
        <v>0</v>
      </c>
      <c r="N87" s="659">
        <v>0</v>
      </c>
      <c r="O87" s="659">
        <v>0</v>
      </c>
      <c r="P87" s="666">
        <v>0</v>
      </c>
    </row>
    <row r="88" spans="2:16" x14ac:dyDescent="0.25">
      <c r="B88" s="658">
        <v>190</v>
      </c>
      <c r="C88" s="659" t="s">
        <v>249</v>
      </c>
      <c r="D88" s="659">
        <v>0</v>
      </c>
      <c r="E88" s="659">
        <v>0</v>
      </c>
      <c r="F88" s="659">
        <v>0</v>
      </c>
      <c r="G88" s="659">
        <v>0</v>
      </c>
      <c r="H88" s="659">
        <v>0</v>
      </c>
      <c r="I88" s="659">
        <v>0</v>
      </c>
      <c r="J88" s="659">
        <v>0</v>
      </c>
      <c r="K88" s="659">
        <v>0</v>
      </c>
      <c r="L88" s="659">
        <v>0</v>
      </c>
      <c r="M88" s="659">
        <v>0</v>
      </c>
      <c r="N88" s="659">
        <v>0</v>
      </c>
      <c r="O88" s="659">
        <v>0</v>
      </c>
      <c r="P88" s="666">
        <v>0</v>
      </c>
    </row>
    <row r="89" spans="2:16" x14ac:dyDescent="0.25">
      <c r="B89" s="658">
        <v>200</v>
      </c>
      <c r="C89" s="659" t="s">
        <v>250</v>
      </c>
      <c r="D89" s="660">
        <v>-29852</v>
      </c>
      <c r="E89" s="660">
        <v>-25308</v>
      </c>
      <c r="F89" s="660">
        <v>-5124</v>
      </c>
      <c r="G89" s="660">
        <v>-23863</v>
      </c>
      <c r="H89" s="660">
        <v>-16600</v>
      </c>
      <c r="I89" s="660">
        <v>-21592</v>
      </c>
      <c r="J89" s="660">
        <v>-12790</v>
      </c>
      <c r="K89" s="660">
        <v>-14696</v>
      </c>
      <c r="L89" s="660">
        <v>-23029</v>
      </c>
      <c r="M89" s="660">
        <v>-17986</v>
      </c>
      <c r="N89" s="660">
        <v>-20515</v>
      </c>
      <c r="O89" s="660">
        <v>-21622</v>
      </c>
      <c r="P89" s="661">
        <v>-232977</v>
      </c>
    </row>
    <row r="90" spans="2:16" x14ac:dyDescent="0.25">
      <c r="B90" s="687">
        <v>210</v>
      </c>
      <c r="C90" s="688" t="s">
        <v>251</v>
      </c>
      <c r="D90" s="689">
        <v>-30515</v>
      </c>
      <c r="E90" s="689">
        <v>-25974</v>
      </c>
      <c r="F90" s="689">
        <v>-5793</v>
      </c>
      <c r="G90" s="689">
        <v>-24535</v>
      </c>
      <c r="H90" s="689">
        <v>-17276</v>
      </c>
      <c r="I90" s="689">
        <v>-22271</v>
      </c>
      <c r="J90" s="689">
        <v>-13472</v>
      </c>
      <c r="K90" s="689">
        <v>-15381</v>
      </c>
      <c r="L90" s="689">
        <v>-23718</v>
      </c>
      <c r="M90" s="689">
        <v>-18678</v>
      </c>
      <c r="N90" s="689">
        <v>-21210</v>
      </c>
      <c r="O90" s="689">
        <v>-22321</v>
      </c>
      <c r="P90" s="690">
        <v>-241144</v>
      </c>
    </row>
    <row r="94" spans="2:16" ht="13" x14ac:dyDescent="0.3">
      <c r="B94" s="281" t="s">
        <v>342</v>
      </c>
      <c r="C94" s="111">
        <v>601</v>
      </c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0"/>
      <c r="P94" s="290"/>
    </row>
    <row r="95" spans="2:16" ht="13" x14ac:dyDescent="0.3">
      <c r="B95" s="301" t="s">
        <v>164</v>
      </c>
      <c r="C95" s="302" t="s">
        <v>165</v>
      </c>
      <c r="D95" s="302" t="s">
        <v>418</v>
      </c>
      <c r="E95" s="302" t="s">
        <v>419</v>
      </c>
      <c r="F95" s="302" t="s">
        <v>417</v>
      </c>
      <c r="G95" s="302" t="s">
        <v>420</v>
      </c>
      <c r="H95" s="302" t="s">
        <v>421</v>
      </c>
      <c r="I95" s="302" t="s">
        <v>422</v>
      </c>
      <c r="J95" s="302" t="s">
        <v>423</v>
      </c>
      <c r="K95" s="302" t="s">
        <v>428</v>
      </c>
      <c r="L95" s="302" t="s">
        <v>424</v>
      </c>
      <c r="M95" s="302" t="s">
        <v>425</v>
      </c>
      <c r="N95" s="302" t="s">
        <v>426</v>
      </c>
      <c r="O95" s="302" t="s">
        <v>427</v>
      </c>
      <c r="P95" s="303" t="s">
        <v>8</v>
      </c>
    </row>
    <row r="96" spans="2:16" ht="13" x14ac:dyDescent="0.3">
      <c r="B96" s="304" t="s">
        <v>181</v>
      </c>
      <c r="C96" s="305" t="s">
        <v>181</v>
      </c>
      <c r="D96" s="305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6"/>
    </row>
    <row r="97" spans="2:16" ht="13" x14ac:dyDescent="0.3">
      <c r="B97" s="307"/>
      <c r="C97" s="308"/>
      <c r="D97" s="308"/>
      <c r="E97" s="308"/>
      <c r="F97" s="308"/>
      <c r="G97" s="308"/>
      <c r="H97" s="308"/>
      <c r="I97" s="308"/>
      <c r="J97" s="308"/>
      <c r="K97" s="308"/>
      <c r="L97" s="308"/>
      <c r="M97" s="308"/>
      <c r="N97" s="308"/>
      <c r="O97" s="308"/>
      <c r="P97" s="309"/>
    </row>
    <row r="98" spans="2:16" x14ac:dyDescent="0.25">
      <c r="B98" s="658">
        <v>30</v>
      </c>
      <c r="C98" s="659" t="s">
        <v>232</v>
      </c>
      <c r="D98" s="660">
        <v>647464</v>
      </c>
      <c r="E98" s="660">
        <v>609413</v>
      </c>
      <c r="F98" s="660">
        <v>723603</v>
      </c>
      <c r="G98" s="660">
        <v>660669</v>
      </c>
      <c r="H98" s="660">
        <v>694252</v>
      </c>
      <c r="I98" s="660">
        <v>692159</v>
      </c>
      <c r="J98" s="660">
        <v>677785</v>
      </c>
      <c r="K98" s="660">
        <v>696922</v>
      </c>
      <c r="L98" s="660">
        <v>646863</v>
      </c>
      <c r="M98" s="660">
        <v>651319</v>
      </c>
      <c r="N98" s="660">
        <v>614862</v>
      </c>
      <c r="O98" s="660">
        <v>619559</v>
      </c>
      <c r="P98" s="661">
        <v>7934870</v>
      </c>
    </row>
    <row r="99" spans="2:16" x14ac:dyDescent="0.25">
      <c r="B99" s="658">
        <v>40</v>
      </c>
      <c r="C99" s="659" t="s">
        <v>233</v>
      </c>
      <c r="D99" s="659">
        <v>0</v>
      </c>
      <c r="E99" s="659">
        <v>0</v>
      </c>
      <c r="F99" s="659">
        <v>0</v>
      </c>
      <c r="G99" s="659">
        <v>0</v>
      </c>
      <c r="H99" s="659">
        <v>0</v>
      </c>
      <c r="I99" s="659">
        <v>0</v>
      </c>
      <c r="J99" s="659">
        <v>0</v>
      </c>
      <c r="K99" s="659">
        <v>0</v>
      </c>
      <c r="L99" s="659">
        <v>0</v>
      </c>
      <c r="M99" s="659">
        <v>0</v>
      </c>
      <c r="N99" s="659">
        <v>0</v>
      </c>
      <c r="O99" s="659">
        <v>0</v>
      </c>
      <c r="P99" s="666">
        <v>0</v>
      </c>
    </row>
    <row r="100" spans="2:16" x14ac:dyDescent="0.25">
      <c r="B100" s="658">
        <v>50</v>
      </c>
      <c r="C100" s="659" t="s">
        <v>234</v>
      </c>
      <c r="D100" s="660">
        <v>647464</v>
      </c>
      <c r="E100" s="660">
        <v>609413</v>
      </c>
      <c r="F100" s="660">
        <v>723603</v>
      </c>
      <c r="G100" s="660">
        <v>660669</v>
      </c>
      <c r="H100" s="660">
        <v>694252</v>
      </c>
      <c r="I100" s="660">
        <v>692159</v>
      </c>
      <c r="J100" s="660">
        <v>677785</v>
      </c>
      <c r="K100" s="660">
        <v>696922</v>
      </c>
      <c r="L100" s="660">
        <v>646863</v>
      </c>
      <c r="M100" s="660">
        <v>651319</v>
      </c>
      <c r="N100" s="660">
        <v>614862</v>
      </c>
      <c r="O100" s="660">
        <v>619559</v>
      </c>
      <c r="P100" s="661">
        <v>7934870</v>
      </c>
    </row>
    <row r="101" spans="2:16" x14ac:dyDescent="0.25">
      <c r="B101" s="658">
        <v>60</v>
      </c>
      <c r="C101" s="659" t="s">
        <v>235</v>
      </c>
      <c r="D101" s="660">
        <v>229202</v>
      </c>
      <c r="E101" s="660">
        <v>215732</v>
      </c>
      <c r="F101" s="660">
        <v>256156</v>
      </c>
      <c r="G101" s="660">
        <v>233877</v>
      </c>
      <c r="H101" s="660">
        <v>245765</v>
      </c>
      <c r="I101" s="660">
        <v>245024</v>
      </c>
      <c r="J101" s="660">
        <v>239936</v>
      </c>
      <c r="K101" s="660">
        <v>246711</v>
      </c>
      <c r="L101" s="660">
        <v>228989</v>
      </c>
      <c r="M101" s="660">
        <v>230567</v>
      </c>
      <c r="N101" s="660">
        <v>217661</v>
      </c>
      <c r="O101" s="660">
        <v>219324</v>
      </c>
      <c r="P101" s="661">
        <v>2808944</v>
      </c>
    </row>
    <row r="102" spans="2:16" x14ac:dyDescent="0.25">
      <c r="B102" s="658">
        <v>65</v>
      </c>
      <c r="C102" s="659" t="s">
        <v>236</v>
      </c>
      <c r="D102" s="659">
        <v>0</v>
      </c>
      <c r="E102" s="659">
        <v>0</v>
      </c>
      <c r="F102" s="659">
        <v>0</v>
      </c>
      <c r="G102" s="659">
        <v>0</v>
      </c>
      <c r="H102" s="659">
        <v>0</v>
      </c>
      <c r="I102" s="659">
        <v>0</v>
      </c>
      <c r="J102" s="659">
        <v>0</v>
      </c>
      <c r="K102" s="659">
        <v>0</v>
      </c>
      <c r="L102" s="659">
        <v>0</v>
      </c>
      <c r="M102" s="659">
        <v>0</v>
      </c>
      <c r="N102" s="659">
        <v>0</v>
      </c>
      <c r="O102" s="659">
        <v>0</v>
      </c>
      <c r="P102" s="666">
        <v>0</v>
      </c>
    </row>
    <row r="103" spans="2:16" x14ac:dyDescent="0.25">
      <c r="B103" s="658">
        <v>70</v>
      </c>
      <c r="C103" s="659" t="s">
        <v>237</v>
      </c>
      <c r="D103" s="660">
        <v>418262</v>
      </c>
      <c r="E103" s="660">
        <v>393681</v>
      </c>
      <c r="F103" s="660">
        <v>467447</v>
      </c>
      <c r="G103" s="660">
        <v>426792</v>
      </c>
      <c r="H103" s="660">
        <v>448487</v>
      </c>
      <c r="I103" s="660">
        <v>447135</v>
      </c>
      <c r="J103" s="660">
        <v>437849</v>
      </c>
      <c r="K103" s="660">
        <v>450211</v>
      </c>
      <c r="L103" s="660">
        <v>417874</v>
      </c>
      <c r="M103" s="660">
        <v>420752</v>
      </c>
      <c r="N103" s="660">
        <v>397201</v>
      </c>
      <c r="O103" s="660">
        <v>400235</v>
      </c>
      <c r="P103" s="661">
        <v>5125926</v>
      </c>
    </row>
    <row r="104" spans="2:16" x14ac:dyDescent="0.25">
      <c r="B104" s="658">
        <v>80</v>
      </c>
      <c r="C104" s="659" t="s">
        <v>238</v>
      </c>
      <c r="D104" s="660">
        <v>393513</v>
      </c>
      <c r="E104" s="660">
        <v>384885</v>
      </c>
      <c r="F104" s="660">
        <v>417069</v>
      </c>
      <c r="G104" s="660">
        <v>396937</v>
      </c>
      <c r="H104" s="660">
        <v>406354</v>
      </c>
      <c r="I104" s="660">
        <v>407244</v>
      </c>
      <c r="J104" s="660">
        <v>403383</v>
      </c>
      <c r="K104" s="660">
        <v>411174</v>
      </c>
      <c r="L104" s="660">
        <v>397180</v>
      </c>
      <c r="M104" s="660">
        <v>407130</v>
      </c>
      <c r="N104" s="660">
        <v>388382</v>
      </c>
      <c r="O104" s="660">
        <v>395381</v>
      </c>
      <c r="P104" s="661">
        <v>4808632</v>
      </c>
    </row>
    <row r="105" spans="2:16" x14ac:dyDescent="0.25">
      <c r="B105" s="658">
        <v>90</v>
      </c>
      <c r="C105" s="659" t="s">
        <v>239</v>
      </c>
      <c r="D105" s="660">
        <v>23712</v>
      </c>
      <c r="E105" s="660">
        <v>21039</v>
      </c>
      <c r="F105" s="660">
        <v>17097</v>
      </c>
      <c r="G105" s="660">
        <v>22447</v>
      </c>
      <c r="H105" s="660">
        <v>24567</v>
      </c>
      <c r="I105" s="660">
        <v>23519</v>
      </c>
      <c r="J105" s="660">
        <v>20550</v>
      </c>
      <c r="K105" s="660">
        <v>24447</v>
      </c>
      <c r="L105" s="660">
        <v>17489</v>
      </c>
      <c r="M105" s="660">
        <v>17922</v>
      </c>
      <c r="N105" s="660">
        <v>21279</v>
      </c>
      <c r="O105" s="660">
        <v>21279</v>
      </c>
      <c r="P105" s="661">
        <v>255347</v>
      </c>
    </row>
    <row r="106" spans="2:16" x14ac:dyDescent="0.25">
      <c r="B106" s="658">
        <v>100</v>
      </c>
      <c r="C106" s="659" t="s">
        <v>240</v>
      </c>
      <c r="D106" s="660">
        <v>2838</v>
      </c>
      <c r="E106" s="660">
        <v>2838</v>
      </c>
      <c r="F106" s="660">
        <v>2838</v>
      </c>
      <c r="G106" s="660">
        <v>2838</v>
      </c>
      <c r="H106" s="660">
        <v>2838</v>
      </c>
      <c r="I106" s="660">
        <v>2838</v>
      </c>
      <c r="J106" s="660">
        <v>2838</v>
      </c>
      <c r="K106" s="660">
        <v>2838</v>
      </c>
      <c r="L106" s="660">
        <v>2838</v>
      </c>
      <c r="M106" s="660">
        <v>2838</v>
      </c>
      <c r="N106" s="660">
        <v>2838</v>
      </c>
      <c r="O106" s="660">
        <v>2838</v>
      </c>
      <c r="P106" s="661">
        <v>34056</v>
      </c>
    </row>
    <row r="107" spans="2:16" x14ac:dyDescent="0.25">
      <c r="B107" s="658">
        <v>110</v>
      </c>
      <c r="C107" s="659" t="s">
        <v>241</v>
      </c>
      <c r="D107" s="660">
        <v>420063</v>
      </c>
      <c r="E107" s="660">
        <v>408762</v>
      </c>
      <c r="F107" s="660">
        <v>437004</v>
      </c>
      <c r="G107" s="660">
        <v>422222</v>
      </c>
      <c r="H107" s="660">
        <v>433759</v>
      </c>
      <c r="I107" s="660">
        <v>433601</v>
      </c>
      <c r="J107" s="660">
        <v>426771</v>
      </c>
      <c r="K107" s="660">
        <v>438459</v>
      </c>
      <c r="L107" s="660">
        <v>417507</v>
      </c>
      <c r="M107" s="660">
        <v>427890</v>
      </c>
      <c r="N107" s="660">
        <v>412499</v>
      </c>
      <c r="O107" s="660">
        <v>419498</v>
      </c>
      <c r="P107" s="661">
        <v>5098035</v>
      </c>
    </row>
    <row r="108" spans="2:16" x14ac:dyDescent="0.25">
      <c r="B108" s="658">
        <v>120</v>
      </c>
      <c r="C108" s="659" t="s">
        <v>242</v>
      </c>
      <c r="D108" s="660">
        <v>-1801</v>
      </c>
      <c r="E108" s="660">
        <v>-15081</v>
      </c>
      <c r="F108" s="660">
        <v>30443</v>
      </c>
      <c r="G108" s="660">
        <v>4570</v>
      </c>
      <c r="H108" s="660">
        <v>14728</v>
      </c>
      <c r="I108" s="660">
        <v>13534</v>
      </c>
      <c r="J108" s="660">
        <v>11078</v>
      </c>
      <c r="K108" s="660">
        <v>11752</v>
      </c>
      <c r="L108" s="660">
        <v>367</v>
      </c>
      <c r="M108" s="660">
        <v>-7138</v>
      </c>
      <c r="N108" s="660">
        <v>-15298</v>
      </c>
      <c r="O108" s="660">
        <v>-19263</v>
      </c>
      <c r="P108" s="661">
        <v>27891</v>
      </c>
    </row>
    <row r="109" spans="2:16" x14ac:dyDescent="0.25">
      <c r="B109" s="658">
        <v>130</v>
      </c>
      <c r="C109" s="659"/>
      <c r="D109" s="659">
        <v>0</v>
      </c>
      <c r="E109" s="659">
        <v>0</v>
      </c>
      <c r="F109" s="659">
        <v>0</v>
      </c>
      <c r="G109" s="659">
        <v>0</v>
      </c>
      <c r="H109" s="659">
        <v>0</v>
      </c>
      <c r="I109" s="659">
        <v>0</v>
      </c>
      <c r="J109" s="659">
        <v>0</v>
      </c>
      <c r="K109" s="659">
        <v>0</v>
      </c>
      <c r="L109" s="659">
        <v>0</v>
      </c>
      <c r="M109" s="659">
        <v>0</v>
      </c>
      <c r="N109" s="659">
        <v>0</v>
      </c>
      <c r="O109" s="659">
        <v>0</v>
      </c>
      <c r="P109" s="666">
        <v>0</v>
      </c>
    </row>
    <row r="110" spans="2:16" x14ac:dyDescent="0.25">
      <c r="B110" s="658">
        <v>135</v>
      </c>
      <c r="C110" s="659" t="s">
        <v>243</v>
      </c>
      <c r="D110" s="660">
        <v>-1515</v>
      </c>
      <c r="E110" s="660">
        <v>-1515</v>
      </c>
      <c r="F110" s="660">
        <v>-1515</v>
      </c>
      <c r="G110" s="660">
        <v>-1515</v>
      </c>
      <c r="H110" s="660">
        <v>-1515</v>
      </c>
      <c r="I110" s="660">
        <v>-1515</v>
      </c>
      <c r="J110" s="660">
        <v>-1515</v>
      </c>
      <c r="K110" s="660">
        <v>-1515</v>
      </c>
      <c r="L110" s="660">
        <v>-1515</v>
      </c>
      <c r="M110" s="660">
        <v>-1515</v>
      </c>
      <c r="N110" s="660">
        <v>-1515</v>
      </c>
      <c r="O110" s="660">
        <v>-1515</v>
      </c>
      <c r="P110" s="661">
        <v>-18180</v>
      </c>
    </row>
    <row r="111" spans="2:16" x14ac:dyDescent="0.25">
      <c r="B111" s="658">
        <v>140</v>
      </c>
      <c r="C111" s="659" t="s">
        <v>244</v>
      </c>
      <c r="D111" s="660">
        <v>20193</v>
      </c>
      <c r="E111" s="660">
        <v>20119</v>
      </c>
      <c r="F111" s="660">
        <v>20045</v>
      </c>
      <c r="G111" s="660">
        <v>19970</v>
      </c>
      <c r="H111" s="660">
        <v>19895</v>
      </c>
      <c r="I111" s="660">
        <v>19819</v>
      </c>
      <c r="J111" s="660">
        <v>19743</v>
      </c>
      <c r="K111" s="660">
        <v>19667</v>
      </c>
      <c r="L111" s="660">
        <v>19590</v>
      </c>
      <c r="M111" s="660">
        <v>19513</v>
      </c>
      <c r="N111" s="660">
        <v>19435</v>
      </c>
      <c r="O111" s="660">
        <v>19357</v>
      </c>
      <c r="P111" s="661">
        <v>237346</v>
      </c>
    </row>
    <row r="112" spans="2:16" x14ac:dyDescent="0.25">
      <c r="B112" s="658">
        <v>150</v>
      </c>
      <c r="C112" s="659" t="s">
        <v>245</v>
      </c>
      <c r="D112" s="659">
        <v>0</v>
      </c>
      <c r="E112" s="659">
        <v>0</v>
      </c>
      <c r="F112" s="659">
        <v>0</v>
      </c>
      <c r="G112" s="659">
        <v>0</v>
      </c>
      <c r="H112" s="659">
        <v>0</v>
      </c>
      <c r="I112" s="659">
        <v>0</v>
      </c>
      <c r="J112" s="659">
        <v>0</v>
      </c>
      <c r="K112" s="659">
        <v>0</v>
      </c>
      <c r="L112" s="659">
        <v>0</v>
      </c>
      <c r="M112" s="659">
        <v>0</v>
      </c>
      <c r="N112" s="659">
        <v>0</v>
      </c>
      <c r="O112" s="659">
        <v>0</v>
      </c>
      <c r="P112" s="666">
        <v>0</v>
      </c>
    </row>
    <row r="113" spans="2:16" x14ac:dyDescent="0.25">
      <c r="B113" s="658">
        <v>155</v>
      </c>
      <c r="C113" s="659"/>
      <c r="D113" s="659">
        <v>0</v>
      </c>
      <c r="E113" s="659">
        <v>0</v>
      </c>
      <c r="F113" s="659">
        <v>0</v>
      </c>
      <c r="G113" s="659">
        <v>0</v>
      </c>
      <c r="H113" s="659">
        <v>0</v>
      </c>
      <c r="I113" s="659">
        <v>0</v>
      </c>
      <c r="J113" s="659">
        <v>0</v>
      </c>
      <c r="K113" s="659">
        <v>0</v>
      </c>
      <c r="L113" s="659">
        <v>0</v>
      </c>
      <c r="M113" s="659">
        <v>0</v>
      </c>
      <c r="N113" s="659">
        <v>0</v>
      </c>
      <c r="O113" s="659">
        <v>0</v>
      </c>
      <c r="P113" s="666">
        <v>0</v>
      </c>
    </row>
    <row r="114" spans="2:16" x14ac:dyDescent="0.25">
      <c r="B114" s="658">
        <v>160</v>
      </c>
      <c r="C114" s="659" t="s">
        <v>246</v>
      </c>
      <c r="D114" s="660">
        <v>18678</v>
      </c>
      <c r="E114" s="660">
        <v>18604</v>
      </c>
      <c r="F114" s="660">
        <v>18530</v>
      </c>
      <c r="G114" s="660">
        <v>18455</v>
      </c>
      <c r="H114" s="660">
        <v>18380</v>
      </c>
      <c r="I114" s="660">
        <v>18304</v>
      </c>
      <c r="J114" s="660">
        <v>18228</v>
      </c>
      <c r="K114" s="660">
        <v>18152</v>
      </c>
      <c r="L114" s="660">
        <v>18075</v>
      </c>
      <c r="M114" s="660">
        <v>17998</v>
      </c>
      <c r="N114" s="660">
        <v>17920</v>
      </c>
      <c r="O114" s="660">
        <v>17842</v>
      </c>
      <c r="P114" s="661">
        <v>219166</v>
      </c>
    </row>
    <row r="115" spans="2:16" x14ac:dyDescent="0.25">
      <c r="B115" s="658">
        <v>170</v>
      </c>
      <c r="C115" s="659" t="s">
        <v>247</v>
      </c>
      <c r="D115" s="660">
        <v>-20479</v>
      </c>
      <c r="E115" s="660">
        <v>-33685</v>
      </c>
      <c r="F115" s="660">
        <v>11913</v>
      </c>
      <c r="G115" s="660">
        <v>-13885</v>
      </c>
      <c r="H115" s="660">
        <v>-3652</v>
      </c>
      <c r="I115" s="660">
        <v>-4770</v>
      </c>
      <c r="J115" s="660">
        <v>-7150</v>
      </c>
      <c r="K115" s="660">
        <v>-6400</v>
      </c>
      <c r="L115" s="660">
        <v>-17708</v>
      </c>
      <c r="M115" s="660">
        <v>-25136</v>
      </c>
      <c r="N115" s="660">
        <v>-33218</v>
      </c>
      <c r="O115" s="660">
        <v>-37105</v>
      </c>
      <c r="P115" s="661">
        <v>-191275</v>
      </c>
    </row>
    <row r="116" spans="2:16" x14ac:dyDescent="0.25">
      <c r="B116" s="658">
        <v>180</v>
      </c>
      <c r="C116" s="659" t="s">
        <v>248</v>
      </c>
      <c r="D116" s="659">
        <v>0</v>
      </c>
      <c r="E116" s="659">
        <v>0</v>
      </c>
      <c r="F116" s="659">
        <v>0</v>
      </c>
      <c r="G116" s="659">
        <v>0</v>
      </c>
      <c r="H116" s="659">
        <v>0</v>
      </c>
      <c r="I116" s="659">
        <v>0</v>
      </c>
      <c r="J116" s="659">
        <v>0</v>
      </c>
      <c r="K116" s="659">
        <v>0</v>
      </c>
      <c r="L116" s="659">
        <v>0</v>
      </c>
      <c r="M116" s="659">
        <v>0</v>
      </c>
      <c r="N116" s="659">
        <v>0</v>
      </c>
      <c r="O116" s="659">
        <v>0</v>
      </c>
      <c r="P116" s="666">
        <v>0</v>
      </c>
    </row>
    <row r="117" spans="2:16" x14ac:dyDescent="0.25">
      <c r="B117" s="658">
        <v>190</v>
      </c>
      <c r="C117" s="659" t="s">
        <v>249</v>
      </c>
      <c r="D117" s="659">
        <v>0</v>
      </c>
      <c r="E117" s="659">
        <v>0</v>
      </c>
      <c r="F117" s="659">
        <v>0</v>
      </c>
      <c r="G117" s="659">
        <v>0</v>
      </c>
      <c r="H117" s="659">
        <v>0</v>
      </c>
      <c r="I117" s="659">
        <v>0</v>
      </c>
      <c r="J117" s="659">
        <v>0</v>
      </c>
      <c r="K117" s="659">
        <v>0</v>
      </c>
      <c r="L117" s="659">
        <v>0</v>
      </c>
      <c r="M117" s="659">
        <v>0</v>
      </c>
      <c r="N117" s="659">
        <v>0</v>
      </c>
      <c r="O117" s="659">
        <v>0</v>
      </c>
      <c r="P117" s="666">
        <v>0</v>
      </c>
    </row>
    <row r="118" spans="2:16" x14ac:dyDescent="0.25">
      <c r="B118" s="658">
        <v>200</v>
      </c>
      <c r="C118" s="659" t="s">
        <v>250</v>
      </c>
      <c r="D118" s="660">
        <v>-20479</v>
      </c>
      <c r="E118" s="660">
        <v>-33685</v>
      </c>
      <c r="F118" s="660">
        <v>11913</v>
      </c>
      <c r="G118" s="660">
        <v>-13885</v>
      </c>
      <c r="H118" s="660">
        <v>-3652</v>
      </c>
      <c r="I118" s="660">
        <v>-4770</v>
      </c>
      <c r="J118" s="660">
        <v>-7150</v>
      </c>
      <c r="K118" s="660">
        <v>-6400</v>
      </c>
      <c r="L118" s="660">
        <v>-17708</v>
      </c>
      <c r="M118" s="660">
        <v>-25136</v>
      </c>
      <c r="N118" s="660">
        <v>-33218</v>
      </c>
      <c r="O118" s="660">
        <v>-37105</v>
      </c>
      <c r="P118" s="661">
        <v>-191275</v>
      </c>
    </row>
    <row r="119" spans="2:16" x14ac:dyDescent="0.25">
      <c r="B119" s="687">
        <v>210</v>
      </c>
      <c r="C119" s="688" t="s">
        <v>251</v>
      </c>
      <c r="D119" s="689">
        <v>1037</v>
      </c>
      <c r="E119" s="689">
        <v>-12243</v>
      </c>
      <c r="F119" s="689">
        <v>33281</v>
      </c>
      <c r="G119" s="689">
        <v>7408</v>
      </c>
      <c r="H119" s="689">
        <v>17566</v>
      </c>
      <c r="I119" s="689">
        <v>16372</v>
      </c>
      <c r="J119" s="689">
        <v>13916</v>
      </c>
      <c r="K119" s="689">
        <v>14590</v>
      </c>
      <c r="L119" s="689">
        <v>3205</v>
      </c>
      <c r="M119" s="689">
        <v>-4300</v>
      </c>
      <c r="N119" s="689">
        <v>-12460</v>
      </c>
      <c r="O119" s="689">
        <v>-16425</v>
      </c>
      <c r="P119" s="690">
        <v>61947</v>
      </c>
    </row>
    <row r="123" spans="2:16" ht="13" x14ac:dyDescent="0.3">
      <c r="B123" s="277" t="s">
        <v>329</v>
      </c>
      <c r="C123" s="111">
        <v>601</v>
      </c>
      <c r="D123" s="290"/>
      <c r="E123" s="290"/>
      <c r="F123" s="290"/>
      <c r="G123" s="290"/>
      <c r="H123" s="290"/>
      <c r="I123" s="290"/>
      <c r="J123" s="290"/>
      <c r="K123" s="290"/>
      <c r="L123" s="290"/>
      <c r="M123" s="290"/>
      <c r="N123" s="290"/>
      <c r="O123" s="290"/>
      <c r="P123" s="290"/>
    </row>
    <row r="124" spans="2:16" ht="13" x14ac:dyDescent="0.3">
      <c r="B124" s="301" t="s">
        <v>164</v>
      </c>
      <c r="C124" s="302" t="s">
        <v>165</v>
      </c>
      <c r="D124" s="302" t="s">
        <v>418</v>
      </c>
      <c r="E124" s="302" t="s">
        <v>419</v>
      </c>
      <c r="F124" s="302" t="s">
        <v>417</v>
      </c>
      <c r="G124" s="302" t="s">
        <v>420</v>
      </c>
      <c r="H124" s="302" t="s">
        <v>421</v>
      </c>
      <c r="I124" s="302" t="s">
        <v>422</v>
      </c>
      <c r="J124" s="302" t="s">
        <v>423</v>
      </c>
      <c r="K124" s="302" t="s">
        <v>429</v>
      </c>
      <c r="L124" s="302" t="s">
        <v>424</v>
      </c>
      <c r="M124" s="302" t="s">
        <v>425</v>
      </c>
      <c r="N124" s="302" t="s">
        <v>426</v>
      </c>
      <c r="O124" s="302" t="s">
        <v>427</v>
      </c>
      <c r="P124" s="303" t="s">
        <v>8</v>
      </c>
    </row>
    <row r="125" spans="2:16" ht="13" x14ac:dyDescent="0.3">
      <c r="B125" s="304" t="s">
        <v>181</v>
      </c>
      <c r="C125" s="305" t="s">
        <v>181</v>
      </c>
      <c r="D125" s="305"/>
      <c r="E125" s="305"/>
      <c r="F125" s="305"/>
      <c r="G125" s="305"/>
      <c r="H125" s="305"/>
      <c r="I125" s="305"/>
      <c r="J125" s="305"/>
      <c r="K125" s="305"/>
      <c r="L125" s="305"/>
      <c r="M125" s="305"/>
      <c r="N125" s="305"/>
      <c r="O125" s="305"/>
      <c r="P125" s="306"/>
    </row>
    <row r="126" spans="2:16" ht="13" x14ac:dyDescent="0.3">
      <c r="B126" s="307"/>
      <c r="C126" s="308"/>
      <c r="D126" s="308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9"/>
    </row>
    <row r="127" spans="2:16" x14ac:dyDescent="0.25">
      <c r="B127" s="658">
        <v>30</v>
      </c>
      <c r="C127" s="659" t="s">
        <v>232</v>
      </c>
      <c r="D127" s="660">
        <v>252701</v>
      </c>
      <c r="E127" s="660">
        <v>232507</v>
      </c>
      <c r="F127" s="660">
        <v>269317</v>
      </c>
      <c r="G127" s="660">
        <v>243252</v>
      </c>
      <c r="H127" s="660">
        <v>261271</v>
      </c>
      <c r="I127" s="660">
        <v>258332</v>
      </c>
      <c r="J127" s="660">
        <v>236773</v>
      </c>
      <c r="K127" s="660">
        <v>239481</v>
      </c>
      <c r="L127" s="660">
        <v>244561</v>
      </c>
      <c r="M127" s="660">
        <v>255201</v>
      </c>
      <c r="N127" s="660">
        <v>245310</v>
      </c>
      <c r="O127" s="660">
        <v>288312</v>
      </c>
      <c r="P127" s="661">
        <v>3027018</v>
      </c>
    </row>
    <row r="128" spans="2:16" x14ac:dyDescent="0.25">
      <c r="B128" s="658">
        <v>40</v>
      </c>
      <c r="C128" s="659" t="s">
        <v>233</v>
      </c>
      <c r="D128" s="659">
        <v>0</v>
      </c>
      <c r="E128" s="659">
        <v>0</v>
      </c>
      <c r="F128" s="659">
        <v>0</v>
      </c>
      <c r="G128" s="659">
        <v>0</v>
      </c>
      <c r="H128" s="659">
        <v>0</v>
      </c>
      <c r="I128" s="659">
        <v>0</v>
      </c>
      <c r="J128" s="659">
        <v>0</v>
      </c>
      <c r="K128" s="659">
        <v>0</v>
      </c>
      <c r="L128" s="659">
        <v>0</v>
      </c>
      <c r="M128" s="659">
        <v>0</v>
      </c>
      <c r="N128" s="659">
        <v>0</v>
      </c>
      <c r="O128" s="659">
        <v>0</v>
      </c>
      <c r="P128" s="666">
        <v>0</v>
      </c>
    </row>
    <row r="129" spans="2:16" x14ac:dyDescent="0.25">
      <c r="B129" s="658">
        <v>50</v>
      </c>
      <c r="C129" s="659" t="s">
        <v>234</v>
      </c>
      <c r="D129" s="660">
        <v>252701</v>
      </c>
      <c r="E129" s="660">
        <v>232507</v>
      </c>
      <c r="F129" s="660">
        <v>269317</v>
      </c>
      <c r="G129" s="660">
        <v>243252</v>
      </c>
      <c r="H129" s="660">
        <v>261271</v>
      </c>
      <c r="I129" s="660">
        <v>258332</v>
      </c>
      <c r="J129" s="660">
        <v>236773</v>
      </c>
      <c r="K129" s="660">
        <v>239481</v>
      </c>
      <c r="L129" s="660">
        <v>244561</v>
      </c>
      <c r="M129" s="660">
        <v>255201</v>
      </c>
      <c r="N129" s="660">
        <v>245310</v>
      </c>
      <c r="O129" s="660">
        <v>288312</v>
      </c>
      <c r="P129" s="661">
        <v>3027018</v>
      </c>
    </row>
    <row r="130" spans="2:16" x14ac:dyDescent="0.25">
      <c r="B130" s="658">
        <v>60</v>
      </c>
      <c r="C130" s="659" t="s">
        <v>235</v>
      </c>
      <c r="D130" s="660">
        <v>89456</v>
      </c>
      <c r="E130" s="660">
        <v>82308</v>
      </c>
      <c r="F130" s="660">
        <v>95338</v>
      </c>
      <c r="G130" s="660">
        <v>86111</v>
      </c>
      <c r="H130" s="660">
        <v>92490</v>
      </c>
      <c r="I130" s="660">
        <v>91450</v>
      </c>
      <c r="J130" s="660">
        <v>83818</v>
      </c>
      <c r="K130" s="660">
        <v>84776</v>
      </c>
      <c r="L130" s="660">
        <v>86575</v>
      </c>
      <c r="M130" s="660">
        <v>90341</v>
      </c>
      <c r="N130" s="660">
        <v>86840</v>
      </c>
      <c r="O130" s="660">
        <v>102063</v>
      </c>
      <c r="P130" s="661">
        <v>1071566</v>
      </c>
    </row>
    <row r="131" spans="2:16" x14ac:dyDescent="0.25">
      <c r="B131" s="658">
        <v>65</v>
      </c>
      <c r="C131" s="659" t="s">
        <v>236</v>
      </c>
      <c r="D131" s="659">
        <v>0</v>
      </c>
      <c r="E131" s="659">
        <v>0</v>
      </c>
      <c r="F131" s="659">
        <v>0</v>
      </c>
      <c r="G131" s="659">
        <v>0</v>
      </c>
      <c r="H131" s="659">
        <v>0</v>
      </c>
      <c r="I131" s="659">
        <v>0</v>
      </c>
      <c r="J131" s="659">
        <v>0</v>
      </c>
      <c r="K131" s="659">
        <v>0</v>
      </c>
      <c r="L131" s="659">
        <v>0</v>
      </c>
      <c r="M131" s="659">
        <v>0</v>
      </c>
      <c r="N131" s="659">
        <v>0</v>
      </c>
      <c r="O131" s="659">
        <v>0</v>
      </c>
      <c r="P131" s="666">
        <v>0</v>
      </c>
    </row>
    <row r="132" spans="2:16" x14ac:dyDescent="0.25">
      <c r="B132" s="658">
        <v>70</v>
      </c>
      <c r="C132" s="659" t="s">
        <v>237</v>
      </c>
      <c r="D132" s="660">
        <v>163245</v>
      </c>
      <c r="E132" s="660">
        <v>150199</v>
      </c>
      <c r="F132" s="660">
        <v>173979</v>
      </c>
      <c r="G132" s="660">
        <v>157141</v>
      </c>
      <c r="H132" s="660">
        <v>168781</v>
      </c>
      <c r="I132" s="660">
        <v>166882</v>
      </c>
      <c r="J132" s="660">
        <v>152955</v>
      </c>
      <c r="K132" s="660">
        <v>154705</v>
      </c>
      <c r="L132" s="660">
        <v>157986</v>
      </c>
      <c r="M132" s="660">
        <v>164860</v>
      </c>
      <c r="N132" s="660">
        <v>158470</v>
      </c>
      <c r="O132" s="660">
        <v>186249</v>
      </c>
      <c r="P132" s="661">
        <v>1955452</v>
      </c>
    </row>
    <row r="133" spans="2:16" x14ac:dyDescent="0.25">
      <c r="B133" s="658">
        <v>80</v>
      </c>
      <c r="C133" s="659" t="s">
        <v>238</v>
      </c>
      <c r="D133" s="660">
        <v>173098</v>
      </c>
      <c r="E133" s="660">
        <v>164177</v>
      </c>
      <c r="F133" s="660">
        <v>173929</v>
      </c>
      <c r="G133" s="660">
        <v>168424</v>
      </c>
      <c r="H133" s="660">
        <v>170518</v>
      </c>
      <c r="I133" s="660">
        <v>168812</v>
      </c>
      <c r="J133" s="660">
        <v>165204</v>
      </c>
      <c r="K133" s="660">
        <v>165730</v>
      </c>
      <c r="L133" s="660">
        <v>166687</v>
      </c>
      <c r="M133" s="660">
        <v>168753</v>
      </c>
      <c r="N133" s="660">
        <v>153443</v>
      </c>
      <c r="O133" s="660">
        <v>174078</v>
      </c>
      <c r="P133" s="661">
        <v>2012853</v>
      </c>
    </row>
    <row r="134" spans="2:16" x14ac:dyDescent="0.25">
      <c r="B134" s="658">
        <v>90</v>
      </c>
      <c r="C134" s="659" t="s">
        <v>239</v>
      </c>
      <c r="D134" s="660">
        <v>21098</v>
      </c>
      <c r="E134" s="660">
        <v>16841</v>
      </c>
      <c r="F134" s="660">
        <v>16483</v>
      </c>
      <c r="G134" s="660">
        <v>15959</v>
      </c>
      <c r="H134" s="660">
        <v>18842</v>
      </c>
      <c r="I134" s="660">
        <v>16731</v>
      </c>
      <c r="J134" s="660">
        <v>14710</v>
      </c>
      <c r="K134" s="660">
        <v>12134</v>
      </c>
      <c r="L134" s="660">
        <v>12171</v>
      </c>
      <c r="M134" s="660">
        <v>10413</v>
      </c>
      <c r="N134" s="660">
        <v>14735</v>
      </c>
      <c r="O134" s="660">
        <v>14735</v>
      </c>
      <c r="P134" s="661">
        <v>184852</v>
      </c>
    </row>
    <row r="135" spans="2:16" x14ac:dyDescent="0.25">
      <c r="B135" s="658">
        <v>100</v>
      </c>
      <c r="C135" s="659" t="s">
        <v>240</v>
      </c>
      <c r="D135" s="660">
        <v>9242</v>
      </c>
      <c r="E135" s="660">
        <v>9242</v>
      </c>
      <c r="F135" s="660">
        <v>9242</v>
      </c>
      <c r="G135" s="660">
        <v>9242</v>
      </c>
      <c r="H135" s="660">
        <v>9242</v>
      </c>
      <c r="I135" s="660">
        <v>9242</v>
      </c>
      <c r="J135" s="660">
        <v>9242</v>
      </c>
      <c r="K135" s="660">
        <v>9242</v>
      </c>
      <c r="L135" s="660">
        <v>9242</v>
      </c>
      <c r="M135" s="660">
        <v>9242</v>
      </c>
      <c r="N135" s="660">
        <v>9242</v>
      </c>
      <c r="O135" s="660">
        <v>9242</v>
      </c>
      <c r="P135" s="661">
        <v>110904</v>
      </c>
    </row>
    <row r="136" spans="2:16" x14ac:dyDescent="0.25">
      <c r="B136" s="658">
        <v>110</v>
      </c>
      <c r="C136" s="659" t="s">
        <v>241</v>
      </c>
      <c r="D136" s="660">
        <v>203438</v>
      </c>
      <c r="E136" s="660">
        <v>190260</v>
      </c>
      <c r="F136" s="660">
        <v>199654</v>
      </c>
      <c r="G136" s="660">
        <v>193625</v>
      </c>
      <c r="H136" s="660">
        <v>198602</v>
      </c>
      <c r="I136" s="660">
        <v>194785</v>
      </c>
      <c r="J136" s="660">
        <v>189156</v>
      </c>
      <c r="K136" s="660">
        <v>187106</v>
      </c>
      <c r="L136" s="660">
        <v>188100</v>
      </c>
      <c r="M136" s="660">
        <v>188408</v>
      </c>
      <c r="N136" s="660">
        <v>177420</v>
      </c>
      <c r="O136" s="660">
        <v>198055</v>
      </c>
      <c r="P136" s="661">
        <v>2308609</v>
      </c>
    </row>
    <row r="137" spans="2:16" x14ac:dyDescent="0.25">
      <c r="B137" s="658">
        <v>120</v>
      </c>
      <c r="C137" s="659" t="s">
        <v>242</v>
      </c>
      <c r="D137" s="660">
        <v>-40193</v>
      </c>
      <c r="E137" s="660">
        <v>-40061</v>
      </c>
      <c r="F137" s="660">
        <v>-25675</v>
      </c>
      <c r="G137" s="660">
        <v>-36484</v>
      </c>
      <c r="H137" s="660">
        <v>-29821</v>
      </c>
      <c r="I137" s="660">
        <v>-27903</v>
      </c>
      <c r="J137" s="660">
        <v>-36201</v>
      </c>
      <c r="K137" s="660">
        <v>-32401</v>
      </c>
      <c r="L137" s="660">
        <v>-30114</v>
      </c>
      <c r="M137" s="660">
        <v>-23548</v>
      </c>
      <c r="N137" s="660">
        <v>-18950</v>
      </c>
      <c r="O137" s="660">
        <v>-11806</v>
      </c>
      <c r="P137" s="661">
        <v>-353157</v>
      </c>
    </row>
    <row r="138" spans="2:16" x14ac:dyDescent="0.25">
      <c r="B138" s="658">
        <v>130</v>
      </c>
      <c r="C138" s="659"/>
      <c r="D138" s="659">
        <v>0</v>
      </c>
      <c r="E138" s="659">
        <v>0</v>
      </c>
      <c r="F138" s="659">
        <v>0</v>
      </c>
      <c r="G138" s="659">
        <v>0</v>
      </c>
      <c r="H138" s="659">
        <v>0</v>
      </c>
      <c r="I138" s="659">
        <v>0</v>
      </c>
      <c r="J138" s="659">
        <v>0</v>
      </c>
      <c r="K138" s="659">
        <v>0</v>
      </c>
      <c r="L138" s="659">
        <v>0</v>
      </c>
      <c r="M138" s="659">
        <v>0</v>
      </c>
      <c r="N138" s="659">
        <v>0</v>
      </c>
      <c r="O138" s="659">
        <v>0</v>
      </c>
      <c r="P138" s="666">
        <v>0</v>
      </c>
    </row>
    <row r="139" spans="2:16" x14ac:dyDescent="0.25">
      <c r="B139" s="658">
        <v>135</v>
      </c>
      <c r="C139" s="659" t="s">
        <v>243</v>
      </c>
      <c r="D139" s="660">
        <v>-2211</v>
      </c>
      <c r="E139" s="660">
        <v>-2211</v>
      </c>
      <c r="F139" s="660">
        <v>-2211</v>
      </c>
      <c r="G139" s="660">
        <v>-2211</v>
      </c>
      <c r="H139" s="660">
        <v>-2211</v>
      </c>
      <c r="I139" s="660">
        <v>-2211</v>
      </c>
      <c r="J139" s="660">
        <v>-2211</v>
      </c>
      <c r="K139" s="660">
        <v>-2211</v>
      </c>
      <c r="L139" s="660">
        <v>-2211</v>
      </c>
      <c r="M139" s="660">
        <v>-2211</v>
      </c>
      <c r="N139" s="660">
        <v>-2211</v>
      </c>
      <c r="O139" s="660">
        <v>-2211</v>
      </c>
      <c r="P139" s="661">
        <v>-26532</v>
      </c>
    </row>
    <row r="140" spans="2:16" x14ac:dyDescent="0.25">
      <c r="B140" s="658">
        <v>140</v>
      </c>
      <c r="C140" s="659" t="s">
        <v>244</v>
      </c>
      <c r="D140" s="660">
        <v>0</v>
      </c>
      <c r="E140" s="660">
        <v>0</v>
      </c>
      <c r="F140" s="660">
        <v>0</v>
      </c>
      <c r="G140" s="660">
        <v>0</v>
      </c>
      <c r="H140" s="660">
        <v>0</v>
      </c>
      <c r="I140" s="660">
        <v>0</v>
      </c>
      <c r="J140" s="660">
        <v>0</v>
      </c>
      <c r="K140" s="660">
        <v>0</v>
      </c>
      <c r="L140" s="660">
        <v>0</v>
      </c>
      <c r="M140" s="660">
        <v>0</v>
      </c>
      <c r="N140" s="660">
        <v>0</v>
      </c>
      <c r="O140" s="660">
        <v>0</v>
      </c>
      <c r="P140" s="661">
        <v>0</v>
      </c>
    </row>
    <row r="141" spans="2:16" x14ac:dyDescent="0.25">
      <c r="B141" s="658">
        <v>150</v>
      </c>
      <c r="C141" s="659" t="s">
        <v>245</v>
      </c>
      <c r="D141" s="659">
        <v>0</v>
      </c>
      <c r="E141" s="659">
        <v>0</v>
      </c>
      <c r="F141" s="659">
        <v>0</v>
      </c>
      <c r="G141" s="659">
        <v>0</v>
      </c>
      <c r="H141" s="659">
        <v>0</v>
      </c>
      <c r="I141" s="659">
        <v>0</v>
      </c>
      <c r="J141" s="659">
        <v>0</v>
      </c>
      <c r="K141" s="659">
        <v>0</v>
      </c>
      <c r="L141" s="659">
        <v>0</v>
      </c>
      <c r="M141" s="659">
        <v>0</v>
      </c>
      <c r="N141" s="659">
        <v>0</v>
      </c>
      <c r="O141" s="659">
        <v>0</v>
      </c>
      <c r="P141" s="666">
        <v>0</v>
      </c>
    </row>
    <row r="142" spans="2:16" x14ac:dyDescent="0.25">
      <c r="B142" s="658">
        <v>155</v>
      </c>
      <c r="C142" s="659"/>
      <c r="D142" s="659">
        <v>0</v>
      </c>
      <c r="E142" s="659">
        <v>0</v>
      </c>
      <c r="F142" s="659">
        <v>0</v>
      </c>
      <c r="G142" s="659">
        <v>0</v>
      </c>
      <c r="H142" s="659">
        <v>0</v>
      </c>
      <c r="I142" s="659">
        <v>0</v>
      </c>
      <c r="J142" s="659">
        <v>0</v>
      </c>
      <c r="K142" s="659">
        <v>0</v>
      </c>
      <c r="L142" s="659">
        <v>0</v>
      </c>
      <c r="M142" s="659">
        <v>0</v>
      </c>
      <c r="N142" s="659">
        <v>0</v>
      </c>
      <c r="O142" s="659">
        <v>0</v>
      </c>
      <c r="P142" s="666">
        <v>0</v>
      </c>
    </row>
    <row r="143" spans="2:16" x14ac:dyDescent="0.25">
      <c r="B143" s="658">
        <v>160</v>
      </c>
      <c r="C143" s="659" t="s">
        <v>246</v>
      </c>
      <c r="D143" s="660">
        <v>-2211</v>
      </c>
      <c r="E143" s="660">
        <v>-2211</v>
      </c>
      <c r="F143" s="660">
        <v>-2211</v>
      </c>
      <c r="G143" s="660">
        <v>-2211</v>
      </c>
      <c r="H143" s="660">
        <v>-2211</v>
      </c>
      <c r="I143" s="660">
        <v>-2211</v>
      </c>
      <c r="J143" s="660">
        <v>-2211</v>
      </c>
      <c r="K143" s="660">
        <v>-2211</v>
      </c>
      <c r="L143" s="660">
        <v>-2211</v>
      </c>
      <c r="M143" s="660">
        <v>-2211</v>
      </c>
      <c r="N143" s="660">
        <v>-2211</v>
      </c>
      <c r="O143" s="660">
        <v>-2211</v>
      </c>
      <c r="P143" s="661">
        <v>-26532</v>
      </c>
    </row>
    <row r="144" spans="2:16" x14ac:dyDescent="0.25">
      <c r="B144" s="658">
        <v>170</v>
      </c>
      <c r="C144" s="659" t="s">
        <v>247</v>
      </c>
      <c r="D144" s="660">
        <v>-37982</v>
      </c>
      <c r="E144" s="660">
        <v>-37850</v>
      </c>
      <c r="F144" s="660">
        <v>-23464</v>
      </c>
      <c r="G144" s="660">
        <v>-34273</v>
      </c>
      <c r="H144" s="660">
        <v>-27610</v>
      </c>
      <c r="I144" s="660">
        <v>-25692</v>
      </c>
      <c r="J144" s="660">
        <v>-33990</v>
      </c>
      <c r="K144" s="660">
        <v>-30190</v>
      </c>
      <c r="L144" s="660">
        <v>-27903</v>
      </c>
      <c r="M144" s="660">
        <v>-21337</v>
      </c>
      <c r="N144" s="660">
        <v>-16739</v>
      </c>
      <c r="O144" s="660">
        <v>-9595</v>
      </c>
      <c r="P144" s="661">
        <v>-326625</v>
      </c>
    </row>
    <row r="145" spans="2:16" x14ac:dyDescent="0.25">
      <c r="B145" s="658">
        <v>180</v>
      </c>
      <c r="C145" s="659" t="s">
        <v>248</v>
      </c>
      <c r="D145" s="659">
        <v>0</v>
      </c>
      <c r="E145" s="659">
        <v>0</v>
      </c>
      <c r="F145" s="659">
        <v>0</v>
      </c>
      <c r="G145" s="659">
        <v>0</v>
      </c>
      <c r="H145" s="659">
        <v>0</v>
      </c>
      <c r="I145" s="659">
        <v>0</v>
      </c>
      <c r="J145" s="659">
        <v>0</v>
      </c>
      <c r="K145" s="659">
        <v>0</v>
      </c>
      <c r="L145" s="659">
        <v>0</v>
      </c>
      <c r="M145" s="659">
        <v>0</v>
      </c>
      <c r="N145" s="659">
        <v>0</v>
      </c>
      <c r="O145" s="659">
        <v>0</v>
      </c>
      <c r="P145" s="666">
        <v>0</v>
      </c>
    </row>
    <row r="146" spans="2:16" x14ac:dyDescent="0.25">
      <c r="B146" s="658">
        <v>190</v>
      </c>
      <c r="C146" s="659" t="s">
        <v>249</v>
      </c>
      <c r="D146" s="659">
        <v>0</v>
      </c>
      <c r="E146" s="659">
        <v>0</v>
      </c>
      <c r="F146" s="659">
        <v>0</v>
      </c>
      <c r="G146" s="659">
        <v>0</v>
      </c>
      <c r="H146" s="659">
        <v>0</v>
      </c>
      <c r="I146" s="659">
        <v>0</v>
      </c>
      <c r="J146" s="659">
        <v>0</v>
      </c>
      <c r="K146" s="659">
        <v>0</v>
      </c>
      <c r="L146" s="659">
        <v>0</v>
      </c>
      <c r="M146" s="659">
        <v>0</v>
      </c>
      <c r="N146" s="659">
        <v>0</v>
      </c>
      <c r="O146" s="659">
        <v>0</v>
      </c>
      <c r="P146" s="666">
        <v>0</v>
      </c>
    </row>
    <row r="147" spans="2:16" x14ac:dyDescent="0.25">
      <c r="B147" s="658">
        <v>200</v>
      </c>
      <c r="C147" s="659" t="s">
        <v>250</v>
      </c>
      <c r="D147" s="660">
        <v>-37982</v>
      </c>
      <c r="E147" s="660">
        <v>-37850</v>
      </c>
      <c r="F147" s="660">
        <v>-23464</v>
      </c>
      <c r="G147" s="660">
        <v>-34273</v>
      </c>
      <c r="H147" s="660">
        <v>-27610</v>
      </c>
      <c r="I147" s="660">
        <v>-25692</v>
      </c>
      <c r="J147" s="660">
        <v>-33990</v>
      </c>
      <c r="K147" s="660">
        <v>-30190</v>
      </c>
      <c r="L147" s="660">
        <v>-27903</v>
      </c>
      <c r="M147" s="660">
        <v>-21337</v>
      </c>
      <c r="N147" s="660">
        <v>-16739</v>
      </c>
      <c r="O147" s="660">
        <v>-9595</v>
      </c>
      <c r="P147" s="661">
        <v>-326625</v>
      </c>
    </row>
    <row r="148" spans="2:16" x14ac:dyDescent="0.25">
      <c r="B148" s="687">
        <v>210</v>
      </c>
      <c r="C148" s="688" t="s">
        <v>251</v>
      </c>
      <c r="D148" s="689">
        <v>-30951</v>
      </c>
      <c r="E148" s="689">
        <v>-30819</v>
      </c>
      <c r="F148" s="689">
        <v>-16433</v>
      </c>
      <c r="G148" s="689">
        <v>-27242</v>
      </c>
      <c r="H148" s="689">
        <v>-20579</v>
      </c>
      <c r="I148" s="689">
        <v>-18661</v>
      </c>
      <c r="J148" s="689">
        <v>-26959</v>
      </c>
      <c r="K148" s="689">
        <v>-23159</v>
      </c>
      <c r="L148" s="689">
        <v>-20872</v>
      </c>
      <c r="M148" s="689">
        <v>-14306</v>
      </c>
      <c r="N148" s="689">
        <v>-9708</v>
      </c>
      <c r="O148" s="689">
        <v>-2564</v>
      </c>
      <c r="P148" s="690">
        <v>-242253</v>
      </c>
    </row>
    <row r="151" spans="2:16" ht="13" x14ac:dyDescent="0.3">
      <c r="B151" s="277" t="s">
        <v>328</v>
      </c>
      <c r="C151" s="111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</row>
    <row r="152" spans="2:16" ht="13" x14ac:dyDescent="0.3">
      <c r="B152" s="301" t="s">
        <v>164</v>
      </c>
      <c r="C152" s="302" t="s">
        <v>165</v>
      </c>
      <c r="D152" s="302" t="s">
        <v>418</v>
      </c>
      <c r="E152" s="302" t="s">
        <v>419</v>
      </c>
      <c r="F152" s="302" t="s">
        <v>417</v>
      </c>
      <c r="G152" s="302" t="s">
        <v>420</v>
      </c>
      <c r="H152" s="302" t="s">
        <v>421</v>
      </c>
      <c r="I152" s="302" t="s">
        <v>422</v>
      </c>
      <c r="J152" s="302" t="s">
        <v>423</v>
      </c>
      <c r="K152" s="302" t="s">
        <v>429</v>
      </c>
      <c r="L152" s="302" t="s">
        <v>424</v>
      </c>
      <c r="M152" s="302" t="s">
        <v>425</v>
      </c>
      <c r="N152" s="302" t="s">
        <v>426</v>
      </c>
      <c r="O152" s="302" t="s">
        <v>427</v>
      </c>
      <c r="P152" s="303" t="s">
        <v>8</v>
      </c>
    </row>
    <row r="153" spans="2:16" ht="13" x14ac:dyDescent="0.3">
      <c r="B153" s="304" t="s">
        <v>181</v>
      </c>
      <c r="C153" s="305" t="s">
        <v>181</v>
      </c>
      <c r="D153" s="305"/>
      <c r="E153" s="305"/>
      <c r="F153" s="305"/>
      <c r="G153" s="305"/>
      <c r="H153" s="305"/>
      <c r="I153" s="305"/>
      <c r="J153" s="305"/>
      <c r="K153" s="305"/>
      <c r="L153" s="305"/>
      <c r="M153" s="305"/>
      <c r="N153" s="305"/>
      <c r="O153" s="305"/>
      <c r="P153" s="306"/>
    </row>
    <row r="154" spans="2:16" ht="13" x14ac:dyDescent="0.3">
      <c r="B154" s="307"/>
      <c r="C154" s="308"/>
      <c r="D154" s="308"/>
      <c r="E154" s="308"/>
      <c r="F154" s="308"/>
      <c r="G154" s="308"/>
      <c r="H154" s="308"/>
      <c r="I154" s="308"/>
      <c r="J154" s="308"/>
      <c r="K154" s="308"/>
      <c r="L154" s="308"/>
      <c r="M154" s="308"/>
      <c r="N154" s="308"/>
      <c r="O154" s="308"/>
      <c r="P154" s="309"/>
    </row>
    <row r="155" spans="2:16" x14ac:dyDescent="0.25">
      <c r="B155" s="658">
        <v>30</v>
      </c>
      <c r="C155" s="659" t="s">
        <v>232</v>
      </c>
      <c r="D155" s="660">
        <v>321053</v>
      </c>
      <c r="E155" s="660">
        <v>317860</v>
      </c>
      <c r="F155" s="660">
        <v>366439</v>
      </c>
      <c r="G155" s="660">
        <v>328673</v>
      </c>
      <c r="H155" s="660">
        <v>355648</v>
      </c>
      <c r="I155" s="660">
        <v>335105</v>
      </c>
      <c r="J155" s="660">
        <v>320383</v>
      </c>
      <c r="K155" s="660">
        <v>331485</v>
      </c>
      <c r="L155" s="660">
        <v>321637</v>
      </c>
      <c r="M155" s="660">
        <v>313211</v>
      </c>
      <c r="N155" s="660">
        <v>317809</v>
      </c>
      <c r="O155" s="660">
        <v>353256</v>
      </c>
      <c r="P155" s="661">
        <v>3982559</v>
      </c>
    </row>
    <row r="156" spans="2:16" x14ac:dyDescent="0.25">
      <c r="B156" s="658">
        <v>40</v>
      </c>
      <c r="C156" s="659" t="s">
        <v>233</v>
      </c>
      <c r="D156" s="659">
        <v>0</v>
      </c>
      <c r="E156" s="659">
        <v>0</v>
      </c>
      <c r="F156" s="659">
        <v>0</v>
      </c>
      <c r="G156" s="659">
        <v>0</v>
      </c>
      <c r="H156" s="659">
        <v>0</v>
      </c>
      <c r="I156" s="659">
        <v>0</v>
      </c>
      <c r="J156" s="659">
        <v>0</v>
      </c>
      <c r="K156" s="659">
        <v>0</v>
      </c>
      <c r="L156" s="659">
        <v>0</v>
      </c>
      <c r="M156" s="659">
        <v>0</v>
      </c>
      <c r="N156" s="659">
        <v>0</v>
      </c>
      <c r="O156" s="659">
        <v>0</v>
      </c>
      <c r="P156" s="666">
        <v>0</v>
      </c>
    </row>
    <row r="157" spans="2:16" x14ac:dyDescent="0.25">
      <c r="B157" s="658">
        <v>50</v>
      </c>
      <c r="C157" s="659" t="s">
        <v>234</v>
      </c>
      <c r="D157" s="660">
        <v>321053</v>
      </c>
      <c r="E157" s="660">
        <v>317860</v>
      </c>
      <c r="F157" s="660">
        <v>366439</v>
      </c>
      <c r="G157" s="660">
        <v>328673</v>
      </c>
      <c r="H157" s="660">
        <v>355648</v>
      </c>
      <c r="I157" s="660">
        <v>335105</v>
      </c>
      <c r="J157" s="660">
        <v>320383</v>
      </c>
      <c r="K157" s="660">
        <v>331485</v>
      </c>
      <c r="L157" s="660">
        <v>321637</v>
      </c>
      <c r="M157" s="660">
        <v>313211</v>
      </c>
      <c r="N157" s="660">
        <v>317809</v>
      </c>
      <c r="O157" s="660">
        <v>353256</v>
      </c>
      <c r="P157" s="661">
        <v>3982559</v>
      </c>
    </row>
    <row r="158" spans="2:16" x14ac:dyDescent="0.25">
      <c r="B158" s="658">
        <v>60</v>
      </c>
      <c r="C158" s="659" t="s">
        <v>235</v>
      </c>
      <c r="D158" s="660">
        <v>109479</v>
      </c>
      <c r="E158" s="660">
        <v>108390</v>
      </c>
      <c r="F158" s="660">
        <v>124956</v>
      </c>
      <c r="G158" s="660">
        <v>112078</v>
      </c>
      <c r="H158" s="660">
        <v>121276</v>
      </c>
      <c r="I158" s="660">
        <v>114271</v>
      </c>
      <c r="J158" s="660">
        <v>109250</v>
      </c>
      <c r="K158" s="660">
        <v>113036</v>
      </c>
      <c r="L158" s="660">
        <v>109678</v>
      </c>
      <c r="M158" s="660">
        <v>106805</v>
      </c>
      <c r="N158" s="660">
        <v>108373</v>
      </c>
      <c r="O158" s="660">
        <v>120460</v>
      </c>
      <c r="P158" s="661">
        <v>1358052</v>
      </c>
    </row>
    <row r="159" spans="2:16" x14ac:dyDescent="0.25">
      <c r="B159" s="658">
        <v>65</v>
      </c>
      <c r="C159" s="659" t="s">
        <v>236</v>
      </c>
      <c r="D159" s="659">
        <v>0</v>
      </c>
      <c r="E159" s="659">
        <v>0</v>
      </c>
      <c r="F159" s="659">
        <v>0</v>
      </c>
      <c r="G159" s="659">
        <v>0</v>
      </c>
      <c r="H159" s="659">
        <v>0</v>
      </c>
      <c r="I159" s="659">
        <v>0</v>
      </c>
      <c r="J159" s="659">
        <v>0</v>
      </c>
      <c r="K159" s="659">
        <v>0</v>
      </c>
      <c r="L159" s="659">
        <v>0</v>
      </c>
      <c r="M159" s="659">
        <v>0</v>
      </c>
      <c r="N159" s="659">
        <v>0</v>
      </c>
      <c r="O159" s="659">
        <v>0</v>
      </c>
      <c r="P159" s="666">
        <v>0</v>
      </c>
    </row>
    <row r="160" spans="2:16" x14ac:dyDescent="0.25">
      <c r="B160" s="658">
        <v>70</v>
      </c>
      <c r="C160" s="659" t="s">
        <v>237</v>
      </c>
      <c r="D160" s="660">
        <v>211574</v>
      </c>
      <c r="E160" s="660">
        <v>209470</v>
      </c>
      <c r="F160" s="660">
        <v>241483</v>
      </c>
      <c r="G160" s="660">
        <v>216595</v>
      </c>
      <c r="H160" s="660">
        <v>234372</v>
      </c>
      <c r="I160" s="660">
        <v>220834</v>
      </c>
      <c r="J160" s="660">
        <v>211133</v>
      </c>
      <c r="K160" s="660">
        <v>218449</v>
      </c>
      <c r="L160" s="660">
        <v>211959</v>
      </c>
      <c r="M160" s="660">
        <v>206406</v>
      </c>
      <c r="N160" s="660">
        <v>209436</v>
      </c>
      <c r="O160" s="660">
        <v>232796</v>
      </c>
      <c r="P160" s="661">
        <v>2624507</v>
      </c>
    </row>
    <row r="161" spans="2:16" x14ac:dyDescent="0.25">
      <c r="B161" s="658">
        <v>80</v>
      </c>
      <c r="C161" s="659" t="s">
        <v>238</v>
      </c>
      <c r="D161" s="660">
        <v>209108</v>
      </c>
      <c r="E161" s="660">
        <v>201409</v>
      </c>
      <c r="F161" s="660">
        <v>218163</v>
      </c>
      <c r="G161" s="660">
        <v>204700</v>
      </c>
      <c r="H161" s="660">
        <v>215916</v>
      </c>
      <c r="I161" s="660">
        <v>203011</v>
      </c>
      <c r="J161" s="660">
        <v>204752</v>
      </c>
      <c r="K161" s="660">
        <v>202430</v>
      </c>
      <c r="L161" s="660">
        <v>200836</v>
      </c>
      <c r="M161" s="660">
        <v>201072</v>
      </c>
      <c r="N161" s="660">
        <v>189519</v>
      </c>
      <c r="O161" s="660">
        <v>207180</v>
      </c>
      <c r="P161" s="661">
        <v>2458096</v>
      </c>
    </row>
    <row r="162" spans="2:16" x14ac:dyDescent="0.25">
      <c r="B162" s="658">
        <v>90</v>
      </c>
      <c r="C162" s="659" t="s">
        <v>239</v>
      </c>
      <c r="D162" s="660">
        <v>21408</v>
      </c>
      <c r="E162" s="660">
        <v>16814</v>
      </c>
      <c r="F162" s="660">
        <v>16028</v>
      </c>
      <c r="G162" s="660">
        <v>17399</v>
      </c>
      <c r="H162" s="660">
        <v>19305</v>
      </c>
      <c r="I162" s="660">
        <v>15369</v>
      </c>
      <c r="J162" s="660">
        <v>13743</v>
      </c>
      <c r="K162" s="660">
        <v>16376</v>
      </c>
      <c r="L162" s="660">
        <v>17072</v>
      </c>
      <c r="M162" s="660">
        <v>14024</v>
      </c>
      <c r="N162" s="660">
        <v>15774</v>
      </c>
      <c r="O162" s="660">
        <v>15774</v>
      </c>
      <c r="P162" s="661">
        <v>199086</v>
      </c>
    </row>
    <row r="163" spans="2:16" x14ac:dyDescent="0.25">
      <c r="B163" s="658">
        <v>100</v>
      </c>
      <c r="C163" s="659" t="s">
        <v>240</v>
      </c>
      <c r="D163" s="660">
        <v>14724</v>
      </c>
      <c r="E163" s="660">
        <v>14724</v>
      </c>
      <c r="F163" s="660">
        <v>14724</v>
      </c>
      <c r="G163" s="660">
        <v>14724</v>
      </c>
      <c r="H163" s="660">
        <v>14724</v>
      </c>
      <c r="I163" s="660">
        <v>14724</v>
      </c>
      <c r="J163" s="660">
        <v>14724</v>
      </c>
      <c r="K163" s="660">
        <v>14724</v>
      </c>
      <c r="L163" s="660">
        <v>14724</v>
      </c>
      <c r="M163" s="660">
        <v>14724</v>
      </c>
      <c r="N163" s="660">
        <v>14724</v>
      </c>
      <c r="O163" s="660">
        <v>14724</v>
      </c>
      <c r="P163" s="661">
        <v>176688</v>
      </c>
    </row>
    <row r="164" spans="2:16" x14ac:dyDescent="0.25">
      <c r="B164" s="658">
        <v>110</v>
      </c>
      <c r="C164" s="659" t="s">
        <v>241</v>
      </c>
      <c r="D164" s="660">
        <v>245240</v>
      </c>
      <c r="E164" s="660">
        <v>232947</v>
      </c>
      <c r="F164" s="660">
        <v>248915</v>
      </c>
      <c r="G164" s="660">
        <v>236823</v>
      </c>
      <c r="H164" s="660">
        <v>249945</v>
      </c>
      <c r="I164" s="660">
        <v>233104</v>
      </c>
      <c r="J164" s="660">
        <v>233219</v>
      </c>
      <c r="K164" s="660">
        <v>233530</v>
      </c>
      <c r="L164" s="660">
        <v>232632</v>
      </c>
      <c r="M164" s="660">
        <v>229820</v>
      </c>
      <c r="N164" s="660">
        <v>220017</v>
      </c>
      <c r="O164" s="660">
        <v>237678</v>
      </c>
      <c r="P164" s="661">
        <v>2833870</v>
      </c>
    </row>
    <row r="165" spans="2:16" x14ac:dyDescent="0.25">
      <c r="B165" s="658">
        <v>120</v>
      </c>
      <c r="C165" s="659" t="s">
        <v>242</v>
      </c>
      <c r="D165" s="660">
        <v>-33666</v>
      </c>
      <c r="E165" s="660">
        <v>-23477</v>
      </c>
      <c r="F165" s="660">
        <v>-7432</v>
      </c>
      <c r="G165" s="660">
        <v>-20228</v>
      </c>
      <c r="H165" s="660">
        <v>-15573</v>
      </c>
      <c r="I165" s="660">
        <v>-12270</v>
      </c>
      <c r="J165" s="660">
        <v>-22086</v>
      </c>
      <c r="K165" s="660">
        <v>-15081</v>
      </c>
      <c r="L165" s="660">
        <v>-20673</v>
      </c>
      <c r="M165" s="660">
        <v>-23414</v>
      </c>
      <c r="N165" s="660">
        <v>-10581</v>
      </c>
      <c r="O165" s="660">
        <v>-4882</v>
      </c>
      <c r="P165" s="661">
        <v>-209363</v>
      </c>
    </row>
    <row r="166" spans="2:16" x14ac:dyDescent="0.25">
      <c r="B166" s="658">
        <v>130</v>
      </c>
      <c r="C166" s="659"/>
      <c r="D166" s="659">
        <v>0</v>
      </c>
      <c r="E166" s="659">
        <v>0</v>
      </c>
      <c r="F166" s="659">
        <v>0</v>
      </c>
      <c r="G166" s="659">
        <v>0</v>
      </c>
      <c r="H166" s="659">
        <v>0</v>
      </c>
      <c r="I166" s="659">
        <v>0</v>
      </c>
      <c r="J166" s="659">
        <v>0</v>
      </c>
      <c r="K166" s="659">
        <v>0</v>
      </c>
      <c r="L166" s="659">
        <v>0</v>
      </c>
      <c r="M166" s="659">
        <v>0</v>
      </c>
      <c r="N166" s="659">
        <v>0</v>
      </c>
      <c r="O166" s="659">
        <v>0</v>
      </c>
      <c r="P166" s="666">
        <v>0</v>
      </c>
    </row>
    <row r="167" spans="2:16" x14ac:dyDescent="0.25">
      <c r="B167" s="658">
        <v>135</v>
      </c>
      <c r="C167" s="659" t="s">
        <v>243</v>
      </c>
      <c r="D167" s="660">
        <v>-2168</v>
      </c>
      <c r="E167" s="660">
        <v>-2168</v>
      </c>
      <c r="F167" s="660">
        <v>-2168</v>
      </c>
      <c r="G167" s="660">
        <v>-2168</v>
      </c>
      <c r="H167" s="660">
        <v>-2168</v>
      </c>
      <c r="I167" s="660">
        <v>-2168</v>
      </c>
      <c r="J167" s="660">
        <v>-2168</v>
      </c>
      <c r="K167" s="660">
        <v>-2168</v>
      </c>
      <c r="L167" s="660">
        <v>-2168</v>
      </c>
      <c r="M167" s="660">
        <v>-2168</v>
      </c>
      <c r="N167" s="660">
        <v>-2168</v>
      </c>
      <c r="O167" s="660">
        <v>-2168</v>
      </c>
      <c r="P167" s="661">
        <v>-26016</v>
      </c>
    </row>
    <row r="168" spans="2:16" x14ac:dyDescent="0.25">
      <c r="B168" s="658">
        <v>140</v>
      </c>
      <c r="C168" s="659" t="s">
        <v>244</v>
      </c>
      <c r="D168" s="660">
        <v>0</v>
      </c>
      <c r="E168" s="660">
        <v>0</v>
      </c>
      <c r="F168" s="660">
        <v>0</v>
      </c>
      <c r="G168" s="660">
        <v>0</v>
      </c>
      <c r="H168" s="660">
        <v>0</v>
      </c>
      <c r="I168" s="660">
        <v>0</v>
      </c>
      <c r="J168" s="660">
        <v>0</v>
      </c>
      <c r="K168" s="660">
        <v>0</v>
      </c>
      <c r="L168" s="660">
        <v>0</v>
      </c>
      <c r="M168" s="660">
        <v>0</v>
      </c>
      <c r="N168" s="660">
        <v>0</v>
      </c>
      <c r="O168" s="660">
        <v>0</v>
      </c>
      <c r="P168" s="661">
        <v>0</v>
      </c>
    </row>
    <row r="169" spans="2:16" x14ac:dyDescent="0.25">
      <c r="B169" s="658">
        <v>150</v>
      </c>
      <c r="C169" s="659" t="s">
        <v>245</v>
      </c>
      <c r="D169" s="659">
        <v>0</v>
      </c>
      <c r="E169" s="659">
        <v>0</v>
      </c>
      <c r="F169" s="659">
        <v>0</v>
      </c>
      <c r="G169" s="659">
        <v>0</v>
      </c>
      <c r="H169" s="659">
        <v>0</v>
      </c>
      <c r="I169" s="659">
        <v>0</v>
      </c>
      <c r="J169" s="659">
        <v>0</v>
      </c>
      <c r="K169" s="659">
        <v>0</v>
      </c>
      <c r="L169" s="659">
        <v>0</v>
      </c>
      <c r="M169" s="659">
        <v>0</v>
      </c>
      <c r="N169" s="659">
        <v>0</v>
      </c>
      <c r="O169" s="659">
        <v>0</v>
      </c>
      <c r="P169" s="666">
        <v>0</v>
      </c>
    </row>
    <row r="170" spans="2:16" x14ac:dyDescent="0.25">
      <c r="B170" s="658">
        <v>155</v>
      </c>
      <c r="C170" s="659"/>
      <c r="D170" s="659">
        <v>0</v>
      </c>
      <c r="E170" s="659">
        <v>0</v>
      </c>
      <c r="F170" s="659">
        <v>0</v>
      </c>
      <c r="G170" s="659">
        <v>0</v>
      </c>
      <c r="H170" s="659">
        <v>0</v>
      </c>
      <c r="I170" s="659">
        <v>0</v>
      </c>
      <c r="J170" s="659">
        <v>0</v>
      </c>
      <c r="K170" s="659">
        <v>0</v>
      </c>
      <c r="L170" s="659">
        <v>0</v>
      </c>
      <c r="M170" s="659">
        <v>0</v>
      </c>
      <c r="N170" s="659">
        <v>0</v>
      </c>
      <c r="O170" s="659">
        <v>0</v>
      </c>
      <c r="P170" s="666">
        <v>0</v>
      </c>
    </row>
    <row r="171" spans="2:16" x14ac:dyDescent="0.25">
      <c r="B171" s="658">
        <v>160</v>
      </c>
      <c r="C171" s="659" t="s">
        <v>246</v>
      </c>
      <c r="D171" s="660">
        <v>-2168</v>
      </c>
      <c r="E171" s="660">
        <v>-2168</v>
      </c>
      <c r="F171" s="660">
        <v>-2168</v>
      </c>
      <c r="G171" s="660">
        <v>-2168</v>
      </c>
      <c r="H171" s="660">
        <v>-2168</v>
      </c>
      <c r="I171" s="660">
        <v>-2168</v>
      </c>
      <c r="J171" s="660">
        <v>-2168</v>
      </c>
      <c r="K171" s="660">
        <v>-2168</v>
      </c>
      <c r="L171" s="660">
        <v>-2168</v>
      </c>
      <c r="M171" s="660">
        <v>-2168</v>
      </c>
      <c r="N171" s="660">
        <v>-2168</v>
      </c>
      <c r="O171" s="660">
        <v>-2168</v>
      </c>
      <c r="P171" s="661">
        <v>-26016</v>
      </c>
    </row>
    <row r="172" spans="2:16" x14ac:dyDescent="0.25">
      <c r="B172" s="658">
        <v>170</v>
      </c>
      <c r="C172" s="659" t="s">
        <v>247</v>
      </c>
      <c r="D172" s="660">
        <v>-31498</v>
      </c>
      <c r="E172" s="660">
        <v>-21309</v>
      </c>
      <c r="F172" s="660">
        <v>-5264</v>
      </c>
      <c r="G172" s="660">
        <v>-18060</v>
      </c>
      <c r="H172" s="660">
        <v>-13405</v>
      </c>
      <c r="I172" s="660">
        <v>-10102</v>
      </c>
      <c r="J172" s="660">
        <v>-19918</v>
      </c>
      <c r="K172" s="660">
        <v>-12913</v>
      </c>
      <c r="L172" s="660">
        <v>-18505</v>
      </c>
      <c r="M172" s="660">
        <v>-21246</v>
      </c>
      <c r="N172" s="660">
        <v>-8413</v>
      </c>
      <c r="O172" s="660">
        <v>-2714</v>
      </c>
      <c r="P172" s="661">
        <v>-183347</v>
      </c>
    </row>
    <row r="173" spans="2:16" x14ac:dyDescent="0.25">
      <c r="B173" s="658">
        <v>180</v>
      </c>
      <c r="C173" s="659" t="s">
        <v>248</v>
      </c>
      <c r="D173" s="659">
        <v>0</v>
      </c>
      <c r="E173" s="659">
        <v>0</v>
      </c>
      <c r="F173" s="659">
        <v>0</v>
      </c>
      <c r="G173" s="659">
        <v>0</v>
      </c>
      <c r="H173" s="659">
        <v>0</v>
      </c>
      <c r="I173" s="659">
        <v>0</v>
      </c>
      <c r="J173" s="659">
        <v>0</v>
      </c>
      <c r="K173" s="659">
        <v>0</v>
      </c>
      <c r="L173" s="659">
        <v>0</v>
      </c>
      <c r="M173" s="659">
        <v>0</v>
      </c>
      <c r="N173" s="659">
        <v>0</v>
      </c>
      <c r="O173" s="659">
        <v>0</v>
      </c>
      <c r="P173" s="666">
        <v>0</v>
      </c>
    </row>
    <row r="174" spans="2:16" x14ac:dyDescent="0.25">
      <c r="B174" s="658">
        <v>190</v>
      </c>
      <c r="C174" s="659" t="s">
        <v>249</v>
      </c>
      <c r="D174" s="659">
        <v>0</v>
      </c>
      <c r="E174" s="659">
        <v>0</v>
      </c>
      <c r="F174" s="659">
        <v>0</v>
      </c>
      <c r="G174" s="659">
        <v>0</v>
      </c>
      <c r="H174" s="659">
        <v>0</v>
      </c>
      <c r="I174" s="659">
        <v>0</v>
      </c>
      <c r="J174" s="659">
        <v>0</v>
      </c>
      <c r="K174" s="659">
        <v>0</v>
      </c>
      <c r="L174" s="659">
        <v>0</v>
      </c>
      <c r="M174" s="659">
        <v>0</v>
      </c>
      <c r="N174" s="659">
        <v>0</v>
      </c>
      <c r="O174" s="659">
        <v>0</v>
      </c>
      <c r="P174" s="666">
        <v>0</v>
      </c>
    </row>
    <row r="175" spans="2:16" x14ac:dyDescent="0.25">
      <c r="B175" s="658">
        <v>200</v>
      </c>
      <c r="C175" s="659" t="s">
        <v>250</v>
      </c>
      <c r="D175" s="660">
        <v>-31498</v>
      </c>
      <c r="E175" s="660">
        <v>-21309</v>
      </c>
      <c r="F175" s="660">
        <v>-5264</v>
      </c>
      <c r="G175" s="660">
        <v>-18060</v>
      </c>
      <c r="H175" s="660">
        <v>-13405</v>
      </c>
      <c r="I175" s="660">
        <v>-10102</v>
      </c>
      <c r="J175" s="660">
        <v>-19918</v>
      </c>
      <c r="K175" s="660">
        <v>-12913</v>
      </c>
      <c r="L175" s="660">
        <v>-18505</v>
      </c>
      <c r="M175" s="660">
        <v>-21246</v>
      </c>
      <c r="N175" s="660">
        <v>-8413</v>
      </c>
      <c r="O175" s="660">
        <v>-2714</v>
      </c>
      <c r="P175" s="661">
        <v>-183347</v>
      </c>
    </row>
    <row r="176" spans="2:16" x14ac:dyDescent="0.25">
      <c r="B176" s="687">
        <v>210</v>
      </c>
      <c r="C176" s="688" t="s">
        <v>251</v>
      </c>
      <c r="D176" s="689">
        <v>-18942</v>
      </c>
      <c r="E176" s="689">
        <v>-8753</v>
      </c>
      <c r="F176" s="689">
        <v>7292</v>
      </c>
      <c r="G176" s="689">
        <v>-5504</v>
      </c>
      <c r="H176" s="689">
        <v>-849</v>
      </c>
      <c r="I176" s="689">
        <v>2454</v>
      </c>
      <c r="J176" s="689">
        <v>-7362</v>
      </c>
      <c r="K176" s="689">
        <v>-357</v>
      </c>
      <c r="L176" s="689">
        <v>-5949</v>
      </c>
      <c r="M176" s="689">
        <v>-8690</v>
      </c>
      <c r="N176" s="689">
        <v>4143</v>
      </c>
      <c r="O176" s="689">
        <v>9842</v>
      </c>
      <c r="P176" s="690">
        <v>-32675</v>
      </c>
    </row>
    <row r="181" spans="2:16" ht="13" x14ac:dyDescent="0.3">
      <c r="B181" s="277" t="s">
        <v>340</v>
      </c>
      <c r="C181" s="111"/>
      <c r="D181" s="290"/>
      <c r="E181" s="290"/>
      <c r="F181" s="290"/>
      <c r="G181" s="290"/>
      <c r="H181" s="290"/>
      <c r="I181" s="290"/>
      <c r="J181" s="290"/>
      <c r="K181" s="290"/>
      <c r="L181" s="290"/>
      <c r="M181" s="290"/>
      <c r="N181" s="290"/>
      <c r="O181" s="290"/>
      <c r="P181" s="290"/>
    </row>
    <row r="182" spans="2:16" ht="13" x14ac:dyDescent="0.3">
      <c r="B182" s="301" t="s">
        <v>164</v>
      </c>
      <c r="C182" s="302" t="s">
        <v>165</v>
      </c>
      <c r="D182" s="302" t="s">
        <v>418</v>
      </c>
      <c r="E182" s="302" t="s">
        <v>419</v>
      </c>
      <c r="F182" s="302" t="s">
        <v>417</v>
      </c>
      <c r="G182" s="302" t="s">
        <v>420</v>
      </c>
      <c r="H182" s="302" t="s">
        <v>421</v>
      </c>
      <c r="I182" s="302" t="s">
        <v>422</v>
      </c>
      <c r="J182" s="302" t="s">
        <v>423</v>
      </c>
      <c r="K182" s="302" t="s">
        <v>428</v>
      </c>
      <c r="L182" s="302" t="s">
        <v>424</v>
      </c>
      <c r="M182" s="302" t="s">
        <v>425</v>
      </c>
      <c r="N182" s="302" t="s">
        <v>426</v>
      </c>
      <c r="O182" s="302" t="s">
        <v>427</v>
      </c>
      <c r="P182" s="303" t="s">
        <v>8</v>
      </c>
    </row>
    <row r="183" spans="2:16" ht="13" x14ac:dyDescent="0.3">
      <c r="B183" s="304" t="s">
        <v>181</v>
      </c>
      <c r="C183" s="305" t="s">
        <v>181</v>
      </c>
      <c r="D183" s="305"/>
      <c r="E183" s="305"/>
      <c r="F183" s="305"/>
      <c r="G183" s="305"/>
      <c r="H183" s="305"/>
      <c r="I183" s="305"/>
      <c r="J183" s="305"/>
      <c r="K183" s="305"/>
      <c r="L183" s="305"/>
      <c r="M183" s="305"/>
      <c r="N183" s="305"/>
      <c r="O183" s="305"/>
      <c r="P183" s="306"/>
    </row>
    <row r="184" spans="2:16" ht="13" x14ac:dyDescent="0.3">
      <c r="B184" s="307"/>
      <c r="C184" s="308"/>
      <c r="D184" s="308"/>
      <c r="E184" s="308"/>
      <c r="F184" s="308"/>
      <c r="G184" s="308"/>
      <c r="H184" s="308"/>
      <c r="I184" s="308"/>
      <c r="J184" s="308"/>
      <c r="K184" s="308"/>
      <c r="L184" s="308"/>
      <c r="M184" s="308"/>
      <c r="N184" s="308"/>
      <c r="O184" s="308"/>
      <c r="P184" s="309"/>
    </row>
    <row r="185" spans="2:16" x14ac:dyDescent="0.25">
      <c r="B185" s="658">
        <v>30</v>
      </c>
      <c r="C185" s="659" t="s">
        <v>232</v>
      </c>
      <c r="D185" s="660">
        <v>116200</v>
      </c>
      <c r="E185" s="660">
        <v>116200</v>
      </c>
      <c r="F185" s="660">
        <v>116200</v>
      </c>
      <c r="G185" s="660">
        <v>116300</v>
      </c>
      <c r="H185" s="660">
        <v>116300</v>
      </c>
      <c r="I185" s="660">
        <v>116300</v>
      </c>
      <c r="J185" s="660">
        <v>116400</v>
      </c>
      <c r="K185" s="660">
        <v>116300</v>
      </c>
      <c r="L185" s="660">
        <v>116300</v>
      </c>
      <c r="M185" s="660">
        <v>116300</v>
      </c>
      <c r="N185" s="660">
        <v>116400</v>
      </c>
      <c r="O185" s="660">
        <v>116500</v>
      </c>
      <c r="P185" s="661">
        <v>1395700</v>
      </c>
    </row>
    <row r="186" spans="2:16" x14ac:dyDescent="0.25">
      <c r="B186" s="658">
        <v>40</v>
      </c>
      <c r="C186" s="659" t="s">
        <v>233</v>
      </c>
      <c r="D186" s="659">
        <v>0</v>
      </c>
      <c r="E186" s="659">
        <v>0</v>
      </c>
      <c r="F186" s="659">
        <v>0</v>
      </c>
      <c r="G186" s="659">
        <v>0</v>
      </c>
      <c r="H186" s="659">
        <v>0</v>
      </c>
      <c r="I186" s="659">
        <v>0</v>
      </c>
      <c r="J186" s="659">
        <v>0</v>
      </c>
      <c r="K186" s="659">
        <v>0</v>
      </c>
      <c r="L186" s="659">
        <v>0</v>
      </c>
      <c r="M186" s="659">
        <v>0</v>
      </c>
      <c r="N186" s="659">
        <v>0</v>
      </c>
      <c r="O186" s="659">
        <v>0</v>
      </c>
      <c r="P186" s="666">
        <v>0</v>
      </c>
    </row>
    <row r="187" spans="2:16" x14ac:dyDescent="0.25">
      <c r="B187" s="658">
        <v>50</v>
      </c>
      <c r="C187" s="659" t="s">
        <v>234</v>
      </c>
      <c r="D187" s="660">
        <v>116200</v>
      </c>
      <c r="E187" s="660">
        <v>116200</v>
      </c>
      <c r="F187" s="660">
        <v>116200</v>
      </c>
      <c r="G187" s="660">
        <v>116300</v>
      </c>
      <c r="H187" s="660">
        <v>116300</v>
      </c>
      <c r="I187" s="660">
        <v>116300</v>
      </c>
      <c r="J187" s="660">
        <v>116400</v>
      </c>
      <c r="K187" s="660">
        <v>116300</v>
      </c>
      <c r="L187" s="660">
        <v>116300</v>
      </c>
      <c r="M187" s="660">
        <v>116300</v>
      </c>
      <c r="N187" s="660">
        <v>116400</v>
      </c>
      <c r="O187" s="660">
        <v>116500</v>
      </c>
      <c r="P187" s="661">
        <v>1395700</v>
      </c>
    </row>
    <row r="188" spans="2:16" x14ac:dyDescent="0.25">
      <c r="B188" s="658">
        <v>60</v>
      </c>
      <c r="C188" s="659" t="s">
        <v>235</v>
      </c>
      <c r="D188" s="660">
        <v>0</v>
      </c>
      <c r="E188" s="660">
        <v>0</v>
      </c>
      <c r="F188" s="660">
        <v>0</v>
      </c>
      <c r="G188" s="660">
        <v>0</v>
      </c>
      <c r="H188" s="660">
        <v>0</v>
      </c>
      <c r="I188" s="660">
        <v>0</v>
      </c>
      <c r="J188" s="660">
        <v>0</v>
      </c>
      <c r="K188" s="660">
        <v>0</v>
      </c>
      <c r="L188" s="660">
        <v>0</v>
      </c>
      <c r="M188" s="660">
        <v>0</v>
      </c>
      <c r="N188" s="660">
        <v>0</v>
      </c>
      <c r="O188" s="660">
        <v>0</v>
      </c>
      <c r="P188" s="661">
        <v>0</v>
      </c>
    </row>
    <row r="189" spans="2:16" x14ac:dyDescent="0.25">
      <c r="B189" s="658">
        <v>65</v>
      </c>
      <c r="C189" s="659" t="s">
        <v>236</v>
      </c>
      <c r="D189" s="659">
        <v>0</v>
      </c>
      <c r="E189" s="659">
        <v>0</v>
      </c>
      <c r="F189" s="659">
        <v>0</v>
      </c>
      <c r="G189" s="659">
        <v>0</v>
      </c>
      <c r="H189" s="659">
        <v>0</v>
      </c>
      <c r="I189" s="659">
        <v>0</v>
      </c>
      <c r="J189" s="659">
        <v>0</v>
      </c>
      <c r="K189" s="659">
        <v>0</v>
      </c>
      <c r="L189" s="659">
        <v>0</v>
      </c>
      <c r="M189" s="659">
        <v>0</v>
      </c>
      <c r="N189" s="659">
        <v>0</v>
      </c>
      <c r="O189" s="659">
        <v>0</v>
      </c>
      <c r="P189" s="666">
        <v>0</v>
      </c>
    </row>
    <row r="190" spans="2:16" x14ac:dyDescent="0.25">
      <c r="B190" s="658">
        <v>70</v>
      </c>
      <c r="C190" s="659" t="s">
        <v>237</v>
      </c>
      <c r="D190" s="660">
        <v>116200</v>
      </c>
      <c r="E190" s="660">
        <v>116200</v>
      </c>
      <c r="F190" s="660">
        <v>116200</v>
      </c>
      <c r="G190" s="660">
        <v>116300</v>
      </c>
      <c r="H190" s="660">
        <v>116300</v>
      </c>
      <c r="I190" s="660">
        <v>116300</v>
      </c>
      <c r="J190" s="660">
        <v>116400</v>
      </c>
      <c r="K190" s="660">
        <v>116300</v>
      </c>
      <c r="L190" s="660">
        <v>116300</v>
      </c>
      <c r="M190" s="660">
        <v>116300</v>
      </c>
      <c r="N190" s="660">
        <v>116400</v>
      </c>
      <c r="O190" s="660">
        <v>116500</v>
      </c>
      <c r="P190" s="661">
        <v>1395700</v>
      </c>
    </row>
    <row r="191" spans="2:16" x14ac:dyDescent="0.25">
      <c r="B191" s="658">
        <v>80</v>
      </c>
      <c r="C191" s="659" t="s">
        <v>238</v>
      </c>
      <c r="D191" s="660">
        <v>6200</v>
      </c>
      <c r="E191" s="660">
        <v>6200</v>
      </c>
      <c r="F191" s="660">
        <v>6200</v>
      </c>
      <c r="G191" s="660">
        <v>6200</v>
      </c>
      <c r="H191" s="660">
        <v>6200</v>
      </c>
      <c r="I191" s="660">
        <v>6200</v>
      </c>
      <c r="J191" s="660">
        <v>6200</v>
      </c>
      <c r="K191" s="660">
        <v>6200</v>
      </c>
      <c r="L191" s="660">
        <v>6200</v>
      </c>
      <c r="M191" s="660">
        <v>6200</v>
      </c>
      <c r="N191" s="660">
        <v>6200</v>
      </c>
      <c r="O191" s="660">
        <v>6200</v>
      </c>
      <c r="P191" s="661">
        <v>74400</v>
      </c>
    </row>
    <row r="192" spans="2:16" x14ac:dyDescent="0.25">
      <c r="B192" s="658">
        <v>90</v>
      </c>
      <c r="C192" s="659" t="s">
        <v>239</v>
      </c>
      <c r="D192" s="660">
        <v>4250</v>
      </c>
      <c r="E192" s="660">
        <v>4250</v>
      </c>
      <c r="F192" s="660">
        <v>4250</v>
      </c>
      <c r="G192" s="660">
        <v>4250</v>
      </c>
      <c r="H192" s="660">
        <v>4250</v>
      </c>
      <c r="I192" s="660">
        <v>4250</v>
      </c>
      <c r="J192" s="660">
        <v>4250</v>
      </c>
      <c r="K192" s="660">
        <v>4250</v>
      </c>
      <c r="L192" s="660">
        <v>4250</v>
      </c>
      <c r="M192" s="660">
        <v>4250</v>
      </c>
      <c r="N192" s="660">
        <v>4250</v>
      </c>
      <c r="O192" s="660">
        <v>4250</v>
      </c>
      <c r="P192" s="661">
        <v>51000</v>
      </c>
    </row>
    <row r="193" spans="2:16" x14ac:dyDescent="0.25">
      <c r="B193" s="658">
        <v>100</v>
      </c>
      <c r="C193" s="659" t="s">
        <v>240</v>
      </c>
      <c r="D193" s="660">
        <v>21100</v>
      </c>
      <c r="E193" s="660">
        <v>21100</v>
      </c>
      <c r="F193" s="660">
        <v>21100</v>
      </c>
      <c r="G193" s="660">
        <v>21100</v>
      </c>
      <c r="H193" s="660">
        <v>21100</v>
      </c>
      <c r="I193" s="660">
        <v>21100</v>
      </c>
      <c r="J193" s="660">
        <v>21100</v>
      </c>
      <c r="K193" s="660">
        <v>21100</v>
      </c>
      <c r="L193" s="660">
        <v>21100</v>
      </c>
      <c r="M193" s="660">
        <v>21100</v>
      </c>
      <c r="N193" s="660">
        <v>21100</v>
      </c>
      <c r="O193" s="660">
        <v>21100</v>
      </c>
      <c r="P193" s="661">
        <v>253200</v>
      </c>
    </row>
    <row r="194" spans="2:16" x14ac:dyDescent="0.25">
      <c r="B194" s="658">
        <v>110</v>
      </c>
      <c r="C194" s="659" t="s">
        <v>241</v>
      </c>
      <c r="D194" s="660">
        <v>31550</v>
      </c>
      <c r="E194" s="660">
        <v>31550</v>
      </c>
      <c r="F194" s="660">
        <v>31550</v>
      </c>
      <c r="G194" s="660">
        <v>31550</v>
      </c>
      <c r="H194" s="660">
        <v>31550</v>
      </c>
      <c r="I194" s="660">
        <v>31550</v>
      </c>
      <c r="J194" s="660">
        <v>31550</v>
      </c>
      <c r="K194" s="660">
        <v>31550</v>
      </c>
      <c r="L194" s="660">
        <v>31550</v>
      </c>
      <c r="M194" s="660">
        <v>31550</v>
      </c>
      <c r="N194" s="660">
        <v>31550</v>
      </c>
      <c r="O194" s="660">
        <v>31550</v>
      </c>
      <c r="P194" s="661">
        <v>378600</v>
      </c>
    </row>
    <row r="195" spans="2:16" x14ac:dyDescent="0.25">
      <c r="B195" s="658">
        <v>120</v>
      </c>
      <c r="C195" s="659" t="s">
        <v>242</v>
      </c>
      <c r="D195" s="660">
        <v>84650</v>
      </c>
      <c r="E195" s="660">
        <v>84650</v>
      </c>
      <c r="F195" s="660">
        <v>84650</v>
      </c>
      <c r="G195" s="660">
        <v>84750</v>
      </c>
      <c r="H195" s="660">
        <v>84750</v>
      </c>
      <c r="I195" s="660">
        <v>84750</v>
      </c>
      <c r="J195" s="660">
        <v>84850</v>
      </c>
      <c r="K195" s="660">
        <v>84750</v>
      </c>
      <c r="L195" s="660">
        <v>84750</v>
      </c>
      <c r="M195" s="660">
        <v>84750</v>
      </c>
      <c r="N195" s="660">
        <v>84850</v>
      </c>
      <c r="O195" s="660">
        <v>84950</v>
      </c>
      <c r="P195" s="661">
        <v>1017100</v>
      </c>
    </row>
    <row r="196" spans="2:16" x14ac:dyDescent="0.25">
      <c r="B196" s="658">
        <v>130</v>
      </c>
      <c r="C196" s="659"/>
      <c r="D196" s="659">
        <v>0</v>
      </c>
      <c r="E196" s="659">
        <v>0</v>
      </c>
      <c r="F196" s="659">
        <v>0</v>
      </c>
      <c r="G196" s="659">
        <v>0</v>
      </c>
      <c r="H196" s="659">
        <v>0</v>
      </c>
      <c r="I196" s="659">
        <v>0</v>
      </c>
      <c r="J196" s="659">
        <v>0</v>
      </c>
      <c r="K196" s="659">
        <v>0</v>
      </c>
      <c r="L196" s="659">
        <v>0</v>
      </c>
      <c r="M196" s="659">
        <v>0</v>
      </c>
      <c r="N196" s="659">
        <v>0</v>
      </c>
      <c r="O196" s="659">
        <v>0</v>
      </c>
      <c r="P196" s="666">
        <v>0</v>
      </c>
    </row>
    <row r="197" spans="2:16" x14ac:dyDescent="0.25">
      <c r="B197" s="658">
        <v>135</v>
      </c>
      <c r="C197" s="659" t="s">
        <v>243</v>
      </c>
      <c r="D197" s="660">
        <v>0</v>
      </c>
      <c r="E197" s="660">
        <v>0</v>
      </c>
      <c r="F197" s="660">
        <v>0</v>
      </c>
      <c r="G197" s="660">
        <v>0</v>
      </c>
      <c r="H197" s="660">
        <v>0</v>
      </c>
      <c r="I197" s="660">
        <v>0</v>
      </c>
      <c r="J197" s="660">
        <v>0</v>
      </c>
      <c r="K197" s="660">
        <v>0</v>
      </c>
      <c r="L197" s="660">
        <v>0</v>
      </c>
      <c r="M197" s="660">
        <v>0</v>
      </c>
      <c r="N197" s="660">
        <v>0</v>
      </c>
      <c r="O197" s="660">
        <v>0</v>
      </c>
      <c r="P197" s="661">
        <v>0</v>
      </c>
    </row>
    <row r="198" spans="2:16" x14ac:dyDescent="0.25">
      <c r="B198" s="658">
        <v>140</v>
      </c>
      <c r="C198" s="659" t="s">
        <v>244</v>
      </c>
      <c r="D198" s="660">
        <v>27884</v>
      </c>
      <c r="E198" s="660">
        <v>26711</v>
      </c>
      <c r="F198" s="660">
        <v>26538</v>
      </c>
      <c r="G198" s="660">
        <v>26365</v>
      </c>
      <c r="H198" s="660">
        <v>26192</v>
      </c>
      <c r="I198" s="660">
        <v>26019</v>
      </c>
      <c r="J198" s="660">
        <v>25846</v>
      </c>
      <c r="K198" s="660">
        <v>25673</v>
      </c>
      <c r="L198" s="660">
        <v>25500</v>
      </c>
      <c r="M198" s="660">
        <v>25327</v>
      </c>
      <c r="N198" s="660">
        <v>25154</v>
      </c>
      <c r="O198" s="660">
        <v>25981</v>
      </c>
      <c r="P198" s="661">
        <v>313190</v>
      </c>
    </row>
    <row r="199" spans="2:16" x14ac:dyDescent="0.25">
      <c r="B199" s="658">
        <v>150</v>
      </c>
      <c r="C199" s="659" t="s">
        <v>245</v>
      </c>
      <c r="D199" s="659">
        <v>0</v>
      </c>
      <c r="E199" s="659">
        <v>0</v>
      </c>
      <c r="F199" s="659">
        <v>0</v>
      </c>
      <c r="G199" s="659">
        <v>0</v>
      </c>
      <c r="H199" s="659">
        <v>0</v>
      </c>
      <c r="I199" s="659">
        <v>0</v>
      </c>
      <c r="J199" s="659">
        <v>0</v>
      </c>
      <c r="K199" s="659">
        <v>0</v>
      </c>
      <c r="L199" s="659">
        <v>0</v>
      </c>
      <c r="M199" s="659">
        <v>0</v>
      </c>
      <c r="N199" s="659">
        <v>0</v>
      </c>
      <c r="O199" s="659">
        <v>0</v>
      </c>
      <c r="P199" s="666">
        <v>0</v>
      </c>
    </row>
    <row r="200" spans="2:16" x14ac:dyDescent="0.25">
      <c r="B200" s="658">
        <v>155</v>
      </c>
      <c r="C200" s="659"/>
      <c r="D200" s="659">
        <v>0</v>
      </c>
      <c r="E200" s="659">
        <v>0</v>
      </c>
      <c r="F200" s="659">
        <v>0</v>
      </c>
      <c r="G200" s="659">
        <v>0</v>
      </c>
      <c r="H200" s="659">
        <v>0</v>
      </c>
      <c r="I200" s="659">
        <v>0</v>
      </c>
      <c r="J200" s="659">
        <v>0</v>
      </c>
      <c r="K200" s="659">
        <v>0</v>
      </c>
      <c r="L200" s="659">
        <v>0</v>
      </c>
      <c r="M200" s="659">
        <v>0</v>
      </c>
      <c r="N200" s="659">
        <v>0</v>
      </c>
      <c r="O200" s="659">
        <v>0</v>
      </c>
      <c r="P200" s="666">
        <v>0</v>
      </c>
    </row>
    <row r="201" spans="2:16" x14ac:dyDescent="0.25">
      <c r="B201" s="658">
        <v>160</v>
      </c>
      <c r="C201" s="659" t="s">
        <v>246</v>
      </c>
      <c r="D201" s="660">
        <v>27884</v>
      </c>
      <c r="E201" s="660">
        <v>26711</v>
      </c>
      <c r="F201" s="660">
        <v>26538</v>
      </c>
      <c r="G201" s="660">
        <v>26365</v>
      </c>
      <c r="H201" s="660">
        <v>26192</v>
      </c>
      <c r="I201" s="660">
        <v>26019</v>
      </c>
      <c r="J201" s="660">
        <v>25846</v>
      </c>
      <c r="K201" s="660">
        <v>25673</v>
      </c>
      <c r="L201" s="660">
        <v>25500</v>
      </c>
      <c r="M201" s="660">
        <v>25327</v>
      </c>
      <c r="N201" s="660">
        <v>25154</v>
      </c>
      <c r="O201" s="660">
        <v>25981</v>
      </c>
      <c r="P201" s="661">
        <v>313190</v>
      </c>
    </row>
    <row r="202" spans="2:16" x14ac:dyDescent="0.25">
      <c r="B202" s="658">
        <v>170</v>
      </c>
      <c r="C202" s="659" t="s">
        <v>247</v>
      </c>
      <c r="D202" s="660">
        <v>56766</v>
      </c>
      <c r="E202" s="660">
        <v>57939</v>
      </c>
      <c r="F202" s="660">
        <v>58112</v>
      </c>
      <c r="G202" s="660">
        <v>58385</v>
      </c>
      <c r="H202" s="660">
        <v>58558</v>
      </c>
      <c r="I202" s="660">
        <v>58731</v>
      </c>
      <c r="J202" s="660">
        <v>59004</v>
      </c>
      <c r="K202" s="660">
        <v>59077</v>
      </c>
      <c r="L202" s="660">
        <v>59250</v>
      </c>
      <c r="M202" s="660">
        <v>59423</v>
      </c>
      <c r="N202" s="660">
        <v>59696</v>
      </c>
      <c r="O202" s="660">
        <v>58969</v>
      </c>
      <c r="P202" s="661">
        <v>703910</v>
      </c>
    </row>
    <row r="203" spans="2:16" x14ac:dyDescent="0.25">
      <c r="B203" s="658">
        <v>180</v>
      </c>
      <c r="C203" s="659" t="s">
        <v>248</v>
      </c>
      <c r="D203" s="659">
        <v>0</v>
      </c>
      <c r="E203" s="659">
        <v>0</v>
      </c>
      <c r="F203" s="659">
        <v>0</v>
      </c>
      <c r="G203" s="659">
        <v>0</v>
      </c>
      <c r="H203" s="659">
        <v>0</v>
      </c>
      <c r="I203" s="659">
        <v>0</v>
      </c>
      <c r="J203" s="659">
        <v>0</v>
      </c>
      <c r="K203" s="659">
        <v>0</v>
      </c>
      <c r="L203" s="659">
        <v>0</v>
      </c>
      <c r="M203" s="659">
        <v>0</v>
      </c>
      <c r="N203" s="659">
        <v>0</v>
      </c>
      <c r="O203" s="659">
        <v>0</v>
      </c>
      <c r="P203" s="666">
        <v>0</v>
      </c>
    </row>
    <row r="204" spans="2:16" x14ac:dyDescent="0.25">
      <c r="B204" s="658">
        <v>190</v>
      </c>
      <c r="C204" s="659" t="s">
        <v>249</v>
      </c>
      <c r="D204" s="659">
        <v>0</v>
      </c>
      <c r="E204" s="659">
        <v>0</v>
      </c>
      <c r="F204" s="659">
        <v>0</v>
      </c>
      <c r="G204" s="659">
        <v>0</v>
      </c>
      <c r="H204" s="659">
        <v>0</v>
      </c>
      <c r="I204" s="659">
        <v>0</v>
      </c>
      <c r="J204" s="659">
        <v>0</v>
      </c>
      <c r="K204" s="659">
        <v>0</v>
      </c>
      <c r="L204" s="659">
        <v>0</v>
      </c>
      <c r="M204" s="659">
        <v>0</v>
      </c>
      <c r="N204" s="659">
        <v>0</v>
      </c>
      <c r="O204" s="659">
        <v>0</v>
      </c>
      <c r="P204" s="666">
        <v>0</v>
      </c>
    </row>
    <row r="205" spans="2:16" x14ac:dyDescent="0.25">
      <c r="B205" s="658">
        <v>200</v>
      </c>
      <c r="C205" s="659" t="s">
        <v>250</v>
      </c>
      <c r="D205" s="660">
        <v>56766</v>
      </c>
      <c r="E205" s="660">
        <v>57939</v>
      </c>
      <c r="F205" s="660">
        <v>58112</v>
      </c>
      <c r="G205" s="660">
        <v>58385</v>
      </c>
      <c r="H205" s="660">
        <v>58558</v>
      </c>
      <c r="I205" s="660">
        <v>58731</v>
      </c>
      <c r="J205" s="660">
        <v>59004</v>
      </c>
      <c r="K205" s="660">
        <v>59077</v>
      </c>
      <c r="L205" s="660">
        <v>59250</v>
      </c>
      <c r="M205" s="660">
        <v>59423</v>
      </c>
      <c r="N205" s="660">
        <v>59696</v>
      </c>
      <c r="O205" s="660">
        <v>58969</v>
      </c>
      <c r="P205" s="661">
        <v>703910</v>
      </c>
    </row>
    <row r="206" spans="2:16" x14ac:dyDescent="0.25">
      <c r="B206" s="687">
        <v>210</v>
      </c>
      <c r="C206" s="688" t="s">
        <v>251</v>
      </c>
      <c r="D206" s="689">
        <v>105750</v>
      </c>
      <c r="E206" s="689">
        <v>105750</v>
      </c>
      <c r="F206" s="689">
        <v>105750</v>
      </c>
      <c r="G206" s="689">
        <v>105850</v>
      </c>
      <c r="H206" s="689">
        <v>105850</v>
      </c>
      <c r="I206" s="689">
        <v>105850</v>
      </c>
      <c r="J206" s="689">
        <v>105950</v>
      </c>
      <c r="K206" s="689">
        <v>105850</v>
      </c>
      <c r="L206" s="689">
        <v>105850</v>
      </c>
      <c r="M206" s="689">
        <v>105850</v>
      </c>
      <c r="N206" s="689">
        <v>105950</v>
      </c>
      <c r="O206" s="689">
        <v>106050</v>
      </c>
      <c r="P206" s="690">
        <v>1270300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C2:BE60"/>
  <sheetViews>
    <sheetView showGridLines="0" zoomScale="90" zoomScaleNormal="90" workbookViewId="0">
      <pane xSplit="3" topLeftCell="AM1" activePane="topRight" state="frozen"/>
      <selection pane="topRight" activeCell="AM6" sqref="AM6"/>
    </sheetView>
  </sheetViews>
  <sheetFormatPr baseColWidth="10" defaultColWidth="9.1796875" defaultRowHeight="12.5" x14ac:dyDescent="0.25"/>
  <cols>
    <col min="1" max="1" width="1.453125" style="1" customWidth="1"/>
    <col min="2" max="2" width="9.1796875" style="1"/>
    <col min="3" max="3" width="35.54296875" style="1" customWidth="1"/>
    <col min="4" max="4" width="11.54296875" style="11" customWidth="1"/>
    <col min="5" max="5" width="11.453125" style="11" customWidth="1"/>
    <col min="6" max="7" width="11.54296875" style="11" customWidth="1"/>
    <col min="8" max="8" width="12.453125" style="11" customWidth="1"/>
    <col min="9" max="9" width="5.453125" style="11" customWidth="1"/>
    <col min="10" max="10" width="11.81640625" style="11" customWidth="1"/>
    <col min="11" max="12" width="11.453125" style="11" customWidth="1"/>
    <col min="13" max="13" width="11.54296875" style="11" customWidth="1"/>
    <col min="14" max="14" width="11.1796875" style="11" customWidth="1"/>
    <col min="15" max="15" width="4.81640625" style="11" customWidth="1"/>
    <col min="16" max="16" width="11.453125" style="1" customWidth="1"/>
    <col min="17" max="17" width="8.7265625" style="1" customWidth="1"/>
    <col min="18" max="18" width="9.453125" style="1" customWidth="1"/>
    <col min="19" max="19" width="11.81640625" style="1" customWidth="1"/>
    <col min="20" max="20" width="11.453125" style="1" customWidth="1"/>
    <col min="21" max="21" width="3.54296875" style="1" customWidth="1"/>
    <col min="22" max="23" width="12.81640625" style="1" customWidth="1"/>
    <col min="24" max="24" width="10.1796875" style="1" customWidth="1"/>
    <col min="25" max="25" width="13.1796875" style="1" customWidth="1"/>
    <col min="26" max="26" width="8.453125" style="1" customWidth="1"/>
    <col min="27" max="27" width="5" style="1" customWidth="1"/>
    <col min="28" max="28" width="12.81640625" style="1" customWidth="1"/>
    <col min="29" max="29" width="13.81640625" style="1" customWidth="1"/>
    <col min="30" max="30" width="14.453125" style="1" customWidth="1"/>
    <col min="31" max="31" width="10.54296875" style="1" customWidth="1"/>
    <col min="32" max="32" width="9.453125" style="1" customWidth="1"/>
    <col min="33" max="33" width="5.54296875" style="1" customWidth="1"/>
    <col min="34" max="34" width="10.54296875" style="1" customWidth="1"/>
    <col min="35" max="35" width="10.453125" style="1" customWidth="1"/>
    <col min="36" max="36" width="8.453125" style="1" customWidth="1"/>
    <col min="37" max="37" width="7.54296875" style="1" customWidth="1"/>
    <col min="38" max="38" width="12.6328125" style="1" bestFit="1" customWidth="1"/>
    <col min="39" max="39" width="34.26953125" style="1" bestFit="1" customWidth="1"/>
    <col min="40" max="40" width="11.81640625" style="1" customWidth="1"/>
    <col min="41" max="41" width="10.54296875" style="1" customWidth="1"/>
    <col min="42" max="42" width="11.453125" style="1" customWidth="1"/>
    <col min="43" max="44" width="12.1796875" style="1" customWidth="1"/>
    <col min="45" max="45" width="34.26953125" style="1" bestFit="1" customWidth="1"/>
    <col min="46" max="52" width="14.453125" style="1" customWidth="1"/>
    <col min="53" max="16384" width="9.1796875" style="1"/>
  </cols>
  <sheetData>
    <row r="2" spans="3:57" x14ac:dyDescent="0.25">
      <c r="C2" s="119"/>
    </row>
    <row r="3" spans="3:57" ht="13" x14ac:dyDescent="0.3">
      <c r="D3" s="732" t="s">
        <v>35</v>
      </c>
      <c r="E3" s="732"/>
      <c r="F3" s="732"/>
      <c r="G3" s="732"/>
      <c r="H3" s="732"/>
      <c r="J3" s="732" t="s">
        <v>35</v>
      </c>
      <c r="K3" s="732"/>
      <c r="L3" s="732"/>
      <c r="M3" s="732"/>
      <c r="N3" s="732"/>
      <c r="P3" s="732" t="s">
        <v>36</v>
      </c>
      <c r="Q3" s="732"/>
      <c r="R3" s="732"/>
      <c r="S3" s="732"/>
      <c r="T3" s="732"/>
      <c r="U3" s="12"/>
      <c r="V3" s="732" t="s">
        <v>186</v>
      </c>
      <c r="W3" s="732"/>
      <c r="X3" s="732"/>
      <c r="Y3" s="732"/>
      <c r="Z3" s="732"/>
      <c r="AA3" s="12"/>
      <c r="AB3" s="732" t="s">
        <v>209</v>
      </c>
      <c r="AC3" s="732"/>
      <c r="AD3" s="732"/>
      <c r="AE3" s="732"/>
      <c r="AF3" s="732"/>
      <c r="AG3" s="12"/>
      <c r="AH3" s="732" t="s">
        <v>189</v>
      </c>
      <c r="AI3" s="732"/>
      <c r="AJ3" s="732"/>
      <c r="AK3" s="732"/>
      <c r="AL3" s="732"/>
      <c r="AM3" s="12"/>
      <c r="AN3" s="732" t="s">
        <v>37</v>
      </c>
      <c r="AO3" s="734"/>
      <c r="AP3" s="732"/>
      <c r="AQ3" s="732"/>
      <c r="AR3" s="732"/>
      <c r="AT3" s="732" t="s">
        <v>37</v>
      </c>
      <c r="AU3" s="732"/>
      <c r="AV3" s="732"/>
      <c r="AW3" s="732"/>
      <c r="AX3" s="732"/>
      <c r="AY3" s="732"/>
      <c r="AZ3" s="732"/>
    </row>
    <row r="4" spans="3:57" ht="13" x14ac:dyDescent="0.3">
      <c r="D4" s="732" t="s">
        <v>15</v>
      </c>
      <c r="E4" s="732"/>
      <c r="F4" s="732"/>
      <c r="G4" s="732"/>
      <c r="H4" s="732"/>
      <c r="J4" s="732" t="s">
        <v>15</v>
      </c>
      <c r="K4" s="732"/>
      <c r="L4" s="732"/>
      <c r="M4" s="732"/>
      <c r="N4" s="732"/>
      <c r="P4" s="732" t="s">
        <v>15</v>
      </c>
      <c r="Q4" s="732"/>
      <c r="R4" s="732"/>
      <c r="S4" s="732"/>
      <c r="T4" s="732"/>
      <c r="U4" s="12"/>
      <c r="V4" s="732" t="s">
        <v>15</v>
      </c>
      <c r="W4" s="732"/>
      <c r="X4" s="732"/>
      <c r="Y4" s="732"/>
      <c r="Z4" s="732"/>
      <c r="AA4" s="12"/>
      <c r="AB4" s="732" t="s">
        <v>15</v>
      </c>
      <c r="AC4" s="732"/>
      <c r="AD4" s="732"/>
      <c r="AE4" s="732"/>
      <c r="AF4" s="732"/>
      <c r="AG4" s="12"/>
      <c r="AH4" s="732" t="s">
        <v>15</v>
      </c>
      <c r="AI4" s="732"/>
      <c r="AJ4" s="732"/>
      <c r="AK4" s="732"/>
      <c r="AL4" s="732"/>
      <c r="AM4" s="12"/>
      <c r="AN4" s="732" t="s">
        <v>15</v>
      </c>
      <c r="AO4" s="734"/>
      <c r="AP4" s="732"/>
      <c r="AQ4" s="732"/>
      <c r="AR4" s="732"/>
      <c r="AT4" s="732" t="s">
        <v>15</v>
      </c>
      <c r="AU4" s="732"/>
      <c r="AV4" s="732"/>
      <c r="AW4" s="732"/>
      <c r="AX4" s="732"/>
      <c r="AY4" s="732"/>
      <c r="AZ4" s="732"/>
    </row>
    <row r="5" spans="3:57" ht="13" x14ac:dyDescent="0.3">
      <c r="D5" s="731" t="str">
        <f>PROPER(TEXT(MES_CIERRE,"MMMM "))&amp;YEAR(MES_CIERRE)</f>
        <v>Junio 2019</v>
      </c>
      <c r="E5" s="733"/>
      <c r="F5" s="733"/>
      <c r="G5" s="733"/>
      <c r="H5" s="733"/>
      <c r="J5" s="731" t="str">
        <f>PROPER(TEXT(MES_CIERRE,"MMMM "))&amp;YEAR(MES_CIERRE)</f>
        <v>Junio 2019</v>
      </c>
      <c r="K5" s="733"/>
      <c r="L5" s="733"/>
      <c r="M5" s="733"/>
      <c r="N5" s="733"/>
      <c r="P5" s="731" t="str">
        <f>PROPER(TEXT(MES_CIERRE,"MMMM "))&amp;YEAR(MES_CIERRE)</f>
        <v>Junio 2019</v>
      </c>
      <c r="Q5" s="733"/>
      <c r="R5" s="733"/>
      <c r="S5" s="733"/>
      <c r="T5" s="733"/>
      <c r="U5" s="40"/>
      <c r="V5" s="731" t="str">
        <f>PROPER(TEXT(MES_CIERRE,"MMMM "))&amp;YEAR(MES_CIERRE)</f>
        <v>Junio 2019</v>
      </c>
      <c r="W5" s="733"/>
      <c r="X5" s="733"/>
      <c r="Y5" s="733"/>
      <c r="Z5" s="733"/>
      <c r="AA5" s="13"/>
      <c r="AB5" s="731" t="str">
        <f>PROPER(TEXT(MES_CIERRE,"MMMM "))&amp;YEAR(MES_CIERRE)</f>
        <v>Junio 2019</v>
      </c>
      <c r="AC5" s="735"/>
      <c r="AD5" s="735"/>
      <c r="AE5" s="735"/>
      <c r="AF5" s="735"/>
      <c r="AG5" s="13"/>
      <c r="AH5" s="731" t="str">
        <f>PROPER(TEXT(MES_CIERRE,"MMMM "))&amp;YEAR(MES_CIERRE)</f>
        <v>Junio 2019</v>
      </c>
      <c r="AI5" s="735"/>
      <c r="AJ5" s="735"/>
      <c r="AK5" s="735"/>
      <c r="AL5" s="735"/>
      <c r="AM5" s="13"/>
      <c r="AN5" s="731" t="str">
        <f>PROPER(TEXT(MES_CIERRE,"MMMM "))&amp;YEAR(MES_CIERRE)</f>
        <v>Junio 2019</v>
      </c>
      <c r="AO5" s="736"/>
      <c r="AP5" s="736"/>
      <c r="AQ5" s="736"/>
      <c r="AR5" s="736"/>
      <c r="AT5" s="731" t="str">
        <f>PROPER(TEXT(MES_CIERRE,"MMMM "))&amp;YEAR(MES_CIERRE)</f>
        <v>Junio 2019</v>
      </c>
      <c r="AU5" s="731"/>
      <c r="AV5" s="731"/>
      <c r="AW5" s="731"/>
      <c r="AX5" s="731"/>
      <c r="AY5" s="731"/>
      <c r="AZ5" s="731"/>
    </row>
    <row r="6" spans="3:57" ht="13" x14ac:dyDescent="0.3">
      <c r="D6" s="12"/>
      <c r="J6" s="12"/>
      <c r="P6" s="12"/>
      <c r="Q6" s="11"/>
      <c r="R6" s="11"/>
      <c r="S6" s="11"/>
      <c r="T6" s="11"/>
      <c r="U6" s="11"/>
      <c r="V6" s="12"/>
      <c r="W6" s="11"/>
      <c r="X6" s="11"/>
      <c r="Y6" s="11"/>
      <c r="Z6" s="11"/>
      <c r="AA6" s="11"/>
      <c r="AB6" s="12"/>
      <c r="AC6" s="11"/>
      <c r="AD6" s="11"/>
      <c r="AE6" s="11"/>
      <c r="AF6" s="11"/>
      <c r="AG6" s="11"/>
      <c r="AH6" s="12"/>
      <c r="AI6" s="11"/>
      <c r="AJ6" s="11"/>
      <c r="AK6" s="11"/>
      <c r="AL6" s="11"/>
      <c r="AM6" s="11"/>
      <c r="AN6" s="12"/>
      <c r="AO6" s="11"/>
      <c r="AP6" s="11"/>
      <c r="AQ6" s="11"/>
      <c r="AR6" s="11"/>
    </row>
    <row r="7" spans="3:57" ht="13" x14ac:dyDescent="0.3">
      <c r="C7"/>
      <c r="D7" s="40" t="s">
        <v>1</v>
      </c>
      <c r="E7" s="186" t="s">
        <v>115</v>
      </c>
      <c r="F7" s="186" t="s">
        <v>116</v>
      </c>
      <c r="G7" s="186" t="s">
        <v>117</v>
      </c>
      <c r="H7" s="186" t="s">
        <v>118</v>
      </c>
      <c r="I7" s="186"/>
      <c r="J7" s="40" t="s">
        <v>1</v>
      </c>
      <c r="K7" s="186" t="s">
        <v>115</v>
      </c>
      <c r="L7" s="186" t="s">
        <v>116</v>
      </c>
      <c r="M7" s="186" t="s">
        <v>117</v>
      </c>
      <c r="N7" s="186" t="s">
        <v>118</v>
      </c>
      <c r="O7" s="186"/>
      <c r="P7" s="40" t="s">
        <v>1</v>
      </c>
      <c r="Q7" s="186" t="s">
        <v>115</v>
      </c>
      <c r="R7" s="186" t="s">
        <v>116</v>
      </c>
      <c r="S7" s="186" t="s">
        <v>117</v>
      </c>
      <c r="T7" s="186" t="s">
        <v>118</v>
      </c>
      <c r="U7" s="186"/>
      <c r="V7" s="40" t="s">
        <v>1</v>
      </c>
      <c r="W7" s="186" t="s">
        <v>115</v>
      </c>
      <c r="X7" s="186" t="s">
        <v>116</v>
      </c>
      <c r="Y7" s="186" t="s">
        <v>117</v>
      </c>
      <c r="Z7" s="186" t="s">
        <v>118</v>
      </c>
      <c r="AA7" s="186"/>
      <c r="AB7" s="40" t="s">
        <v>1</v>
      </c>
      <c r="AC7" s="186" t="s">
        <v>115</v>
      </c>
      <c r="AD7" s="186" t="s">
        <v>116</v>
      </c>
      <c r="AE7" s="186" t="s">
        <v>117</v>
      </c>
      <c r="AF7" s="186" t="s">
        <v>118</v>
      </c>
      <c r="AG7" s="186"/>
      <c r="AH7" s="40" t="s">
        <v>1</v>
      </c>
      <c r="AI7" s="186" t="s">
        <v>115</v>
      </c>
      <c r="AJ7" s="186" t="s">
        <v>116</v>
      </c>
      <c r="AK7" s="186" t="s">
        <v>117</v>
      </c>
      <c r="AL7" s="186" t="s">
        <v>118</v>
      </c>
      <c r="AM7" s="186"/>
      <c r="AN7" s="40" t="s">
        <v>1</v>
      </c>
      <c r="AO7" s="186" t="s">
        <v>115</v>
      </c>
      <c r="AP7" s="186" t="s">
        <v>116</v>
      </c>
      <c r="AQ7" s="186" t="s">
        <v>117</v>
      </c>
      <c r="AR7" s="186" t="s">
        <v>118</v>
      </c>
      <c r="AS7"/>
      <c r="AT7" s="40" t="s">
        <v>121</v>
      </c>
      <c r="AU7" s="186" t="s">
        <v>120</v>
      </c>
      <c r="AV7" s="186" t="s">
        <v>119</v>
      </c>
      <c r="AW7" s="186" t="s">
        <v>432</v>
      </c>
      <c r="AX7" s="186" t="s">
        <v>433</v>
      </c>
      <c r="AY7" s="186" t="s">
        <v>434</v>
      </c>
      <c r="AZ7" s="40" t="s">
        <v>16</v>
      </c>
      <c r="BA7"/>
      <c r="BB7"/>
      <c r="BC7"/>
      <c r="BD7"/>
      <c r="BE7"/>
    </row>
    <row r="8" spans="3:57" ht="13" x14ac:dyDescent="0.3">
      <c r="C8" s="91" t="s">
        <v>107</v>
      </c>
      <c r="D8" s="14"/>
      <c r="E8" s="14"/>
      <c r="F8" s="14"/>
      <c r="G8" s="14"/>
      <c r="H8" s="14"/>
      <c r="I8" s="15"/>
      <c r="J8" s="14"/>
      <c r="K8" s="14"/>
      <c r="L8" s="14"/>
      <c r="M8" s="14"/>
      <c r="N8" s="14"/>
      <c r="O8" s="15"/>
      <c r="P8" s="14"/>
      <c r="Q8" s="14"/>
      <c r="R8" s="14"/>
      <c r="S8" s="14"/>
      <c r="T8" s="14"/>
      <c r="U8" s="11"/>
      <c r="V8" s="14"/>
      <c r="W8" s="14"/>
      <c r="X8" s="14"/>
      <c r="Y8" s="14"/>
      <c r="Z8" s="14"/>
      <c r="AA8" s="11"/>
      <c r="AB8" s="14"/>
      <c r="AC8" s="14"/>
      <c r="AD8" s="14"/>
      <c r="AE8" s="14"/>
      <c r="AF8" s="14"/>
      <c r="AG8" s="11"/>
      <c r="AH8" s="14"/>
      <c r="AI8" s="14"/>
      <c r="AJ8" s="14"/>
      <c r="AK8" s="14"/>
      <c r="AL8" s="14"/>
      <c r="AM8" s="91" t="s">
        <v>107</v>
      </c>
      <c r="AN8" s="14"/>
      <c r="AO8" s="14"/>
      <c r="AP8" s="14"/>
      <c r="AQ8" s="14"/>
      <c r="AR8" s="14"/>
      <c r="AS8" s="91" t="s">
        <v>107</v>
      </c>
      <c r="AT8" s="14"/>
      <c r="AU8" s="14"/>
      <c r="AV8" s="14"/>
      <c r="AW8" s="14"/>
      <c r="AX8" s="14"/>
      <c r="AY8" s="14"/>
      <c r="AZ8" s="14"/>
    </row>
    <row r="9" spans="3:57" x14ac:dyDescent="0.25">
      <c r="C9" s="92" t="s">
        <v>54</v>
      </c>
      <c r="D9" s="15">
        <f>BDBG!D12/1000</f>
        <v>21.83661</v>
      </c>
      <c r="E9" s="15">
        <f>BDBG!F12/1000</f>
        <v>0</v>
      </c>
      <c r="F9" s="15">
        <f>BDBG!M12/1000</f>
        <v>185.36151000000001</v>
      </c>
      <c r="G9" s="15">
        <f>D9-E9</f>
        <v>21.83661</v>
      </c>
      <c r="H9" s="15">
        <f t="shared" ref="H9:H40" si="0">D9-F9</f>
        <v>-163.5249</v>
      </c>
      <c r="I9" s="15"/>
      <c r="J9" s="15">
        <f>BDBG!Q12/1000</f>
        <v>0.94896999999999998</v>
      </c>
      <c r="K9" s="15">
        <f>BDBG!S12/1000</f>
        <v>0</v>
      </c>
      <c r="L9" s="15">
        <f>BDBG!Z12/1000</f>
        <v>48.261809999999997</v>
      </c>
      <c r="M9" s="15">
        <f>J9-K9</f>
        <v>0.94896999999999998</v>
      </c>
      <c r="N9" s="15">
        <f t="shared" ref="N9:N59" si="1">J9-L9</f>
        <v>-47.312839999999994</v>
      </c>
      <c r="O9" s="15"/>
      <c r="P9" s="15">
        <f>BDBG!AD12/1000</f>
        <v>-30.13813</v>
      </c>
      <c r="Q9" s="15">
        <f>BDBG!AF12/1000</f>
        <v>0</v>
      </c>
      <c r="R9" s="15">
        <f>BDBG!AM12/1000</f>
        <v>-57.652059999999999</v>
      </c>
      <c r="S9" s="15">
        <f>P9-Q9</f>
        <v>-30.13813</v>
      </c>
      <c r="T9" s="15">
        <f t="shared" ref="T9:T16" si="2">P9-R9</f>
        <v>27.513929999999998</v>
      </c>
      <c r="U9" s="11"/>
      <c r="V9" s="15">
        <f>BDBG!AQ12/1000</f>
        <v>25.232240000000001</v>
      </c>
      <c r="W9" s="15">
        <f>BDBG!AS12/1000</f>
        <v>0</v>
      </c>
      <c r="X9" s="15">
        <f>BDBG!AZ12/1000</f>
        <v>25.366099999999999</v>
      </c>
      <c r="Y9" s="15">
        <f>V9-W9</f>
        <v>25.232240000000001</v>
      </c>
      <c r="Z9" s="15">
        <f t="shared" ref="Z9:Z59" si="3">V9-X9</f>
        <v>-0.13385999999999854</v>
      </c>
      <c r="AA9" s="11"/>
      <c r="AB9" s="15">
        <f>BDBG!BQ12/1000</f>
        <v>56.756740000000001</v>
      </c>
      <c r="AC9" s="15">
        <f>BDBG!BQ12/1000</f>
        <v>56.756740000000001</v>
      </c>
      <c r="AD9" s="15">
        <f>BDBG!BZ12/1000</f>
        <v>73.466920000000002</v>
      </c>
      <c r="AE9" s="15">
        <f t="shared" ref="AE9:AE16" si="4">AB9-AC9</f>
        <v>0</v>
      </c>
      <c r="AF9" s="15">
        <f t="shared" ref="AF9:AF16" si="5">AB9-AD9</f>
        <v>-16.710180000000001</v>
      </c>
      <c r="AG9" s="11"/>
      <c r="AH9" s="15">
        <f>BDBG!BD12/1000</f>
        <v>-40.811050000000002</v>
      </c>
      <c r="AI9" s="15">
        <f>BDBG!BF12/1000</f>
        <v>0</v>
      </c>
      <c r="AJ9" s="15">
        <f>BDBG!BM12/1000</f>
        <v>13.91741</v>
      </c>
      <c r="AK9" s="15">
        <f>AH9-AI9</f>
        <v>-40.811050000000002</v>
      </c>
      <c r="AL9" s="15">
        <f>AH9-AJ9</f>
        <v>-54.728459999999998</v>
      </c>
      <c r="AM9" s="92" t="s">
        <v>54</v>
      </c>
      <c r="AN9" s="15">
        <f>AZ9</f>
        <v>33.825379999999996</v>
      </c>
      <c r="AO9" s="15">
        <f>E9+K9+Q9+W9+AC9+AI9</f>
        <v>56.756740000000001</v>
      </c>
      <c r="AP9" s="15">
        <f t="shared" ref="AP9:AP57" si="6">F9+L9+R9+X9+AD9+AJ9</f>
        <v>288.72169000000002</v>
      </c>
      <c r="AQ9" s="15">
        <f t="shared" ref="AQ9:AQ40" si="7">AN9-AO9</f>
        <v>-22.931360000000005</v>
      </c>
      <c r="AR9" s="15">
        <f t="shared" ref="AR9:AR40" si="8">AN9-AP9</f>
        <v>-254.89631000000003</v>
      </c>
      <c r="AS9" s="92" t="s">
        <v>54</v>
      </c>
      <c r="AT9" s="15">
        <f t="shared" ref="AT9:AT16" si="9">D9</f>
        <v>21.83661</v>
      </c>
      <c r="AU9" s="15">
        <f t="shared" ref="AU9:AU16" si="10">+J9</f>
        <v>0.94896999999999998</v>
      </c>
      <c r="AV9" s="15">
        <f>P9</f>
        <v>-30.13813</v>
      </c>
      <c r="AW9" s="15">
        <f>V9</f>
        <v>25.232240000000001</v>
      </c>
      <c r="AX9" s="15">
        <f t="shared" ref="AX9:AX16" si="11">AH9</f>
        <v>-40.811050000000002</v>
      </c>
      <c r="AY9" s="15">
        <f>AB9</f>
        <v>56.756740000000001</v>
      </c>
      <c r="AZ9" s="15">
        <f t="shared" ref="AZ9:AZ16" si="12">SUM(AT9:AY9)</f>
        <v>33.825379999999996</v>
      </c>
    </row>
    <row r="10" spans="3:57" x14ac:dyDescent="0.25">
      <c r="C10" s="92" t="s">
        <v>55</v>
      </c>
      <c r="D10" s="15">
        <f>BDBG!D13/1000</f>
        <v>0</v>
      </c>
      <c r="E10" s="15">
        <f>BDBG!F13/1000</f>
        <v>0</v>
      </c>
      <c r="F10" s="15">
        <f>BDBG!M13/1000</f>
        <v>0</v>
      </c>
      <c r="G10" s="15">
        <f t="shared" ref="G10:G59" si="13">D10-E10</f>
        <v>0</v>
      </c>
      <c r="H10" s="15">
        <f t="shared" si="0"/>
        <v>0</v>
      </c>
      <c r="I10" s="15"/>
      <c r="J10" s="15">
        <f>BDBG!Q13/1000</f>
        <v>0</v>
      </c>
      <c r="K10" s="15">
        <f>BDBG!S13/1000</f>
        <v>0</v>
      </c>
      <c r="L10" s="15">
        <f>BDBG!Z13/1000</f>
        <v>0</v>
      </c>
      <c r="M10" s="15">
        <f t="shared" ref="M10:M59" si="14">J10-K10</f>
        <v>0</v>
      </c>
      <c r="N10" s="15">
        <f t="shared" si="1"/>
        <v>0</v>
      </c>
      <c r="O10" s="15"/>
      <c r="P10" s="15">
        <f>BDBG!AD13/1000</f>
        <v>0</v>
      </c>
      <c r="Q10" s="15">
        <f>BDBG!AF13/1000</f>
        <v>0</v>
      </c>
      <c r="R10" s="15">
        <f>BDBG!AM13/1000</f>
        <v>0</v>
      </c>
      <c r="S10" s="15">
        <f t="shared" ref="S10:S59" si="15">P10-Q10</f>
        <v>0</v>
      </c>
      <c r="T10" s="15">
        <f t="shared" si="2"/>
        <v>0</v>
      </c>
      <c r="U10" s="11"/>
      <c r="V10" s="15">
        <f>BDBG!AQ13/1000</f>
        <v>0</v>
      </c>
      <c r="W10" s="15">
        <f>BDBG!AS13/1000</f>
        <v>0</v>
      </c>
      <c r="X10" s="15">
        <f>BDBG!AZ13/1000</f>
        <v>0</v>
      </c>
      <c r="Y10" s="15">
        <f t="shared" ref="Y10:Y59" si="16">V10-W10</f>
        <v>0</v>
      </c>
      <c r="Z10" s="15">
        <f t="shared" si="3"/>
        <v>0</v>
      </c>
      <c r="AA10" s="11"/>
      <c r="AB10" s="15">
        <f>BDBG!BQ13/1000</f>
        <v>0</v>
      </c>
      <c r="AC10" s="15">
        <f>BDBG!BQ13/1000</f>
        <v>0</v>
      </c>
      <c r="AD10" s="15">
        <f>BDBG!BZ13/1000</f>
        <v>0</v>
      </c>
      <c r="AE10" s="15">
        <f t="shared" si="4"/>
        <v>0</v>
      </c>
      <c r="AF10" s="15">
        <f t="shared" si="5"/>
        <v>0</v>
      </c>
      <c r="AG10" s="11"/>
      <c r="AH10" s="15">
        <f>BDBG!BD13/1000</f>
        <v>0</v>
      </c>
      <c r="AI10" s="15">
        <f>BDBG!BF13/1000</f>
        <v>0</v>
      </c>
      <c r="AJ10" s="15">
        <f>BDBG!BM13/1000</f>
        <v>0</v>
      </c>
      <c r="AK10" s="15">
        <f t="shared" ref="AK10:AK57" si="17">AH10-AI10</f>
        <v>0</v>
      </c>
      <c r="AL10" s="15">
        <f t="shared" ref="AL10:AL57" si="18">AH10-AJ10</f>
        <v>0</v>
      </c>
      <c r="AM10" s="92" t="s">
        <v>55</v>
      </c>
      <c r="AN10" s="15">
        <f t="shared" ref="AN10:AN57" si="19">AZ10</f>
        <v>0</v>
      </c>
      <c r="AO10" s="15">
        <f t="shared" ref="AO10:AO57" si="20">E10+K10+Q10+W10+AC10+AI10</f>
        <v>0</v>
      </c>
      <c r="AP10" s="15">
        <f t="shared" si="6"/>
        <v>0</v>
      </c>
      <c r="AQ10" s="15">
        <f t="shared" si="7"/>
        <v>0</v>
      </c>
      <c r="AR10" s="15">
        <f t="shared" si="8"/>
        <v>0</v>
      </c>
      <c r="AS10" s="92" t="s">
        <v>55</v>
      </c>
      <c r="AT10" s="15">
        <f t="shared" si="9"/>
        <v>0</v>
      </c>
      <c r="AU10" s="15">
        <f t="shared" si="10"/>
        <v>0</v>
      </c>
      <c r="AV10" s="15">
        <f t="shared" ref="AV10:AV58" si="21">P10</f>
        <v>0</v>
      </c>
      <c r="AW10" s="15">
        <f t="shared" ref="AW10:AW58" si="22">V10</f>
        <v>0</v>
      </c>
      <c r="AX10" s="15">
        <f t="shared" si="11"/>
        <v>0</v>
      </c>
      <c r="AY10" s="15">
        <f t="shared" ref="AY10:AY58" si="23">AB10</f>
        <v>0</v>
      </c>
      <c r="AZ10" s="15">
        <f t="shared" si="12"/>
        <v>0</v>
      </c>
    </row>
    <row r="11" spans="3:57" x14ac:dyDescent="0.25">
      <c r="C11" s="92" t="s">
        <v>56</v>
      </c>
      <c r="D11" s="15">
        <f>BDBG!D14/1000</f>
        <v>2.6854200000000001</v>
      </c>
      <c r="E11" s="15">
        <f>BDBG!F14/1000</f>
        <v>0</v>
      </c>
      <c r="F11" s="15">
        <f>BDBG!M14/1000</f>
        <v>162.12034</v>
      </c>
      <c r="G11" s="15">
        <f t="shared" si="13"/>
        <v>2.6854200000000001</v>
      </c>
      <c r="H11" s="15">
        <f t="shared" si="0"/>
        <v>-159.43492000000001</v>
      </c>
      <c r="I11" s="15"/>
      <c r="J11" s="15">
        <f>BDBG!Q14/1000</f>
        <v>21.98882</v>
      </c>
      <c r="K11" s="15">
        <f>BDBG!S14/1000</f>
        <v>0</v>
      </c>
      <c r="L11" s="15">
        <f>BDBG!Z14/1000</f>
        <v>21.408339999999999</v>
      </c>
      <c r="M11" s="15">
        <f t="shared" si="14"/>
        <v>21.98882</v>
      </c>
      <c r="N11" s="15">
        <f t="shared" si="1"/>
        <v>0.58048000000000144</v>
      </c>
      <c r="O11" s="15"/>
      <c r="P11" s="15">
        <f>BDBG!AD14/1000</f>
        <v>77.291320000000013</v>
      </c>
      <c r="Q11" s="15">
        <f>BDBG!AF14/1000</f>
        <v>0</v>
      </c>
      <c r="R11" s="15">
        <f>BDBG!AM14/1000</f>
        <v>36.902929999999998</v>
      </c>
      <c r="S11" s="15">
        <f t="shared" si="15"/>
        <v>77.291320000000013</v>
      </c>
      <c r="T11" s="15">
        <f t="shared" si="2"/>
        <v>40.388390000000015</v>
      </c>
      <c r="U11" s="11"/>
      <c r="V11" s="15">
        <f>BDBG!AQ14/1000</f>
        <v>130.11354</v>
      </c>
      <c r="W11" s="15">
        <f>BDBG!AS14/1000</f>
        <v>0</v>
      </c>
      <c r="X11" s="15">
        <f>BDBG!AZ14/1000</f>
        <v>102.00867</v>
      </c>
      <c r="Y11" s="15">
        <f t="shared" si="16"/>
        <v>130.11354</v>
      </c>
      <c r="Z11" s="15">
        <f t="shared" si="3"/>
        <v>28.104870000000005</v>
      </c>
      <c r="AA11" s="11"/>
      <c r="AB11" s="15">
        <f>BDBG!BQ14/1000</f>
        <v>81.906840000000003</v>
      </c>
      <c r="AC11" s="15">
        <f>BDBG!BQ14/1000</f>
        <v>81.906840000000003</v>
      </c>
      <c r="AD11" s="15">
        <f>BDBG!BZ14/1000</f>
        <v>62.031030000000001</v>
      </c>
      <c r="AE11" s="15">
        <f t="shared" si="4"/>
        <v>0</v>
      </c>
      <c r="AF11" s="15">
        <f t="shared" si="5"/>
        <v>19.875810000000001</v>
      </c>
      <c r="AG11" s="11"/>
      <c r="AH11" s="15">
        <f>BDBG!BD14/1000</f>
        <v>198.10834</v>
      </c>
      <c r="AI11" s="15">
        <f>BDBG!BF14/1000</f>
        <v>0</v>
      </c>
      <c r="AJ11" s="15">
        <f>BDBG!BM14/1000</f>
        <v>131.00792999999999</v>
      </c>
      <c r="AK11" s="15">
        <f t="shared" si="17"/>
        <v>198.10834</v>
      </c>
      <c r="AL11" s="15">
        <f t="shared" si="18"/>
        <v>67.100410000000011</v>
      </c>
      <c r="AM11" s="92" t="s">
        <v>56</v>
      </c>
      <c r="AN11" s="15">
        <f t="shared" si="19"/>
        <v>512.09428000000003</v>
      </c>
      <c r="AO11" s="15">
        <f t="shared" si="20"/>
        <v>81.906840000000003</v>
      </c>
      <c r="AP11" s="15">
        <f t="shared" si="6"/>
        <v>515.47924</v>
      </c>
      <c r="AQ11" s="15">
        <f t="shared" si="7"/>
        <v>430.18744000000004</v>
      </c>
      <c r="AR11" s="15">
        <f t="shared" si="8"/>
        <v>-3.3849599999999782</v>
      </c>
      <c r="AS11" s="92" t="s">
        <v>56</v>
      </c>
      <c r="AT11" s="15">
        <f t="shared" si="9"/>
        <v>2.6854200000000001</v>
      </c>
      <c r="AU11" s="15">
        <f t="shared" si="10"/>
        <v>21.98882</v>
      </c>
      <c r="AV11" s="15">
        <f t="shared" si="21"/>
        <v>77.291320000000013</v>
      </c>
      <c r="AW11" s="15">
        <f t="shared" si="22"/>
        <v>130.11354</v>
      </c>
      <c r="AX11" s="15">
        <f t="shared" si="11"/>
        <v>198.10834</v>
      </c>
      <c r="AY11" s="15">
        <f t="shared" si="23"/>
        <v>81.906840000000003</v>
      </c>
      <c r="AZ11" s="15">
        <f t="shared" si="12"/>
        <v>512.09428000000003</v>
      </c>
    </row>
    <row r="12" spans="3:57" x14ac:dyDescent="0.25">
      <c r="C12" s="92" t="s">
        <v>57</v>
      </c>
      <c r="D12" s="15">
        <f>BDBG!D15/1000</f>
        <v>0</v>
      </c>
      <c r="E12" s="15">
        <f>BDBG!F15/1000</f>
        <v>0</v>
      </c>
      <c r="F12" s="15">
        <f>BDBG!M15/1000</f>
        <v>0</v>
      </c>
      <c r="G12" s="15">
        <f t="shared" si="13"/>
        <v>0</v>
      </c>
      <c r="H12" s="15">
        <f t="shared" si="0"/>
        <v>0</v>
      </c>
      <c r="I12" s="15"/>
      <c r="J12" s="15">
        <f>BDBG!Q15/1000</f>
        <v>0</v>
      </c>
      <c r="K12" s="15">
        <f>BDBG!S15/1000</f>
        <v>0</v>
      </c>
      <c r="L12" s="15">
        <f>BDBG!Z15/1000</f>
        <v>0</v>
      </c>
      <c r="M12" s="15">
        <f t="shared" si="14"/>
        <v>0</v>
      </c>
      <c r="N12" s="15">
        <f t="shared" si="1"/>
        <v>0</v>
      </c>
      <c r="O12" s="15"/>
      <c r="P12" s="15">
        <f>BDBG!AD15/1000</f>
        <v>0</v>
      </c>
      <c r="Q12" s="15">
        <f>BDBG!AF15/1000</f>
        <v>0</v>
      </c>
      <c r="R12" s="15">
        <f>BDBG!AM15/1000</f>
        <v>0</v>
      </c>
      <c r="S12" s="15">
        <f t="shared" si="15"/>
        <v>0</v>
      </c>
      <c r="T12" s="15">
        <f t="shared" si="2"/>
        <v>0</v>
      </c>
      <c r="U12" s="11"/>
      <c r="V12" s="15">
        <f>BDBG!AQ15/1000</f>
        <v>0</v>
      </c>
      <c r="W12" s="15">
        <f>BDBG!AS15/1000</f>
        <v>0</v>
      </c>
      <c r="X12" s="15">
        <f>BDBG!AZ15/1000</f>
        <v>0</v>
      </c>
      <c r="Y12" s="15">
        <f t="shared" si="16"/>
        <v>0</v>
      </c>
      <c r="Z12" s="15">
        <f t="shared" si="3"/>
        <v>0</v>
      </c>
      <c r="AA12" s="11"/>
      <c r="AB12" s="15">
        <f>BDBG!BQ15/1000</f>
        <v>2453.4847200000004</v>
      </c>
      <c r="AC12" s="15">
        <f>BDBG!BQ15/1000</f>
        <v>2453.4847200000004</v>
      </c>
      <c r="AD12" s="15">
        <f>BDBG!BZ15/1000</f>
        <v>2417.4847200000004</v>
      </c>
      <c r="AE12" s="15">
        <f t="shared" si="4"/>
        <v>0</v>
      </c>
      <c r="AF12" s="15">
        <f t="shared" si="5"/>
        <v>36</v>
      </c>
      <c r="AG12" s="11"/>
      <c r="AH12" s="15">
        <f>BDBG!BD15/1000</f>
        <v>0</v>
      </c>
      <c r="AI12" s="15">
        <f>BDBG!BF15/1000</f>
        <v>0</v>
      </c>
      <c r="AJ12" s="15">
        <f>BDBG!BM15/1000</f>
        <v>0</v>
      </c>
      <c r="AK12" s="15">
        <f t="shared" si="17"/>
        <v>0</v>
      </c>
      <c r="AL12" s="15">
        <f t="shared" si="18"/>
        <v>0</v>
      </c>
      <c r="AM12" s="92" t="s">
        <v>57</v>
      </c>
      <c r="AN12" s="15">
        <f t="shared" si="19"/>
        <v>2453.4847200000004</v>
      </c>
      <c r="AO12" s="15">
        <f t="shared" si="20"/>
        <v>2453.4847200000004</v>
      </c>
      <c r="AP12" s="15">
        <f t="shared" si="6"/>
        <v>2417.4847200000004</v>
      </c>
      <c r="AQ12" s="15">
        <f t="shared" si="7"/>
        <v>0</v>
      </c>
      <c r="AR12" s="15">
        <f t="shared" si="8"/>
        <v>36</v>
      </c>
      <c r="AS12" s="92" t="s">
        <v>57</v>
      </c>
      <c r="AT12" s="15">
        <f t="shared" si="9"/>
        <v>0</v>
      </c>
      <c r="AU12" s="15">
        <f t="shared" si="10"/>
        <v>0</v>
      </c>
      <c r="AV12" s="15">
        <f t="shared" si="21"/>
        <v>0</v>
      </c>
      <c r="AW12" s="15">
        <f t="shared" si="22"/>
        <v>0</v>
      </c>
      <c r="AX12" s="15">
        <f t="shared" si="11"/>
        <v>0</v>
      </c>
      <c r="AY12" s="15">
        <f t="shared" si="23"/>
        <v>2453.4847200000004</v>
      </c>
      <c r="AZ12" s="15">
        <f t="shared" si="12"/>
        <v>2453.4847200000004</v>
      </c>
    </row>
    <row r="13" spans="3:57" x14ac:dyDescent="0.25">
      <c r="C13" s="92" t="s">
        <v>58</v>
      </c>
      <c r="D13" s="15">
        <f>BDBG!D16/1000</f>
        <v>0</v>
      </c>
      <c r="E13" s="15">
        <f>BDBG!F16/1000</f>
        <v>0</v>
      </c>
      <c r="F13" s="15">
        <f>BDBG!M16/1000</f>
        <v>189.78744</v>
      </c>
      <c r="G13" s="15">
        <f t="shared" si="13"/>
        <v>0</v>
      </c>
      <c r="H13" s="15">
        <f t="shared" si="0"/>
        <v>-189.78744</v>
      </c>
      <c r="I13" s="15"/>
      <c r="J13" s="15">
        <f>BDBG!Q16/1000</f>
        <v>26.983060000000002</v>
      </c>
      <c r="K13" s="15">
        <f>BDBG!S16/1000</f>
        <v>0</v>
      </c>
      <c r="L13" s="15">
        <f>BDBG!Z16/1000</f>
        <v>31.228999999999999</v>
      </c>
      <c r="M13" s="15">
        <f t="shared" si="14"/>
        <v>26.983060000000002</v>
      </c>
      <c r="N13" s="15">
        <f t="shared" si="1"/>
        <v>-4.2459399999999974</v>
      </c>
      <c r="O13" s="15"/>
      <c r="P13" s="15">
        <f>BDBG!AD16/1000</f>
        <v>50.677349999999997</v>
      </c>
      <c r="Q13" s="15">
        <f>BDBG!AF16/1000</f>
        <v>0</v>
      </c>
      <c r="R13" s="15">
        <f>BDBG!AM16/1000</f>
        <v>46.208529999999996</v>
      </c>
      <c r="S13" s="15">
        <f t="shared" si="15"/>
        <v>50.677349999999997</v>
      </c>
      <c r="T13" s="15">
        <f t="shared" si="2"/>
        <v>4.4688200000000009</v>
      </c>
      <c r="U13" s="11"/>
      <c r="V13" s="15">
        <f>BDBG!AQ16/1000</f>
        <v>23.405249999999999</v>
      </c>
      <c r="W13" s="15">
        <f>BDBG!AS16/1000</f>
        <v>0</v>
      </c>
      <c r="X13" s="15">
        <f>BDBG!AZ16/1000</f>
        <v>25.645679999999999</v>
      </c>
      <c r="Y13" s="15">
        <f t="shared" si="16"/>
        <v>23.405249999999999</v>
      </c>
      <c r="Z13" s="15">
        <f t="shared" si="3"/>
        <v>-2.2404299999999999</v>
      </c>
      <c r="AA13" s="11"/>
      <c r="AB13" s="15">
        <f>BDBG!BQ16/1000</f>
        <v>0</v>
      </c>
      <c r="AC13" s="15">
        <f>BDBG!BQ16/1000</f>
        <v>0</v>
      </c>
      <c r="AD13" s="15">
        <f>BDBG!BZ16/1000</f>
        <v>0</v>
      </c>
      <c r="AE13" s="15">
        <f t="shared" si="4"/>
        <v>0</v>
      </c>
      <c r="AF13" s="15">
        <f t="shared" si="5"/>
        <v>0</v>
      </c>
      <c r="AG13" s="11"/>
      <c r="AH13" s="15">
        <f>BDBG!BD16/1000</f>
        <v>23.604810000000001</v>
      </c>
      <c r="AI13" s="15">
        <f>BDBG!BF16/1000</f>
        <v>0</v>
      </c>
      <c r="AJ13" s="15">
        <f>BDBG!BM16/1000</f>
        <v>15.78515</v>
      </c>
      <c r="AK13" s="15">
        <f t="shared" si="17"/>
        <v>23.604810000000001</v>
      </c>
      <c r="AL13" s="15">
        <f t="shared" si="18"/>
        <v>7.8196600000000007</v>
      </c>
      <c r="AM13" s="92" t="s">
        <v>58</v>
      </c>
      <c r="AN13" s="15">
        <f t="shared" si="19"/>
        <v>124.67046999999999</v>
      </c>
      <c r="AO13" s="15">
        <f t="shared" si="20"/>
        <v>0</v>
      </c>
      <c r="AP13" s="15">
        <f t="shared" si="6"/>
        <v>308.65579999999994</v>
      </c>
      <c r="AQ13" s="15">
        <f t="shared" si="7"/>
        <v>124.67046999999999</v>
      </c>
      <c r="AR13" s="15">
        <f t="shared" si="8"/>
        <v>-183.98532999999995</v>
      </c>
      <c r="AS13" s="92" t="s">
        <v>58</v>
      </c>
      <c r="AT13" s="15">
        <f t="shared" si="9"/>
        <v>0</v>
      </c>
      <c r="AU13" s="15">
        <f t="shared" si="10"/>
        <v>26.983060000000002</v>
      </c>
      <c r="AV13" s="15">
        <f t="shared" si="21"/>
        <v>50.677349999999997</v>
      </c>
      <c r="AW13" s="15">
        <f t="shared" si="22"/>
        <v>23.405249999999999</v>
      </c>
      <c r="AX13" s="15">
        <f t="shared" si="11"/>
        <v>23.604810000000001</v>
      </c>
      <c r="AY13" s="15">
        <f t="shared" si="23"/>
        <v>0</v>
      </c>
      <c r="AZ13" s="15">
        <f t="shared" si="12"/>
        <v>124.67046999999999</v>
      </c>
    </row>
    <row r="14" spans="3:57" x14ac:dyDescent="0.25">
      <c r="C14" s="92" t="s">
        <v>59</v>
      </c>
      <c r="D14" s="15">
        <f>BDBG!D17/1000</f>
        <v>840.00141000000008</v>
      </c>
      <c r="E14" s="15">
        <f>BDBG!F17/1000</f>
        <v>0</v>
      </c>
      <c r="F14" s="15">
        <f>BDBG!M17/1000</f>
        <v>76.114009999999993</v>
      </c>
      <c r="G14" s="15">
        <f t="shared" si="13"/>
        <v>840.00141000000008</v>
      </c>
      <c r="H14" s="15">
        <f t="shared" si="0"/>
        <v>763.88740000000007</v>
      </c>
      <c r="I14" s="15"/>
      <c r="J14" s="15">
        <f>BDBG!Q17/1000</f>
        <v>20.754439999999999</v>
      </c>
      <c r="K14" s="15">
        <f>BDBG!S17/1000</f>
        <v>0</v>
      </c>
      <c r="L14" s="15">
        <f>BDBG!Z17/1000</f>
        <v>4.6786199999999996</v>
      </c>
      <c r="M14" s="15">
        <f t="shared" si="14"/>
        <v>20.754439999999999</v>
      </c>
      <c r="N14" s="15">
        <f t="shared" si="1"/>
        <v>16.07582</v>
      </c>
      <c r="O14" s="15"/>
      <c r="P14" s="15">
        <f>BDBG!AD17/1000</f>
        <v>9.6302599999999998</v>
      </c>
      <c r="Q14" s="15">
        <f>BDBG!AF17/1000</f>
        <v>0</v>
      </c>
      <c r="R14" s="15">
        <f>BDBG!AM17/1000</f>
        <v>3.81202</v>
      </c>
      <c r="S14" s="15">
        <f t="shared" si="15"/>
        <v>9.6302599999999998</v>
      </c>
      <c r="T14" s="15">
        <f t="shared" si="2"/>
        <v>5.8182399999999994</v>
      </c>
      <c r="U14" s="11"/>
      <c r="V14" s="15">
        <f>BDBG!AQ17/1000</f>
        <v>34.278010000000002</v>
      </c>
      <c r="W14" s="15">
        <f>BDBG!AS17/1000</f>
        <v>0</v>
      </c>
      <c r="X14" s="15">
        <f>BDBG!AZ17/1000</f>
        <v>21.876380000000001</v>
      </c>
      <c r="Y14" s="15">
        <f t="shared" si="16"/>
        <v>34.278010000000002</v>
      </c>
      <c r="Z14" s="15">
        <f t="shared" si="3"/>
        <v>12.401630000000001</v>
      </c>
      <c r="AA14" s="11"/>
      <c r="AB14" s="15">
        <f>BDBG!BQ17/1000</f>
        <v>79.430999999999997</v>
      </c>
      <c r="AC14" s="15">
        <f>BDBG!BQ17/1000</f>
        <v>79.430999999999997</v>
      </c>
      <c r="AD14" s="15">
        <f>BDBG!BZ17/1000</f>
        <v>79.430999999999997</v>
      </c>
      <c r="AE14" s="15">
        <f t="shared" si="4"/>
        <v>0</v>
      </c>
      <c r="AF14" s="15">
        <f t="shared" si="5"/>
        <v>0</v>
      </c>
      <c r="AG14" s="11"/>
      <c r="AH14" s="15">
        <f>BDBG!BD17/1000</f>
        <v>30.10192</v>
      </c>
      <c r="AI14" s="15">
        <f>BDBG!BF17/1000</f>
        <v>0</v>
      </c>
      <c r="AJ14" s="15">
        <f>BDBG!BM17/1000</f>
        <v>38.268239999999999</v>
      </c>
      <c r="AK14" s="15">
        <f t="shared" si="17"/>
        <v>30.10192</v>
      </c>
      <c r="AL14" s="15">
        <f t="shared" si="18"/>
        <v>-8.1663199999999989</v>
      </c>
      <c r="AM14" s="92" t="s">
        <v>59</v>
      </c>
      <c r="AN14" s="15">
        <f t="shared" si="19"/>
        <v>1014.1970400000001</v>
      </c>
      <c r="AO14" s="15">
        <f t="shared" si="20"/>
        <v>79.430999999999997</v>
      </c>
      <c r="AP14" s="15">
        <f t="shared" si="6"/>
        <v>224.18026999999998</v>
      </c>
      <c r="AQ14" s="15">
        <f t="shared" si="7"/>
        <v>934.76604000000009</v>
      </c>
      <c r="AR14" s="15">
        <f t="shared" si="8"/>
        <v>790.01677000000018</v>
      </c>
      <c r="AS14" s="92" t="s">
        <v>59</v>
      </c>
      <c r="AT14" s="15">
        <f t="shared" si="9"/>
        <v>840.00141000000008</v>
      </c>
      <c r="AU14" s="15">
        <f t="shared" si="10"/>
        <v>20.754439999999999</v>
      </c>
      <c r="AV14" s="15">
        <f t="shared" si="21"/>
        <v>9.6302599999999998</v>
      </c>
      <c r="AW14" s="15">
        <f t="shared" si="22"/>
        <v>34.278010000000002</v>
      </c>
      <c r="AX14" s="15">
        <f t="shared" si="11"/>
        <v>30.10192</v>
      </c>
      <c r="AY14" s="15">
        <f t="shared" si="23"/>
        <v>79.430999999999997</v>
      </c>
      <c r="AZ14" s="15">
        <f t="shared" si="12"/>
        <v>1014.1970400000001</v>
      </c>
    </row>
    <row r="15" spans="3:57" hidden="1" x14ac:dyDescent="0.25">
      <c r="C15" s="93"/>
      <c r="D15" s="15">
        <f>BDBG!D18/1000</f>
        <v>0</v>
      </c>
      <c r="E15" s="15">
        <f>BDBG!F18/1000</f>
        <v>0</v>
      </c>
      <c r="F15" s="15">
        <f>BDBG!M18/1000</f>
        <v>2.7874899999999996</v>
      </c>
      <c r="G15" s="15">
        <f t="shared" si="13"/>
        <v>0</v>
      </c>
      <c r="H15" s="15">
        <f t="shared" si="0"/>
        <v>-2.7874899999999996</v>
      </c>
      <c r="I15" s="15"/>
      <c r="J15" s="15">
        <f>BDBG!Q18/1000</f>
        <v>1.0299500000000001</v>
      </c>
      <c r="K15" s="15">
        <f>BDBG!S18/1000</f>
        <v>0</v>
      </c>
      <c r="L15" s="15">
        <f>BDBG!Z18/1000</f>
        <v>0</v>
      </c>
      <c r="M15" s="15">
        <f t="shared" si="14"/>
        <v>1.0299500000000001</v>
      </c>
      <c r="N15" s="15">
        <f t="shared" si="1"/>
        <v>1.0299500000000001</v>
      </c>
      <c r="O15" s="15"/>
      <c r="P15" s="15">
        <f>BDBG!AD18/1000</f>
        <v>0.54425999999999997</v>
      </c>
      <c r="Q15" s="15">
        <f>BDBG!AF18/1000</f>
        <v>0</v>
      </c>
      <c r="R15" s="15">
        <f>BDBG!AM18/1000</f>
        <v>0</v>
      </c>
      <c r="S15" s="15">
        <f t="shared" si="15"/>
        <v>0.54425999999999997</v>
      </c>
      <c r="T15" s="15">
        <f t="shared" si="2"/>
        <v>0.54425999999999997</v>
      </c>
      <c r="U15" s="11"/>
      <c r="V15" s="15">
        <f>BDBG!AQ18/1000</f>
        <v>4.6950600000000007</v>
      </c>
      <c r="W15" s="15">
        <f>BDBG!AS18/1000</f>
        <v>0</v>
      </c>
      <c r="X15" s="15">
        <f>BDBG!AZ18/1000</f>
        <v>0</v>
      </c>
      <c r="Y15" s="15">
        <f t="shared" si="16"/>
        <v>4.6950600000000007</v>
      </c>
      <c r="Z15" s="15">
        <f t="shared" si="3"/>
        <v>4.6950600000000007</v>
      </c>
      <c r="AA15" s="11"/>
      <c r="AB15" s="15">
        <f>BDBG!BQ18/1000</f>
        <v>0</v>
      </c>
      <c r="AC15" s="15">
        <f>BDBG!BQ18/1000</f>
        <v>0</v>
      </c>
      <c r="AD15" s="15">
        <f>BDBG!BZ18/1000</f>
        <v>0</v>
      </c>
      <c r="AE15" s="15">
        <f t="shared" si="4"/>
        <v>0</v>
      </c>
      <c r="AF15" s="15">
        <f t="shared" si="5"/>
        <v>0</v>
      </c>
      <c r="AG15" s="11"/>
      <c r="AH15" s="15">
        <f>BDBG!BD18/1000</f>
        <v>9.9061500000000002</v>
      </c>
      <c r="AI15" s="15">
        <f>BDBG!BF18/1000</f>
        <v>0</v>
      </c>
      <c r="AJ15" s="15">
        <f>BDBG!BM18/1000</f>
        <v>0</v>
      </c>
      <c r="AK15" s="15">
        <f t="shared" si="17"/>
        <v>9.9061500000000002</v>
      </c>
      <c r="AL15" s="15">
        <f t="shared" si="18"/>
        <v>9.9061500000000002</v>
      </c>
      <c r="AM15" s="93"/>
      <c r="AN15" s="15">
        <f t="shared" si="19"/>
        <v>16.175420000000003</v>
      </c>
      <c r="AO15" s="15">
        <f t="shared" si="20"/>
        <v>0</v>
      </c>
      <c r="AP15" s="15">
        <f t="shared" si="6"/>
        <v>2.7874899999999996</v>
      </c>
      <c r="AQ15" s="15">
        <f t="shared" si="7"/>
        <v>16.175420000000003</v>
      </c>
      <c r="AR15" s="15">
        <f t="shared" si="8"/>
        <v>13.387930000000003</v>
      </c>
      <c r="AS15" s="93"/>
      <c r="AT15" s="15">
        <f t="shared" si="9"/>
        <v>0</v>
      </c>
      <c r="AU15" s="15">
        <f t="shared" si="10"/>
        <v>1.0299500000000001</v>
      </c>
      <c r="AV15" s="15">
        <f t="shared" si="21"/>
        <v>0.54425999999999997</v>
      </c>
      <c r="AW15" s="15">
        <f t="shared" si="22"/>
        <v>4.6950600000000007</v>
      </c>
      <c r="AX15" s="15">
        <f t="shared" si="11"/>
        <v>9.9061500000000002</v>
      </c>
      <c r="AY15" s="15">
        <f t="shared" si="23"/>
        <v>0</v>
      </c>
      <c r="AZ15" s="15">
        <f t="shared" si="12"/>
        <v>16.175420000000003</v>
      </c>
    </row>
    <row r="16" spans="3:57" ht="13" x14ac:dyDescent="0.3">
      <c r="C16" s="94" t="s">
        <v>108</v>
      </c>
      <c r="D16" s="16">
        <f>SUM(D9:D15)</f>
        <v>864.52344000000005</v>
      </c>
      <c r="E16" s="16">
        <f>SUM(E9:E15)</f>
        <v>0</v>
      </c>
      <c r="F16" s="16">
        <f>SUM(F9:F15)</f>
        <v>616.17079000000001</v>
      </c>
      <c r="G16" s="16">
        <f t="shared" si="13"/>
        <v>864.52344000000005</v>
      </c>
      <c r="H16" s="16">
        <f t="shared" si="0"/>
        <v>248.35265000000004</v>
      </c>
      <c r="I16" s="17"/>
      <c r="J16" s="16">
        <f>SUM(J9:J15)</f>
        <v>71.705240000000003</v>
      </c>
      <c r="K16" s="16">
        <f>SUM(K9:K15)</f>
        <v>0</v>
      </c>
      <c r="L16" s="16">
        <f>SUM(L9:L15)</f>
        <v>105.57776999999999</v>
      </c>
      <c r="M16" s="16">
        <f t="shared" si="14"/>
        <v>71.705240000000003</v>
      </c>
      <c r="N16" s="16">
        <f t="shared" si="1"/>
        <v>-33.872529999999983</v>
      </c>
      <c r="O16" s="17"/>
      <c r="P16" s="16">
        <f>SUM(P9:P15)</f>
        <v>108.00506</v>
      </c>
      <c r="Q16" s="16">
        <f>SUM(Q9:Q15)</f>
        <v>0</v>
      </c>
      <c r="R16" s="16">
        <f>SUM(R9:R15)</f>
        <v>29.271419999999996</v>
      </c>
      <c r="S16" s="16">
        <f t="shared" si="15"/>
        <v>108.00506</v>
      </c>
      <c r="T16" s="16">
        <f t="shared" si="2"/>
        <v>78.733640000000008</v>
      </c>
      <c r="U16" s="41"/>
      <c r="V16" s="16">
        <f>SUM(V9:V15)</f>
        <v>217.72409999999999</v>
      </c>
      <c r="W16" s="16">
        <f>SUM(W9:W15)</f>
        <v>0</v>
      </c>
      <c r="X16" s="16">
        <f>SUM(X9:X15)</f>
        <v>174.89682999999999</v>
      </c>
      <c r="Y16" s="16">
        <f t="shared" si="16"/>
        <v>217.72409999999999</v>
      </c>
      <c r="Z16" s="16">
        <f t="shared" si="3"/>
        <v>42.827269999999999</v>
      </c>
      <c r="AA16" s="41"/>
      <c r="AB16" s="16">
        <f>BDBG!BQ19/1000</f>
        <v>2671.5792999999999</v>
      </c>
      <c r="AC16" s="16">
        <f>BDBG!BQ19/1000</f>
        <v>2671.5792999999999</v>
      </c>
      <c r="AD16" s="16">
        <f>BDBG!BZ19/1000</f>
        <v>2632.4136699999999</v>
      </c>
      <c r="AE16" s="16">
        <f t="shared" si="4"/>
        <v>0</v>
      </c>
      <c r="AF16" s="16">
        <f t="shared" si="5"/>
        <v>39.165629999999965</v>
      </c>
      <c r="AG16" s="41"/>
      <c r="AH16" s="16">
        <f>SUM(AH9:AH15)</f>
        <v>220.91017000000002</v>
      </c>
      <c r="AI16" s="16">
        <f>SUM(AI9:AI15)</f>
        <v>0</v>
      </c>
      <c r="AJ16" s="16">
        <f>SUM(AJ9:AJ15)</f>
        <v>198.97872999999996</v>
      </c>
      <c r="AK16" s="16">
        <f t="shared" si="17"/>
        <v>220.91017000000002</v>
      </c>
      <c r="AL16" s="16">
        <f t="shared" si="18"/>
        <v>21.931440000000066</v>
      </c>
      <c r="AM16" s="94" t="s">
        <v>108</v>
      </c>
      <c r="AN16" s="16">
        <f t="shared" si="19"/>
        <v>4154.4473099999996</v>
      </c>
      <c r="AO16" s="16">
        <f t="shared" si="20"/>
        <v>2671.5792999999999</v>
      </c>
      <c r="AP16" s="16">
        <f t="shared" si="6"/>
        <v>3757.3092099999999</v>
      </c>
      <c r="AQ16" s="16">
        <f t="shared" si="7"/>
        <v>1482.8680099999997</v>
      </c>
      <c r="AR16" s="16">
        <f t="shared" si="8"/>
        <v>397.13809999999967</v>
      </c>
      <c r="AS16" s="94" t="s">
        <v>108</v>
      </c>
      <c r="AT16" s="16">
        <f t="shared" si="9"/>
        <v>864.52344000000005</v>
      </c>
      <c r="AU16" s="16">
        <f t="shared" si="10"/>
        <v>71.705240000000003</v>
      </c>
      <c r="AV16" s="16">
        <f t="shared" si="21"/>
        <v>108.00506</v>
      </c>
      <c r="AW16" s="16">
        <f t="shared" si="22"/>
        <v>217.72409999999999</v>
      </c>
      <c r="AX16" s="16">
        <f t="shared" si="11"/>
        <v>220.91017000000002</v>
      </c>
      <c r="AY16" s="16">
        <f t="shared" si="23"/>
        <v>2671.5792999999999</v>
      </c>
      <c r="AZ16" s="16">
        <f t="shared" si="12"/>
        <v>4154.4473099999996</v>
      </c>
    </row>
    <row r="17" spans="3:52" ht="13" x14ac:dyDescent="0.3">
      <c r="C17" s="94" t="s">
        <v>109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1"/>
      <c r="V17" s="15"/>
      <c r="W17" s="15"/>
      <c r="X17" s="15"/>
      <c r="Y17" s="15"/>
      <c r="Z17" s="15"/>
      <c r="AA17" s="11"/>
      <c r="AB17" s="15"/>
      <c r="AC17" s="15"/>
      <c r="AD17" s="15"/>
      <c r="AE17" s="15"/>
      <c r="AF17" s="15"/>
      <c r="AG17" s="11"/>
      <c r="AH17" s="15"/>
      <c r="AI17" s="15"/>
      <c r="AJ17" s="15"/>
      <c r="AK17" s="15">
        <f t="shared" si="17"/>
        <v>0</v>
      </c>
      <c r="AL17" s="15">
        <f t="shared" si="18"/>
        <v>0</v>
      </c>
      <c r="AM17" s="94" t="s">
        <v>109</v>
      </c>
      <c r="AN17" s="15">
        <f t="shared" si="19"/>
        <v>0</v>
      </c>
      <c r="AO17" s="15">
        <f t="shared" si="20"/>
        <v>0</v>
      </c>
      <c r="AP17" s="15">
        <f t="shared" si="6"/>
        <v>0</v>
      </c>
      <c r="AQ17" s="15">
        <f t="shared" si="7"/>
        <v>0</v>
      </c>
      <c r="AR17" s="15">
        <f t="shared" si="8"/>
        <v>0</v>
      </c>
      <c r="AS17" s="94" t="s">
        <v>109</v>
      </c>
      <c r="AT17" s="15"/>
      <c r="AU17" s="15"/>
      <c r="AV17" s="15"/>
      <c r="AW17" s="15"/>
      <c r="AX17" s="15"/>
      <c r="AY17" s="15"/>
      <c r="AZ17" s="15"/>
    </row>
    <row r="18" spans="3:52" x14ac:dyDescent="0.25">
      <c r="C18" s="92" t="s">
        <v>63</v>
      </c>
      <c r="D18" s="15">
        <f>BDBG!D21/1000</f>
        <v>352.50034000000005</v>
      </c>
      <c r="E18" s="15">
        <f>BDBG!F21/1000</f>
        <v>0</v>
      </c>
      <c r="F18" s="15">
        <f>BDBG!M21/1000</f>
        <v>352.50034000000005</v>
      </c>
      <c r="G18" s="15">
        <f t="shared" si="13"/>
        <v>352.50034000000005</v>
      </c>
      <c r="H18" s="15">
        <f t="shared" si="0"/>
        <v>0</v>
      </c>
      <c r="I18" s="15"/>
      <c r="J18" s="15">
        <f>BDBG!Q21/1000</f>
        <v>0</v>
      </c>
      <c r="K18" s="15">
        <f>BDBG!S21/1000</f>
        <v>0</v>
      </c>
      <c r="L18" s="15">
        <f>BDBG!Z21/1000</f>
        <v>0</v>
      </c>
      <c r="M18" s="15">
        <f t="shared" si="14"/>
        <v>0</v>
      </c>
      <c r="N18" s="15">
        <f t="shared" si="1"/>
        <v>0</v>
      </c>
      <c r="O18" s="15"/>
      <c r="P18" s="15">
        <f>BDBG!AD21/1000</f>
        <v>0</v>
      </c>
      <c r="Q18" s="15">
        <f>BDBG!AF21/1000</f>
        <v>0</v>
      </c>
      <c r="R18" s="15">
        <f>BDBG!AM21/1000</f>
        <v>0</v>
      </c>
      <c r="S18" s="15">
        <f t="shared" si="15"/>
        <v>0</v>
      </c>
      <c r="T18" s="15">
        <f t="shared" ref="T18:T26" si="24">P18-R18</f>
        <v>0</v>
      </c>
      <c r="U18" s="11"/>
      <c r="V18" s="15">
        <f>BDBG!AQ21/1000</f>
        <v>0</v>
      </c>
      <c r="W18" s="15">
        <f>BDBG!AS21/1000</f>
        <v>0</v>
      </c>
      <c r="X18" s="15">
        <f>BDBG!AZ21/1000</f>
        <v>0</v>
      </c>
      <c r="Y18" s="15">
        <f t="shared" si="16"/>
        <v>0</v>
      </c>
      <c r="Z18" s="15">
        <f t="shared" si="3"/>
        <v>0</v>
      </c>
      <c r="AA18" s="11"/>
      <c r="AB18" s="15">
        <f>BDBG!BQ21/1000</f>
        <v>6517.9103099999993</v>
      </c>
      <c r="AC18" s="15">
        <f>BDBG!BQ21/1000</f>
        <v>6517.9103099999993</v>
      </c>
      <c r="AD18" s="15">
        <f>BDBG!BZ21/1000</f>
        <v>6517.9103099999993</v>
      </c>
      <c r="AE18" s="15">
        <f t="shared" ref="AE18:AE26" si="25">AB18-AC18</f>
        <v>0</v>
      </c>
      <c r="AF18" s="15">
        <f t="shared" ref="AF18:AF26" si="26">AB18-AD18</f>
        <v>0</v>
      </c>
      <c r="AG18" s="11"/>
      <c r="AH18" s="15">
        <f>BDBG!BD21/1000</f>
        <v>0</v>
      </c>
      <c r="AI18" s="15">
        <f>BDBG!BF21/1000</f>
        <v>0</v>
      </c>
      <c r="AJ18" s="15">
        <f>BDBG!BM21/1000</f>
        <v>0</v>
      </c>
      <c r="AK18" s="15">
        <f t="shared" si="17"/>
        <v>0</v>
      </c>
      <c r="AL18" s="15">
        <f t="shared" si="18"/>
        <v>0</v>
      </c>
      <c r="AM18" s="92" t="s">
        <v>63</v>
      </c>
      <c r="AN18" s="15">
        <f t="shared" si="19"/>
        <v>6870.4106499999998</v>
      </c>
      <c r="AO18" s="15">
        <f t="shared" si="20"/>
        <v>6517.9103099999993</v>
      </c>
      <c r="AP18" s="15">
        <f t="shared" si="6"/>
        <v>6870.4106499999998</v>
      </c>
      <c r="AQ18" s="15">
        <f t="shared" si="7"/>
        <v>352.50034000000051</v>
      </c>
      <c r="AR18" s="15">
        <f t="shared" si="8"/>
        <v>0</v>
      </c>
      <c r="AS18" s="92" t="s">
        <v>63</v>
      </c>
      <c r="AT18" s="15">
        <f t="shared" ref="AT18:AT26" si="27">D18</f>
        <v>352.50034000000005</v>
      </c>
      <c r="AU18" s="15">
        <f t="shared" ref="AU18:AU26" si="28">+J18</f>
        <v>0</v>
      </c>
      <c r="AV18" s="15">
        <f t="shared" si="21"/>
        <v>0</v>
      </c>
      <c r="AW18" s="15">
        <f t="shared" si="22"/>
        <v>0</v>
      </c>
      <c r="AX18" s="15">
        <f t="shared" ref="AX18:AX26" si="29">AH18</f>
        <v>0</v>
      </c>
      <c r="AY18" s="15">
        <f t="shared" si="23"/>
        <v>6517.9103099999993</v>
      </c>
      <c r="AZ18" s="15">
        <f t="shared" ref="AZ18:AZ26" si="30">SUM(AT18:AY18)</f>
        <v>6870.4106499999998</v>
      </c>
    </row>
    <row r="19" spans="3:52" x14ac:dyDescent="0.25">
      <c r="C19" s="92" t="s">
        <v>62</v>
      </c>
      <c r="D19" s="15">
        <f>BDBG!D22/1000</f>
        <v>4537.1388099999995</v>
      </c>
      <c r="E19" s="15">
        <f>BDBG!F22/1000</f>
        <v>0</v>
      </c>
      <c r="F19" s="15">
        <f>BDBG!M22/1000</f>
        <v>4537.1388099999995</v>
      </c>
      <c r="G19" s="15">
        <f t="shared" si="13"/>
        <v>4537.1388099999995</v>
      </c>
      <c r="H19" s="15">
        <f t="shared" si="0"/>
        <v>0</v>
      </c>
      <c r="I19" s="15"/>
      <c r="J19" s="15">
        <f>BDBG!Q22/1000</f>
        <v>10.663870000000001</v>
      </c>
      <c r="K19" s="15">
        <f>BDBG!S22/1000</f>
        <v>0</v>
      </c>
      <c r="L19" s="15">
        <f>BDBG!Z22/1000</f>
        <v>10.663870000000001</v>
      </c>
      <c r="M19" s="15">
        <f t="shared" si="14"/>
        <v>10.663870000000001</v>
      </c>
      <c r="N19" s="15">
        <f t="shared" si="1"/>
        <v>0</v>
      </c>
      <c r="O19" s="15"/>
      <c r="P19" s="15">
        <f>BDBG!AD22/1000</f>
        <v>602.17100000000005</v>
      </c>
      <c r="Q19" s="15">
        <f>BDBG!AF22/1000</f>
        <v>0</v>
      </c>
      <c r="R19" s="15">
        <f>BDBG!AM22/1000</f>
        <v>602.17100000000005</v>
      </c>
      <c r="S19" s="15">
        <f t="shared" si="15"/>
        <v>602.17100000000005</v>
      </c>
      <c r="T19" s="15">
        <f t="shared" si="24"/>
        <v>0</v>
      </c>
      <c r="U19" s="11"/>
      <c r="V19" s="15">
        <f>BDBG!AQ22/1000</f>
        <v>0</v>
      </c>
      <c r="W19" s="15">
        <f>BDBG!AS22/1000</f>
        <v>0</v>
      </c>
      <c r="X19" s="15">
        <f>BDBG!AZ22/1000</f>
        <v>0</v>
      </c>
      <c r="Y19" s="15">
        <f t="shared" si="16"/>
        <v>0</v>
      </c>
      <c r="Z19" s="15">
        <f t="shared" si="3"/>
        <v>0</v>
      </c>
      <c r="AA19" s="11"/>
      <c r="AB19" s="15">
        <f>BDBG!BQ22/1000</f>
        <v>9222.8190500000001</v>
      </c>
      <c r="AC19" s="15">
        <f>BDBG!BQ22/1000</f>
        <v>9222.8190500000001</v>
      </c>
      <c r="AD19" s="15">
        <f>BDBG!BZ22/1000</f>
        <v>9200.9943000000003</v>
      </c>
      <c r="AE19" s="15">
        <f t="shared" si="25"/>
        <v>0</v>
      </c>
      <c r="AF19" s="15">
        <f t="shared" si="26"/>
        <v>21.824749999999767</v>
      </c>
      <c r="AG19" s="11"/>
      <c r="AH19" s="15">
        <f>BDBG!BD22/1000</f>
        <v>0</v>
      </c>
      <c r="AI19" s="15">
        <f>BDBG!BF22/1000</f>
        <v>0</v>
      </c>
      <c r="AJ19" s="15">
        <f>BDBG!BM22/1000</f>
        <v>0</v>
      </c>
      <c r="AK19" s="15">
        <f t="shared" si="17"/>
        <v>0</v>
      </c>
      <c r="AL19" s="15">
        <f t="shared" si="18"/>
        <v>0</v>
      </c>
      <c r="AM19" s="92" t="s">
        <v>62</v>
      </c>
      <c r="AN19" s="15">
        <f t="shared" si="19"/>
        <v>14372.792730000001</v>
      </c>
      <c r="AO19" s="15">
        <f t="shared" si="20"/>
        <v>9222.8190500000001</v>
      </c>
      <c r="AP19" s="15">
        <f t="shared" si="6"/>
        <v>14350.967980000001</v>
      </c>
      <c r="AQ19" s="15">
        <f t="shared" si="7"/>
        <v>5149.973680000001</v>
      </c>
      <c r="AR19" s="15">
        <f t="shared" si="8"/>
        <v>21.824749999999767</v>
      </c>
      <c r="AS19" s="92" t="s">
        <v>62</v>
      </c>
      <c r="AT19" s="15">
        <f t="shared" si="27"/>
        <v>4537.1388099999995</v>
      </c>
      <c r="AU19" s="15">
        <f t="shared" si="28"/>
        <v>10.663870000000001</v>
      </c>
      <c r="AV19" s="15">
        <f t="shared" si="21"/>
        <v>602.17100000000005</v>
      </c>
      <c r="AW19" s="15">
        <f t="shared" si="22"/>
        <v>0</v>
      </c>
      <c r="AX19" s="15">
        <f t="shared" si="29"/>
        <v>0</v>
      </c>
      <c r="AY19" s="15">
        <f t="shared" si="23"/>
        <v>9222.8190500000001</v>
      </c>
      <c r="AZ19" s="15">
        <f t="shared" si="30"/>
        <v>14372.792730000001</v>
      </c>
    </row>
    <row r="20" spans="3:52" hidden="1" x14ac:dyDescent="0.25">
      <c r="C20" s="93"/>
      <c r="D20" s="15">
        <f>BDBG!D23/1000</f>
        <v>232.60105999999999</v>
      </c>
      <c r="E20" s="15">
        <f>BDBG!F23/1000</f>
        <v>0</v>
      </c>
      <c r="F20" s="15">
        <f>BDBG!M23/1000</f>
        <v>232.60105999999999</v>
      </c>
      <c r="G20" s="15">
        <f t="shared" si="13"/>
        <v>232.60105999999999</v>
      </c>
      <c r="H20" s="15">
        <f t="shared" si="0"/>
        <v>0</v>
      </c>
      <c r="I20" s="15"/>
      <c r="J20" s="15">
        <f>BDBG!Q23/1000</f>
        <v>0</v>
      </c>
      <c r="K20" s="15">
        <f>BDBG!S23/1000</f>
        <v>0</v>
      </c>
      <c r="L20" s="15">
        <f>BDBG!Z23/1000</f>
        <v>0</v>
      </c>
      <c r="M20" s="15">
        <f t="shared" si="14"/>
        <v>0</v>
      </c>
      <c r="N20" s="15">
        <f t="shared" si="1"/>
        <v>0</v>
      </c>
      <c r="O20" s="15"/>
      <c r="P20" s="15">
        <f>BDBG!AD23/1000</f>
        <v>0</v>
      </c>
      <c r="Q20" s="15">
        <f>BDBG!AF23/1000</f>
        <v>0</v>
      </c>
      <c r="R20" s="15">
        <f>BDBG!AM23/1000</f>
        <v>0</v>
      </c>
      <c r="S20" s="15">
        <f t="shared" si="15"/>
        <v>0</v>
      </c>
      <c r="T20" s="15">
        <f t="shared" si="24"/>
        <v>0</v>
      </c>
      <c r="U20" s="11"/>
      <c r="V20" s="15">
        <f>BDBG!AQ23/1000</f>
        <v>0</v>
      </c>
      <c r="W20" s="15">
        <f>BDBG!AS23/1000</f>
        <v>0</v>
      </c>
      <c r="X20" s="15">
        <f>BDBG!AZ23/1000</f>
        <v>0</v>
      </c>
      <c r="Y20" s="15">
        <f t="shared" si="16"/>
        <v>0</v>
      </c>
      <c r="Z20" s="15">
        <f t="shared" si="3"/>
        <v>0</v>
      </c>
      <c r="AA20" s="11"/>
      <c r="AB20" s="15">
        <f>BDBG!BQ23/1000</f>
        <v>0</v>
      </c>
      <c r="AC20" s="15">
        <f>BDBG!BQ23/1000</f>
        <v>0</v>
      </c>
      <c r="AD20" s="15">
        <f>BDBG!BZ23/1000</f>
        <v>0</v>
      </c>
      <c r="AE20" s="15">
        <f t="shared" si="25"/>
        <v>0</v>
      </c>
      <c r="AF20" s="15">
        <f t="shared" si="26"/>
        <v>0</v>
      </c>
      <c r="AG20" s="11"/>
      <c r="AH20" s="15">
        <f>BDBG!BD23/1000</f>
        <v>0</v>
      </c>
      <c r="AI20" s="15">
        <f>BDBG!BF23/1000</f>
        <v>0</v>
      </c>
      <c r="AJ20" s="15">
        <f>BDBG!BM23/1000</f>
        <v>0</v>
      </c>
      <c r="AK20" s="15">
        <f t="shared" si="17"/>
        <v>0</v>
      </c>
      <c r="AL20" s="15">
        <f t="shared" si="18"/>
        <v>0</v>
      </c>
      <c r="AM20" s="93"/>
      <c r="AN20" s="15">
        <f t="shared" si="19"/>
        <v>232.60105999999999</v>
      </c>
      <c r="AO20" s="15">
        <f t="shared" si="20"/>
        <v>0</v>
      </c>
      <c r="AP20" s="15">
        <f t="shared" si="6"/>
        <v>232.60105999999999</v>
      </c>
      <c r="AQ20" s="15">
        <f t="shared" si="7"/>
        <v>232.60105999999999</v>
      </c>
      <c r="AR20" s="15">
        <f t="shared" si="8"/>
        <v>0</v>
      </c>
      <c r="AS20" s="93"/>
      <c r="AT20" s="15">
        <f t="shared" si="27"/>
        <v>232.60105999999999</v>
      </c>
      <c r="AU20" s="15">
        <f t="shared" si="28"/>
        <v>0</v>
      </c>
      <c r="AV20" s="15">
        <f t="shared" si="21"/>
        <v>0</v>
      </c>
      <c r="AW20" s="15">
        <f t="shared" si="22"/>
        <v>0</v>
      </c>
      <c r="AX20" s="15">
        <f t="shared" si="29"/>
        <v>0</v>
      </c>
      <c r="AY20" s="15">
        <f t="shared" si="23"/>
        <v>0</v>
      </c>
      <c r="AZ20" s="15">
        <f t="shared" si="30"/>
        <v>232.60105999999999</v>
      </c>
    </row>
    <row r="21" spans="3:52" x14ac:dyDescent="0.25">
      <c r="C21" s="92" t="s">
        <v>60</v>
      </c>
      <c r="D21" s="15">
        <f>BDBG!D24/1000</f>
        <v>0</v>
      </c>
      <c r="E21" s="15">
        <f>BDBG!F24/1000</f>
        <v>0</v>
      </c>
      <c r="F21" s="15">
        <f>BDBG!M24/1000</f>
        <v>0</v>
      </c>
      <c r="G21" s="15">
        <f t="shared" si="13"/>
        <v>0</v>
      </c>
      <c r="H21" s="15">
        <f t="shared" si="0"/>
        <v>0</v>
      </c>
      <c r="I21" s="15"/>
      <c r="J21" s="15">
        <f>BDBG!Q24/1000</f>
        <v>0</v>
      </c>
      <c r="K21" s="15">
        <f>BDBG!S24/1000</f>
        <v>0</v>
      </c>
      <c r="L21" s="15">
        <f>BDBG!Z24/1000</f>
        <v>0</v>
      </c>
      <c r="M21" s="15">
        <f t="shared" si="14"/>
        <v>0</v>
      </c>
      <c r="N21" s="15">
        <f t="shared" si="1"/>
        <v>0</v>
      </c>
      <c r="O21" s="15"/>
      <c r="P21" s="15">
        <f>BDBG!AD24/1000</f>
        <v>0</v>
      </c>
      <c r="Q21" s="15">
        <f>BDBG!AF24/1000</f>
        <v>0</v>
      </c>
      <c r="R21" s="15">
        <f>BDBG!AM24/1000</f>
        <v>0</v>
      </c>
      <c r="S21" s="15">
        <f t="shared" si="15"/>
        <v>0</v>
      </c>
      <c r="T21" s="15">
        <f t="shared" si="24"/>
        <v>0</v>
      </c>
      <c r="U21" s="11"/>
      <c r="V21" s="15">
        <f>BDBG!AQ24/1000</f>
        <v>0</v>
      </c>
      <c r="W21" s="15">
        <f>BDBG!AS24/1000</f>
        <v>0</v>
      </c>
      <c r="X21" s="15">
        <f>BDBG!AZ24/1000</f>
        <v>0</v>
      </c>
      <c r="Y21" s="15">
        <f t="shared" si="16"/>
        <v>0</v>
      </c>
      <c r="Z21" s="15">
        <f t="shared" si="3"/>
        <v>0</v>
      </c>
      <c r="AA21" s="11"/>
      <c r="AB21" s="15">
        <f>BDBG!BQ24/1000</f>
        <v>0</v>
      </c>
      <c r="AC21" s="15">
        <f>BDBG!BQ24/1000</f>
        <v>0</v>
      </c>
      <c r="AD21" s="15">
        <f>BDBG!BZ24/1000</f>
        <v>0</v>
      </c>
      <c r="AE21" s="15">
        <f t="shared" si="25"/>
        <v>0</v>
      </c>
      <c r="AF21" s="15">
        <f t="shared" si="26"/>
        <v>0</v>
      </c>
      <c r="AG21" s="11"/>
      <c r="AH21" s="15">
        <f>BDBG!BD24/1000</f>
        <v>0</v>
      </c>
      <c r="AI21" s="15">
        <f>BDBG!BF24/1000</f>
        <v>0</v>
      </c>
      <c r="AJ21" s="15">
        <f>BDBG!BM24/1000</f>
        <v>0</v>
      </c>
      <c r="AK21" s="15">
        <f t="shared" si="17"/>
        <v>0</v>
      </c>
      <c r="AL21" s="15">
        <f t="shared" si="18"/>
        <v>0</v>
      </c>
      <c r="AM21" s="92" t="s">
        <v>60</v>
      </c>
      <c r="AN21" s="15">
        <f t="shared" si="19"/>
        <v>0</v>
      </c>
      <c r="AO21" s="15">
        <f t="shared" si="20"/>
        <v>0</v>
      </c>
      <c r="AP21" s="15">
        <f t="shared" si="6"/>
        <v>0</v>
      </c>
      <c r="AQ21" s="15">
        <f t="shared" si="7"/>
        <v>0</v>
      </c>
      <c r="AR21" s="15">
        <f t="shared" si="8"/>
        <v>0</v>
      </c>
      <c r="AS21" s="92" t="s">
        <v>60</v>
      </c>
      <c r="AT21" s="15">
        <f t="shared" si="27"/>
        <v>0</v>
      </c>
      <c r="AU21" s="15">
        <f t="shared" si="28"/>
        <v>0</v>
      </c>
      <c r="AV21" s="15">
        <f t="shared" si="21"/>
        <v>0</v>
      </c>
      <c r="AW21" s="15">
        <f t="shared" si="22"/>
        <v>0</v>
      </c>
      <c r="AX21" s="15">
        <f t="shared" si="29"/>
        <v>0</v>
      </c>
      <c r="AY21" s="15">
        <f t="shared" si="23"/>
        <v>0</v>
      </c>
      <c r="AZ21" s="15">
        <f t="shared" si="30"/>
        <v>0</v>
      </c>
    </row>
    <row r="22" spans="3:52" x14ac:dyDescent="0.25">
      <c r="C22" s="92" t="s">
        <v>64</v>
      </c>
      <c r="D22" s="15">
        <f>BDBG!D25/1000</f>
        <v>0</v>
      </c>
      <c r="E22" s="15">
        <f>BDBG!F25/1000</f>
        <v>0</v>
      </c>
      <c r="F22" s="15">
        <f>BDBG!M25/1000</f>
        <v>0</v>
      </c>
      <c r="G22" s="15">
        <f t="shared" si="13"/>
        <v>0</v>
      </c>
      <c r="H22" s="15">
        <f t="shared" si="0"/>
        <v>0</v>
      </c>
      <c r="I22" s="15"/>
      <c r="J22" s="15">
        <f>BDBG!Q25/1000</f>
        <v>29.292450000000002</v>
      </c>
      <c r="K22" s="15">
        <f>BDBG!S25/1000</f>
        <v>0</v>
      </c>
      <c r="L22" s="15">
        <f>BDBG!Z25/1000</f>
        <v>29.292450000000002</v>
      </c>
      <c r="M22" s="15">
        <f t="shared" si="14"/>
        <v>29.292450000000002</v>
      </c>
      <c r="N22" s="15">
        <f t="shared" si="1"/>
        <v>0</v>
      </c>
      <c r="O22" s="15"/>
      <c r="P22" s="15">
        <f>BDBG!AD25/1000</f>
        <v>0</v>
      </c>
      <c r="Q22" s="15">
        <f>BDBG!AF25/1000</f>
        <v>0</v>
      </c>
      <c r="R22" s="15">
        <f>BDBG!AM25/1000</f>
        <v>0</v>
      </c>
      <c r="S22" s="15">
        <f t="shared" si="15"/>
        <v>0</v>
      </c>
      <c r="T22" s="15">
        <f t="shared" si="24"/>
        <v>0</v>
      </c>
      <c r="U22" s="11"/>
      <c r="V22" s="15">
        <f>BDBG!AQ25/1000</f>
        <v>0.99</v>
      </c>
      <c r="W22" s="15">
        <f>BDBG!AS25/1000</f>
        <v>0</v>
      </c>
      <c r="X22" s="15">
        <f>BDBG!AZ25/1000</f>
        <v>0</v>
      </c>
      <c r="Y22" s="15">
        <f t="shared" si="16"/>
        <v>0.99</v>
      </c>
      <c r="Z22" s="15">
        <f t="shared" si="3"/>
        <v>0.99</v>
      </c>
      <c r="AA22" s="11"/>
      <c r="AB22" s="15">
        <f>BDBG!BQ25/1000</f>
        <v>0</v>
      </c>
      <c r="AC22" s="15">
        <f>BDBG!BQ25/1000</f>
        <v>0</v>
      </c>
      <c r="AD22" s="15">
        <f>BDBG!BZ25/1000</f>
        <v>0</v>
      </c>
      <c r="AE22" s="15">
        <f t="shared" si="25"/>
        <v>0</v>
      </c>
      <c r="AF22" s="15">
        <f t="shared" si="26"/>
        <v>0</v>
      </c>
      <c r="AG22" s="11"/>
      <c r="AH22" s="15">
        <f>BDBG!BD25/1000</f>
        <v>26.859009999999998</v>
      </c>
      <c r="AI22" s="15">
        <f>BDBG!BF25/1000</f>
        <v>0</v>
      </c>
      <c r="AJ22" s="15">
        <f>BDBG!BM25/1000</f>
        <v>26.859009999999998</v>
      </c>
      <c r="AK22" s="15">
        <f t="shared" si="17"/>
        <v>26.859009999999998</v>
      </c>
      <c r="AL22" s="15">
        <f t="shared" si="18"/>
        <v>0</v>
      </c>
      <c r="AM22" s="92" t="s">
        <v>64</v>
      </c>
      <c r="AN22" s="15">
        <f t="shared" si="19"/>
        <v>57.141459999999995</v>
      </c>
      <c r="AO22" s="15">
        <f t="shared" si="20"/>
        <v>0</v>
      </c>
      <c r="AP22" s="15">
        <f t="shared" si="6"/>
        <v>56.15146</v>
      </c>
      <c r="AQ22" s="15">
        <f t="shared" si="7"/>
        <v>57.141459999999995</v>
      </c>
      <c r="AR22" s="15">
        <f t="shared" si="8"/>
        <v>0.98999999999999488</v>
      </c>
      <c r="AS22" s="92" t="s">
        <v>64</v>
      </c>
      <c r="AT22" s="15">
        <f t="shared" si="27"/>
        <v>0</v>
      </c>
      <c r="AU22" s="15">
        <f t="shared" si="28"/>
        <v>29.292450000000002</v>
      </c>
      <c r="AV22" s="15">
        <f t="shared" si="21"/>
        <v>0</v>
      </c>
      <c r="AW22" s="15">
        <f t="shared" si="22"/>
        <v>0.99</v>
      </c>
      <c r="AX22" s="15">
        <f t="shared" si="29"/>
        <v>26.859009999999998</v>
      </c>
      <c r="AY22" s="15">
        <f t="shared" si="23"/>
        <v>0</v>
      </c>
      <c r="AZ22" s="15">
        <f t="shared" si="30"/>
        <v>57.141459999999995</v>
      </c>
    </row>
    <row r="23" spans="3:52" x14ac:dyDescent="0.25">
      <c r="C23" s="92" t="s">
        <v>61</v>
      </c>
      <c r="D23" s="15">
        <f>BDBG!D26/1000</f>
        <v>3014.0403099999999</v>
      </c>
      <c r="E23" s="15">
        <f>BDBG!F26/1000</f>
        <v>0</v>
      </c>
      <c r="F23" s="15">
        <f>BDBG!M26/1000</f>
        <v>3011.8457000000003</v>
      </c>
      <c r="G23" s="15">
        <f t="shared" si="13"/>
        <v>3014.0403099999999</v>
      </c>
      <c r="H23" s="15">
        <f t="shared" si="0"/>
        <v>2.1946099999995567</v>
      </c>
      <c r="I23" s="15"/>
      <c r="J23" s="15">
        <f>BDBG!Q26/1000</f>
        <v>253.94703000000001</v>
      </c>
      <c r="K23" s="15">
        <f>BDBG!S26/1000</f>
        <v>0</v>
      </c>
      <c r="L23" s="15">
        <f>BDBG!Z26/1000</f>
        <v>253.94703000000001</v>
      </c>
      <c r="M23" s="15">
        <f t="shared" si="14"/>
        <v>253.94703000000001</v>
      </c>
      <c r="N23" s="15">
        <f t="shared" si="1"/>
        <v>0</v>
      </c>
      <c r="O23" s="15"/>
      <c r="P23" s="15">
        <f>BDBG!AD26/1000</f>
        <v>1298.84554</v>
      </c>
      <c r="Q23" s="15">
        <f>BDBG!AF26/1000</f>
        <v>0</v>
      </c>
      <c r="R23" s="15">
        <f>BDBG!AM26/1000</f>
        <v>1288.9691399999999</v>
      </c>
      <c r="S23" s="15">
        <f t="shared" si="15"/>
        <v>1298.84554</v>
      </c>
      <c r="T23" s="15">
        <f t="shared" si="24"/>
        <v>9.8764000000001033</v>
      </c>
      <c r="U23" s="11"/>
      <c r="V23" s="15">
        <f>BDBG!AQ26/1000</f>
        <v>487.34390999999999</v>
      </c>
      <c r="W23" s="15">
        <f>BDBG!AS26/1000</f>
        <v>0</v>
      </c>
      <c r="X23" s="15">
        <f>BDBG!AZ26/1000</f>
        <v>487.34390999999999</v>
      </c>
      <c r="Y23" s="15">
        <f t="shared" si="16"/>
        <v>487.34390999999999</v>
      </c>
      <c r="Z23" s="15">
        <f t="shared" si="3"/>
        <v>0</v>
      </c>
      <c r="AA23" s="11"/>
      <c r="AB23" s="15">
        <f>BDBG!BQ26/1000</f>
        <v>1921.68796</v>
      </c>
      <c r="AC23" s="15">
        <f>BDBG!BQ26/1000</f>
        <v>1921.68796</v>
      </c>
      <c r="AD23" s="15">
        <f>BDBG!BZ26/1000</f>
        <v>1921.68796</v>
      </c>
      <c r="AE23" s="15">
        <f t="shared" si="25"/>
        <v>0</v>
      </c>
      <c r="AF23" s="15">
        <f t="shared" si="26"/>
        <v>0</v>
      </c>
      <c r="AG23" s="11"/>
      <c r="AH23" s="15">
        <f>BDBG!BD26/1000</f>
        <v>439.26714000000004</v>
      </c>
      <c r="AI23" s="15">
        <f>BDBG!BF26/1000</f>
        <v>0</v>
      </c>
      <c r="AJ23" s="15">
        <f>BDBG!BM26/1000</f>
        <v>433.45884999999998</v>
      </c>
      <c r="AK23" s="15">
        <f t="shared" si="17"/>
        <v>439.26714000000004</v>
      </c>
      <c r="AL23" s="15">
        <f t="shared" si="18"/>
        <v>5.8082900000000564</v>
      </c>
      <c r="AM23" s="92" t="s">
        <v>61</v>
      </c>
      <c r="AN23" s="15">
        <f t="shared" si="19"/>
        <v>7415.1318899999997</v>
      </c>
      <c r="AO23" s="15">
        <f t="shared" si="20"/>
        <v>1921.68796</v>
      </c>
      <c r="AP23" s="15">
        <f t="shared" si="6"/>
        <v>7397.2525900000001</v>
      </c>
      <c r="AQ23" s="15">
        <f t="shared" si="7"/>
        <v>5493.4439299999995</v>
      </c>
      <c r="AR23" s="15">
        <f t="shared" si="8"/>
        <v>17.879299999999603</v>
      </c>
      <c r="AS23" s="92" t="s">
        <v>61</v>
      </c>
      <c r="AT23" s="15">
        <f t="shared" si="27"/>
        <v>3014.0403099999999</v>
      </c>
      <c r="AU23" s="15">
        <f t="shared" si="28"/>
        <v>253.94703000000001</v>
      </c>
      <c r="AV23" s="15">
        <f t="shared" si="21"/>
        <v>1298.84554</v>
      </c>
      <c r="AW23" s="15">
        <f t="shared" si="22"/>
        <v>487.34390999999999</v>
      </c>
      <c r="AX23" s="15">
        <f t="shared" si="29"/>
        <v>439.26714000000004</v>
      </c>
      <c r="AY23" s="15">
        <f t="shared" si="23"/>
        <v>1921.68796</v>
      </c>
      <c r="AZ23" s="15">
        <f t="shared" si="30"/>
        <v>7415.1318899999997</v>
      </c>
    </row>
    <row r="24" spans="3:52" x14ac:dyDescent="0.25">
      <c r="C24" s="92" t="s">
        <v>65</v>
      </c>
      <c r="D24" s="15">
        <f>BDBG!D27/1000</f>
        <v>2.25</v>
      </c>
      <c r="E24" s="15">
        <f>BDBG!F27/1000</f>
        <v>0</v>
      </c>
      <c r="F24" s="15">
        <f>BDBG!M27/1000</f>
        <v>2.25</v>
      </c>
      <c r="G24" s="15">
        <f t="shared" si="13"/>
        <v>2.25</v>
      </c>
      <c r="H24" s="15">
        <f t="shared" si="0"/>
        <v>0</v>
      </c>
      <c r="I24" s="15"/>
      <c r="J24" s="15">
        <f>BDBG!Q27/1000</f>
        <v>1</v>
      </c>
      <c r="K24" s="15">
        <f>BDBG!S27/1000</f>
        <v>0</v>
      </c>
      <c r="L24" s="15">
        <f>BDBG!Z27/1000</f>
        <v>1</v>
      </c>
      <c r="M24" s="15">
        <f t="shared" si="14"/>
        <v>1</v>
      </c>
      <c r="N24" s="15">
        <f t="shared" si="1"/>
        <v>0</v>
      </c>
      <c r="O24" s="15"/>
      <c r="P24" s="15">
        <f>BDBG!AD27/1000</f>
        <v>855.12599999999998</v>
      </c>
      <c r="Q24" s="15">
        <f>BDBG!AF27/1000</f>
        <v>0</v>
      </c>
      <c r="R24" s="15">
        <f>BDBG!AM27/1000</f>
        <v>855.12599999999998</v>
      </c>
      <c r="S24" s="15">
        <f t="shared" si="15"/>
        <v>855.12599999999998</v>
      </c>
      <c r="T24" s="15">
        <f t="shared" si="24"/>
        <v>0</v>
      </c>
      <c r="U24" s="11"/>
      <c r="V24" s="15">
        <f>BDBG!AQ27/1000</f>
        <v>100</v>
      </c>
      <c r="W24" s="15">
        <f>BDBG!AS27/1000</f>
        <v>0</v>
      </c>
      <c r="X24" s="15">
        <f>BDBG!AZ27/1000</f>
        <v>100</v>
      </c>
      <c r="Y24" s="15">
        <f t="shared" si="16"/>
        <v>100</v>
      </c>
      <c r="Z24" s="15">
        <f t="shared" si="3"/>
        <v>0</v>
      </c>
      <c r="AA24" s="11"/>
      <c r="AB24" s="15">
        <f>BDBG!BQ27/1000</f>
        <v>-4747.4129899999998</v>
      </c>
      <c r="AC24" s="15">
        <f>BDBG!BQ27/1000</f>
        <v>-4747.4129899999998</v>
      </c>
      <c r="AD24" s="15">
        <f>BDBG!BZ27/1000</f>
        <v>-4747.4129899999998</v>
      </c>
      <c r="AE24" s="15">
        <f t="shared" si="25"/>
        <v>0</v>
      </c>
      <c r="AF24" s="15">
        <f t="shared" si="26"/>
        <v>0</v>
      </c>
      <c r="AG24" s="11"/>
      <c r="AH24" s="15">
        <f>BDBG!BD27/1000</f>
        <v>366.49599999999998</v>
      </c>
      <c r="AI24" s="15">
        <f>BDBG!BF27/1000</f>
        <v>0</v>
      </c>
      <c r="AJ24" s="15">
        <f>BDBG!BM27/1000</f>
        <v>366.49599999999998</v>
      </c>
      <c r="AK24" s="15">
        <f t="shared" si="17"/>
        <v>366.49599999999998</v>
      </c>
      <c r="AL24" s="15">
        <f t="shared" si="18"/>
        <v>0</v>
      </c>
      <c r="AM24" s="92" t="s">
        <v>65</v>
      </c>
      <c r="AN24" s="15">
        <f t="shared" si="19"/>
        <v>-3422.54099</v>
      </c>
      <c r="AO24" s="15">
        <f t="shared" si="20"/>
        <v>-4747.4129899999998</v>
      </c>
      <c r="AP24" s="15">
        <f t="shared" si="6"/>
        <v>-3422.5409899999995</v>
      </c>
      <c r="AQ24" s="15">
        <f t="shared" si="7"/>
        <v>1324.8719999999998</v>
      </c>
      <c r="AR24" s="15">
        <f t="shared" si="8"/>
        <v>0</v>
      </c>
      <c r="AS24" s="92" t="s">
        <v>65</v>
      </c>
      <c r="AT24" s="15">
        <f t="shared" si="27"/>
        <v>2.25</v>
      </c>
      <c r="AU24" s="15">
        <f t="shared" si="28"/>
        <v>1</v>
      </c>
      <c r="AV24" s="15">
        <f t="shared" si="21"/>
        <v>855.12599999999998</v>
      </c>
      <c r="AW24" s="15">
        <f t="shared" si="22"/>
        <v>100</v>
      </c>
      <c r="AX24" s="15">
        <f t="shared" si="29"/>
        <v>366.49599999999998</v>
      </c>
      <c r="AY24" s="15">
        <f t="shared" si="23"/>
        <v>-4747.4129899999998</v>
      </c>
      <c r="AZ24" s="15">
        <f t="shared" si="30"/>
        <v>-3422.54099</v>
      </c>
    </row>
    <row r="25" spans="3:52" x14ac:dyDescent="0.25">
      <c r="C25" s="92" t="s">
        <v>66</v>
      </c>
      <c r="D25" s="15">
        <f>BDBG!D28/1000</f>
        <v>-4673.0059099999999</v>
      </c>
      <c r="E25" s="15">
        <f>BDBG!F28/1000</f>
        <v>0</v>
      </c>
      <c r="F25" s="15">
        <f>BDBG!M28/1000</f>
        <v>-4615.7773499999994</v>
      </c>
      <c r="G25" s="15">
        <f t="shared" si="13"/>
        <v>-4673.0059099999999</v>
      </c>
      <c r="H25" s="15">
        <f t="shared" si="0"/>
        <v>-57.228560000000471</v>
      </c>
      <c r="I25" s="15"/>
      <c r="J25" s="15">
        <f>BDBG!Q28/1000</f>
        <v>-376.66654</v>
      </c>
      <c r="K25" s="15">
        <f>BDBG!S28/1000</f>
        <v>0</v>
      </c>
      <c r="L25" s="15">
        <f>BDBG!Z28/1000</f>
        <v>-368.98687999999999</v>
      </c>
      <c r="M25" s="15">
        <f t="shared" si="14"/>
        <v>-376.66654</v>
      </c>
      <c r="N25" s="15">
        <f t="shared" si="1"/>
        <v>-7.6796600000000126</v>
      </c>
      <c r="O25" s="15"/>
      <c r="P25" s="15">
        <f>BDBG!AD28/1000</f>
        <v>-1192.5176000000001</v>
      </c>
      <c r="Q25" s="15">
        <f>BDBG!AF28/1000</f>
        <v>0</v>
      </c>
      <c r="R25" s="15">
        <f>BDBG!AM28/1000</f>
        <v>-1181.2370000000001</v>
      </c>
      <c r="S25" s="15">
        <f t="shared" si="15"/>
        <v>-1192.5176000000001</v>
      </c>
      <c r="T25" s="15">
        <f t="shared" si="24"/>
        <v>-11.280600000000049</v>
      </c>
      <c r="U25" s="11"/>
      <c r="V25" s="15">
        <f>BDBG!AQ28/1000</f>
        <v>-775.41759000000002</v>
      </c>
      <c r="W25" s="15">
        <f>BDBG!AS28/1000</f>
        <v>0</v>
      </c>
      <c r="X25" s="15">
        <f>BDBG!AZ28/1000</f>
        <v>-729.60974999999996</v>
      </c>
      <c r="Y25" s="15">
        <f t="shared" si="16"/>
        <v>-775.41759000000002</v>
      </c>
      <c r="Z25" s="15">
        <f t="shared" si="3"/>
        <v>-45.807840000000056</v>
      </c>
      <c r="AA25" s="11"/>
      <c r="AB25" s="15">
        <f>BDBG!BQ28/1000</f>
        <v>-4135.9334200000003</v>
      </c>
      <c r="AC25" s="15">
        <f>BDBG!BQ28/1000</f>
        <v>-4135.9334200000003</v>
      </c>
      <c r="AD25" s="15">
        <f>BDBG!BZ28/1000</f>
        <v>-4009.91896</v>
      </c>
      <c r="AE25" s="15">
        <f t="shared" si="25"/>
        <v>0</v>
      </c>
      <c r="AF25" s="15">
        <f t="shared" si="26"/>
        <v>-126.01446000000033</v>
      </c>
      <c r="AG25" s="11"/>
      <c r="AH25" s="15">
        <f>BDBG!BD28/1000</f>
        <v>-817.61487999999997</v>
      </c>
      <c r="AI25" s="15">
        <f>BDBG!BF28/1000</f>
        <v>0</v>
      </c>
      <c r="AJ25" s="15">
        <f>BDBG!BM28/1000</f>
        <v>-765.14787999999999</v>
      </c>
      <c r="AK25" s="15">
        <f t="shared" si="17"/>
        <v>-817.61487999999997</v>
      </c>
      <c r="AL25" s="15">
        <f t="shared" si="18"/>
        <v>-52.466999999999985</v>
      </c>
      <c r="AM25" s="92" t="s">
        <v>66</v>
      </c>
      <c r="AN25" s="15">
        <f t="shared" si="19"/>
        <v>-11971.155940000001</v>
      </c>
      <c r="AO25" s="18">
        <f t="shared" si="20"/>
        <v>-4135.9334200000003</v>
      </c>
      <c r="AP25" s="15">
        <f t="shared" si="6"/>
        <v>-11670.677820000001</v>
      </c>
      <c r="AQ25" s="15">
        <f t="shared" si="7"/>
        <v>-7835.2225200000003</v>
      </c>
      <c r="AR25" s="15">
        <f t="shared" si="8"/>
        <v>-300.47811999999976</v>
      </c>
      <c r="AS25" s="92" t="s">
        <v>66</v>
      </c>
      <c r="AT25" s="15">
        <f t="shared" si="27"/>
        <v>-4673.0059099999999</v>
      </c>
      <c r="AU25" s="15">
        <f t="shared" si="28"/>
        <v>-376.66654</v>
      </c>
      <c r="AV25" s="15">
        <f t="shared" si="21"/>
        <v>-1192.5176000000001</v>
      </c>
      <c r="AW25" s="15">
        <f t="shared" si="22"/>
        <v>-775.41759000000002</v>
      </c>
      <c r="AX25" s="15">
        <f t="shared" si="29"/>
        <v>-817.61487999999997</v>
      </c>
      <c r="AY25" s="15">
        <f t="shared" si="23"/>
        <v>-4135.9334200000003</v>
      </c>
      <c r="AZ25" s="15">
        <f t="shared" si="30"/>
        <v>-11971.155940000001</v>
      </c>
    </row>
    <row r="26" spans="3:52" ht="13" x14ac:dyDescent="0.3">
      <c r="C26" s="95" t="s">
        <v>67</v>
      </c>
      <c r="D26" s="16">
        <f>SUM(D18:D25)</f>
        <v>3465.5246099999986</v>
      </c>
      <c r="E26" s="16">
        <f>SUM(E18:E25)</f>
        <v>0</v>
      </c>
      <c r="F26" s="16">
        <f>SUM(F18:F25)</f>
        <v>3520.5585600000004</v>
      </c>
      <c r="G26" s="16">
        <f t="shared" si="13"/>
        <v>3465.5246099999986</v>
      </c>
      <c r="H26" s="16">
        <f t="shared" si="0"/>
        <v>-55.033950000001823</v>
      </c>
      <c r="I26" s="17"/>
      <c r="J26" s="16">
        <f>SUM(J18:J25)</f>
        <v>-81.763189999999952</v>
      </c>
      <c r="K26" s="16">
        <f>SUM(K18:K25)</f>
        <v>0</v>
      </c>
      <c r="L26" s="16">
        <f>SUM(L18:L25)</f>
        <v>-74.083529999999939</v>
      </c>
      <c r="M26" s="16">
        <f t="shared" si="14"/>
        <v>-81.763189999999952</v>
      </c>
      <c r="N26" s="16">
        <f t="shared" si="1"/>
        <v>-7.6796600000000126</v>
      </c>
      <c r="O26" s="17"/>
      <c r="P26" s="16">
        <f>SUM(P18:P25)</f>
        <v>1563.6249399999997</v>
      </c>
      <c r="Q26" s="16">
        <f>SUM(Q18:Q25)</f>
        <v>0</v>
      </c>
      <c r="R26" s="16">
        <f>SUM(R18:R25)</f>
        <v>1565.0291399999996</v>
      </c>
      <c r="S26" s="16">
        <f t="shared" si="15"/>
        <v>1563.6249399999997</v>
      </c>
      <c r="T26" s="16">
        <f t="shared" si="24"/>
        <v>-1.4041999999999462</v>
      </c>
      <c r="U26" s="41"/>
      <c r="V26" s="16">
        <f>SUM(V18:V25)</f>
        <v>-187.08367999999996</v>
      </c>
      <c r="W26" s="16">
        <f>SUM(W18:W25)</f>
        <v>0</v>
      </c>
      <c r="X26" s="16">
        <f>SUM(X18:X25)</f>
        <v>-142.26583999999991</v>
      </c>
      <c r="Y26" s="16">
        <f t="shared" si="16"/>
        <v>-187.08367999999996</v>
      </c>
      <c r="Z26" s="16">
        <f t="shared" si="3"/>
        <v>-44.817840000000047</v>
      </c>
      <c r="AA26" s="41"/>
      <c r="AB26" s="16">
        <f>BDBG!BQ29/1000</f>
        <v>8779.0709100000004</v>
      </c>
      <c r="AC26" s="16">
        <f>BDBG!BQ29/1000</f>
        <v>8779.0709100000004</v>
      </c>
      <c r="AD26" s="16">
        <f>BDBG!BZ29/1000</f>
        <v>8883.2606199999991</v>
      </c>
      <c r="AE26" s="16">
        <f t="shared" si="25"/>
        <v>0</v>
      </c>
      <c r="AF26" s="16">
        <f t="shared" si="26"/>
        <v>-104.18970999999874</v>
      </c>
      <c r="AG26" s="41"/>
      <c r="AH26" s="16">
        <f>SUM(AH18:AH25)</f>
        <v>15.007270000000062</v>
      </c>
      <c r="AI26" s="16">
        <f>SUM(AI18:AI25)</f>
        <v>0</v>
      </c>
      <c r="AJ26" s="16">
        <f>SUM(AJ18:AJ25)</f>
        <v>61.66597999999999</v>
      </c>
      <c r="AK26" s="16">
        <f t="shared" si="17"/>
        <v>15.007270000000062</v>
      </c>
      <c r="AL26" s="16">
        <f t="shared" si="18"/>
        <v>-46.658709999999928</v>
      </c>
      <c r="AM26" s="95" t="s">
        <v>67</v>
      </c>
      <c r="AN26" s="16">
        <f t="shared" si="19"/>
        <v>13554.380859999999</v>
      </c>
      <c r="AO26" s="17">
        <f t="shared" si="20"/>
        <v>8779.0709100000004</v>
      </c>
      <c r="AP26" s="16">
        <f t="shared" si="6"/>
        <v>13814.164929999999</v>
      </c>
      <c r="AQ26" s="16">
        <f t="shared" si="7"/>
        <v>4775.3099499999989</v>
      </c>
      <c r="AR26" s="16">
        <f t="shared" si="8"/>
        <v>-259.7840699999997</v>
      </c>
      <c r="AS26" s="95" t="s">
        <v>67</v>
      </c>
      <c r="AT26" s="16">
        <f t="shared" si="27"/>
        <v>3465.5246099999986</v>
      </c>
      <c r="AU26" s="16">
        <f t="shared" si="28"/>
        <v>-81.763189999999952</v>
      </c>
      <c r="AV26" s="16">
        <f t="shared" si="21"/>
        <v>1563.6249399999997</v>
      </c>
      <c r="AW26" s="16">
        <f t="shared" si="22"/>
        <v>-187.08367999999996</v>
      </c>
      <c r="AX26" s="16">
        <f t="shared" si="29"/>
        <v>15.007270000000062</v>
      </c>
      <c r="AY26" s="16">
        <f t="shared" si="23"/>
        <v>8779.0709100000004</v>
      </c>
      <c r="AZ26" s="16">
        <f t="shared" si="30"/>
        <v>13554.380859999999</v>
      </c>
    </row>
    <row r="27" spans="3:52" ht="13" x14ac:dyDescent="0.3">
      <c r="C27" s="94" t="s">
        <v>103</v>
      </c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1"/>
      <c r="V27" s="15"/>
      <c r="W27" s="15"/>
      <c r="X27" s="15"/>
      <c r="Y27" s="15"/>
      <c r="Z27" s="15"/>
      <c r="AA27" s="11"/>
      <c r="AB27" s="15"/>
      <c r="AC27" s="15"/>
      <c r="AD27" s="15"/>
      <c r="AE27" s="15"/>
      <c r="AF27" s="15"/>
      <c r="AG27" s="11"/>
      <c r="AH27" s="15"/>
      <c r="AI27" s="15"/>
      <c r="AJ27" s="15"/>
      <c r="AK27" s="15">
        <f t="shared" si="17"/>
        <v>0</v>
      </c>
      <c r="AL27" s="15">
        <f t="shared" si="18"/>
        <v>0</v>
      </c>
      <c r="AM27" s="94" t="s">
        <v>103</v>
      </c>
      <c r="AN27" s="15">
        <f t="shared" si="19"/>
        <v>0</v>
      </c>
      <c r="AO27" s="15">
        <f t="shared" si="20"/>
        <v>0</v>
      </c>
      <c r="AP27" s="15">
        <f t="shared" si="6"/>
        <v>0</v>
      </c>
      <c r="AQ27" s="15">
        <f t="shared" si="7"/>
        <v>0</v>
      </c>
      <c r="AR27" s="15">
        <f t="shared" si="8"/>
        <v>0</v>
      </c>
      <c r="AS27" s="94" t="s">
        <v>103</v>
      </c>
      <c r="AT27" s="15"/>
      <c r="AU27" s="15"/>
      <c r="AV27" s="15"/>
      <c r="AW27" s="15"/>
      <c r="AX27" s="15"/>
      <c r="AY27" s="15"/>
      <c r="AZ27" s="15"/>
    </row>
    <row r="28" spans="3:52" x14ac:dyDescent="0.25">
      <c r="C28" s="92" t="s">
        <v>68</v>
      </c>
      <c r="D28" s="15">
        <f>BDBG!D31/1000</f>
        <v>471.62353999999999</v>
      </c>
      <c r="E28" s="15">
        <f>BDBG!F31/1000</f>
        <v>0</v>
      </c>
      <c r="F28" s="15">
        <f>BDBG!M31/1000</f>
        <v>471.62353999999999</v>
      </c>
      <c r="G28" s="15">
        <f t="shared" si="13"/>
        <v>471.62353999999999</v>
      </c>
      <c r="H28" s="15">
        <f t="shared" si="0"/>
        <v>0</v>
      </c>
      <c r="I28" s="15"/>
      <c r="J28" s="15">
        <f>BDBG!Q31/1000</f>
        <v>97</v>
      </c>
      <c r="K28" s="15">
        <f>BDBG!S31/1000</f>
        <v>0</v>
      </c>
      <c r="L28" s="15">
        <f>BDBG!Z31/1000</f>
        <v>97</v>
      </c>
      <c r="M28" s="15">
        <f t="shared" si="14"/>
        <v>97</v>
      </c>
      <c r="N28" s="15">
        <f t="shared" si="1"/>
        <v>0</v>
      </c>
      <c r="O28" s="15"/>
      <c r="P28" s="15">
        <f>BDBG!AD31/1000</f>
        <v>194.98400000000001</v>
      </c>
      <c r="Q28" s="15">
        <f>BDBG!AF31/1000</f>
        <v>0</v>
      </c>
      <c r="R28" s="15">
        <f>BDBG!AM31/1000</f>
        <v>194.98400000000001</v>
      </c>
      <c r="S28" s="15">
        <f t="shared" si="15"/>
        <v>194.98400000000001</v>
      </c>
      <c r="T28" s="15">
        <f>P28-R28</f>
        <v>0</v>
      </c>
      <c r="U28" s="11"/>
      <c r="V28" s="15">
        <f>BDBG!AQ31/1000</f>
        <v>36.21</v>
      </c>
      <c r="W28" s="15">
        <f>BDBG!AS31/1000</f>
        <v>0</v>
      </c>
      <c r="X28" s="15">
        <f>BDBG!AZ31/1000</f>
        <v>36.21</v>
      </c>
      <c r="Y28" s="15">
        <f t="shared" si="16"/>
        <v>36.21</v>
      </c>
      <c r="Z28" s="15">
        <f t="shared" si="3"/>
        <v>0</v>
      </c>
      <c r="AA28" s="11"/>
      <c r="AB28" s="15">
        <f>BDBG!BQ31/1000</f>
        <v>0</v>
      </c>
      <c r="AC28" s="15">
        <f>BDBG!BQ31/1000</f>
        <v>0</v>
      </c>
      <c r="AD28" s="15">
        <f>BDBG!BZ31/1000</f>
        <v>0</v>
      </c>
      <c r="AE28" s="15">
        <f>AB28-AC28</f>
        <v>0</v>
      </c>
      <c r="AF28" s="15">
        <f>AB28-AD28</f>
        <v>0</v>
      </c>
      <c r="AG28" s="11"/>
      <c r="AH28" s="15">
        <f>BDBG!BD31/1000</f>
        <v>0</v>
      </c>
      <c r="AI28" s="15">
        <f>BDBG!BF31/1000</f>
        <v>0</v>
      </c>
      <c r="AJ28" s="15">
        <f>BDBG!BM31/1000</f>
        <v>0</v>
      </c>
      <c r="AK28" s="15">
        <f t="shared" si="17"/>
        <v>0</v>
      </c>
      <c r="AL28" s="15">
        <f t="shared" si="18"/>
        <v>0</v>
      </c>
      <c r="AM28" s="92" t="s">
        <v>68</v>
      </c>
      <c r="AN28" s="15">
        <f t="shared" si="19"/>
        <v>799.81754000000012</v>
      </c>
      <c r="AO28" s="81">
        <f t="shared" si="20"/>
        <v>0</v>
      </c>
      <c r="AP28" s="15">
        <f t="shared" si="6"/>
        <v>799.81754000000012</v>
      </c>
      <c r="AQ28" s="15">
        <f t="shared" si="7"/>
        <v>799.81754000000012</v>
      </c>
      <c r="AR28" s="15">
        <f t="shared" si="8"/>
        <v>0</v>
      </c>
      <c r="AS28" s="92" t="s">
        <v>68</v>
      </c>
      <c r="AT28" s="15">
        <f>D28</f>
        <v>471.62353999999999</v>
      </c>
      <c r="AU28" s="15">
        <f>+J28</f>
        <v>97</v>
      </c>
      <c r="AV28" s="15">
        <f t="shared" si="21"/>
        <v>194.98400000000001</v>
      </c>
      <c r="AW28" s="15">
        <f t="shared" si="22"/>
        <v>36.21</v>
      </c>
      <c r="AX28" s="15">
        <f>AH28</f>
        <v>0</v>
      </c>
      <c r="AY28" s="15">
        <f t="shared" si="23"/>
        <v>0</v>
      </c>
      <c r="AZ28" s="15">
        <f>SUM(AT28:AY28)</f>
        <v>799.81754000000012</v>
      </c>
    </row>
    <row r="29" spans="3:52" x14ac:dyDescent="0.25">
      <c r="C29" s="92" t="s">
        <v>69</v>
      </c>
      <c r="D29" s="15">
        <f>BDBG!D32/1000</f>
        <v>-2598.9450299999999</v>
      </c>
      <c r="E29" s="15">
        <f>BDBG!F32/1000</f>
        <v>0</v>
      </c>
      <c r="F29" s="15">
        <f>BDBG!M32/1000</f>
        <v>4034.68705</v>
      </c>
      <c r="G29" s="15">
        <f t="shared" si="13"/>
        <v>-2598.9450299999999</v>
      </c>
      <c r="H29" s="15">
        <f t="shared" si="0"/>
        <v>-6633.6320799999994</v>
      </c>
      <c r="I29" s="15"/>
      <c r="J29" s="15">
        <f>BDBG!Q32/1000</f>
        <v>557.78519999999992</v>
      </c>
      <c r="K29" s="15">
        <f>BDBG!S32/1000</f>
        <v>0</v>
      </c>
      <c r="L29" s="15">
        <f>BDBG!Z32/1000</f>
        <v>508.91424000000001</v>
      </c>
      <c r="M29" s="15">
        <f t="shared" si="14"/>
        <v>557.78519999999992</v>
      </c>
      <c r="N29" s="15">
        <f t="shared" si="1"/>
        <v>48.870959999999911</v>
      </c>
      <c r="O29" s="15"/>
      <c r="P29" s="15">
        <f>BDBG!AD32/1000</f>
        <v>2680.7574100000002</v>
      </c>
      <c r="Q29" s="15">
        <f>BDBG!AF32/1000</f>
        <v>0</v>
      </c>
      <c r="R29" s="15">
        <f>BDBG!AM32/1000</f>
        <v>2595.9313700000002</v>
      </c>
      <c r="S29" s="15">
        <f t="shared" si="15"/>
        <v>2680.7574100000002</v>
      </c>
      <c r="T29" s="15">
        <f>P29-R29</f>
        <v>84.826039999999921</v>
      </c>
      <c r="U29" s="11"/>
      <c r="V29" s="15">
        <f>BDBG!AQ32/1000</f>
        <v>364.42975999999999</v>
      </c>
      <c r="W29" s="15">
        <f>BDBG!AS32/1000</f>
        <v>0</v>
      </c>
      <c r="X29" s="15">
        <f>BDBG!AZ32/1000</f>
        <v>364.42964000000001</v>
      </c>
      <c r="Y29" s="15">
        <f t="shared" si="16"/>
        <v>364.42975999999999</v>
      </c>
      <c r="Z29" s="15">
        <f t="shared" si="3"/>
        <v>1.1999999998124622E-4</v>
      </c>
      <c r="AA29" s="11"/>
      <c r="AB29" s="15">
        <f>BDBG!BQ32/1000</f>
        <v>0</v>
      </c>
      <c r="AC29" s="15">
        <f>BDBG!BQ32/1000</f>
        <v>0</v>
      </c>
      <c r="AD29" s="15">
        <f>BDBG!BZ32/1000</f>
        <v>0</v>
      </c>
      <c r="AE29" s="15">
        <f>AB29-AC29</f>
        <v>0</v>
      </c>
      <c r="AF29" s="15">
        <f>AB29-AD29</f>
        <v>0</v>
      </c>
      <c r="AG29" s="11"/>
      <c r="AH29" s="15">
        <f>BDBG!BD32/1000</f>
        <v>449.54825</v>
      </c>
      <c r="AI29" s="15">
        <f>BDBG!BF32/1000</f>
        <v>0</v>
      </c>
      <c r="AJ29" s="15">
        <f>BDBG!BM32/1000</f>
        <v>449.54825</v>
      </c>
      <c r="AK29" s="15">
        <f t="shared" si="17"/>
        <v>449.54825</v>
      </c>
      <c r="AL29" s="15">
        <f t="shared" si="18"/>
        <v>0</v>
      </c>
      <c r="AM29" s="92" t="s">
        <v>69</v>
      </c>
      <c r="AN29" s="15">
        <f t="shared" si="19"/>
        <v>1453.5755900000001</v>
      </c>
      <c r="AO29" s="81">
        <f t="shared" si="20"/>
        <v>0</v>
      </c>
      <c r="AP29" s="15">
        <f t="shared" si="6"/>
        <v>7953.51055</v>
      </c>
      <c r="AQ29" s="15">
        <f t="shared" si="7"/>
        <v>1453.5755900000001</v>
      </c>
      <c r="AR29" s="15">
        <f t="shared" si="8"/>
        <v>-6499.9349599999996</v>
      </c>
      <c r="AS29" s="92" t="s">
        <v>69</v>
      </c>
      <c r="AT29" s="15">
        <f>D29</f>
        <v>-2598.9450299999999</v>
      </c>
      <c r="AU29" s="15">
        <f>+J29</f>
        <v>557.78519999999992</v>
      </c>
      <c r="AV29" s="15">
        <f t="shared" si="21"/>
        <v>2680.7574100000002</v>
      </c>
      <c r="AW29" s="15">
        <f t="shared" si="22"/>
        <v>364.42975999999999</v>
      </c>
      <c r="AX29" s="15">
        <f>AH29</f>
        <v>449.54825</v>
      </c>
      <c r="AY29" s="15">
        <f t="shared" si="23"/>
        <v>0</v>
      </c>
      <c r="AZ29" s="15">
        <f>SUM(AT29:AY29)</f>
        <v>1453.5755900000001</v>
      </c>
    </row>
    <row r="30" spans="3:52" x14ac:dyDescent="0.25">
      <c r="C30" s="92" t="s">
        <v>70</v>
      </c>
      <c r="D30" s="18">
        <f>BDBG!D33/1000</f>
        <v>-1706.2331899999999</v>
      </c>
      <c r="E30" s="18">
        <f>BDBG!F33/1000</f>
        <v>0</v>
      </c>
      <c r="F30" s="18">
        <f>BDBG!M33/1000</f>
        <v>-1701.93255</v>
      </c>
      <c r="G30" s="18">
        <f t="shared" si="13"/>
        <v>-1706.2331899999999</v>
      </c>
      <c r="H30" s="18">
        <f t="shared" si="0"/>
        <v>-4.3006399999999303</v>
      </c>
      <c r="I30" s="15"/>
      <c r="J30" s="18">
        <f>BDBG!Q33/1000</f>
        <v>-77.75694</v>
      </c>
      <c r="K30" s="18">
        <f>BDBG!S33/1000</f>
        <v>0</v>
      </c>
      <c r="L30" s="18">
        <f>BDBG!Z33/1000</f>
        <v>-75.012960000000007</v>
      </c>
      <c r="M30" s="18">
        <f t="shared" si="14"/>
        <v>-77.75694</v>
      </c>
      <c r="N30" s="18">
        <f t="shared" si="1"/>
        <v>-2.7439799999999934</v>
      </c>
      <c r="O30" s="15"/>
      <c r="P30" s="18">
        <f>BDBG!AD33/1000</f>
        <v>-703.79327999999998</v>
      </c>
      <c r="Q30" s="18">
        <f>BDBG!AF33/1000</f>
        <v>0</v>
      </c>
      <c r="R30" s="18">
        <f>BDBG!AM33/1000</f>
        <v>-697.79352000000006</v>
      </c>
      <c r="S30" s="18">
        <f t="shared" si="15"/>
        <v>-703.79327999999998</v>
      </c>
      <c r="T30" s="18">
        <f>P30-R30</f>
        <v>-5.9997599999999238</v>
      </c>
      <c r="U30" s="11"/>
      <c r="V30" s="18">
        <f>BDBG!AQ33/1000</f>
        <v>-74.014529999999993</v>
      </c>
      <c r="W30" s="18">
        <f>BDBG!AS33/1000</f>
        <v>0</v>
      </c>
      <c r="X30" s="18">
        <f>BDBG!AZ33/1000</f>
        <v>-64.371690000000001</v>
      </c>
      <c r="Y30" s="18">
        <f t="shared" si="16"/>
        <v>-74.014529999999993</v>
      </c>
      <c r="Z30" s="18">
        <f t="shared" si="3"/>
        <v>-9.6428399999999925</v>
      </c>
      <c r="AA30" s="11"/>
      <c r="AB30" s="18">
        <f>BDBG!BQ33/1000</f>
        <v>-61.303800000000003</v>
      </c>
      <c r="AC30" s="18">
        <f>BDBG!BQ33/1000</f>
        <v>-61.303800000000003</v>
      </c>
      <c r="AD30" s="18">
        <f>BDBG!BZ33/1000</f>
        <v>-61.303800000000003</v>
      </c>
      <c r="AE30" s="18">
        <f>AB30-AC30</f>
        <v>0</v>
      </c>
      <c r="AF30" s="18">
        <f>AB30-AD30</f>
        <v>0</v>
      </c>
      <c r="AG30" s="11"/>
      <c r="AH30" s="18">
        <f>BDBG!BD33/1000</f>
        <v>-360.60912999999999</v>
      </c>
      <c r="AI30" s="18">
        <f>BDBG!BF33/1000</f>
        <v>0</v>
      </c>
      <c r="AJ30" s="18">
        <f>BDBG!BM33/1000</f>
        <v>-343.94256999999999</v>
      </c>
      <c r="AK30" s="18">
        <f t="shared" si="17"/>
        <v>-360.60912999999999</v>
      </c>
      <c r="AL30" s="18">
        <f t="shared" si="18"/>
        <v>-16.666560000000004</v>
      </c>
      <c r="AM30" s="92" t="s">
        <v>70</v>
      </c>
      <c r="AN30" s="18">
        <f t="shared" si="19"/>
        <v>-2983.7108699999999</v>
      </c>
      <c r="AO30" s="82">
        <f t="shared" si="20"/>
        <v>-61.303800000000003</v>
      </c>
      <c r="AP30" s="18">
        <f t="shared" si="6"/>
        <v>-2944.3570900000004</v>
      </c>
      <c r="AQ30" s="18">
        <f t="shared" si="7"/>
        <v>-2922.4070699999997</v>
      </c>
      <c r="AR30" s="18">
        <f t="shared" si="8"/>
        <v>-39.35377999999946</v>
      </c>
      <c r="AS30" s="92" t="s">
        <v>70</v>
      </c>
      <c r="AT30" s="18">
        <f>D30</f>
        <v>-1706.2331899999999</v>
      </c>
      <c r="AU30" s="18">
        <f>+J30</f>
        <v>-77.75694</v>
      </c>
      <c r="AV30" s="18">
        <f t="shared" si="21"/>
        <v>-703.79327999999998</v>
      </c>
      <c r="AW30" s="18">
        <f t="shared" si="22"/>
        <v>-74.014529999999993</v>
      </c>
      <c r="AX30" s="18">
        <f>AH30</f>
        <v>-360.60912999999999</v>
      </c>
      <c r="AY30" s="18">
        <f t="shared" si="23"/>
        <v>-61.303800000000003</v>
      </c>
      <c r="AZ30" s="18">
        <f>SUM(AT30:AY30)</f>
        <v>-2983.7108699999999</v>
      </c>
    </row>
    <row r="31" spans="3:52" ht="13" x14ac:dyDescent="0.3">
      <c r="C31" s="95" t="s">
        <v>71</v>
      </c>
      <c r="D31" s="17">
        <f>SUM(D28:D30)</f>
        <v>-3833.5546799999997</v>
      </c>
      <c r="E31" s="17">
        <f>SUM(E28:E30)</f>
        <v>0</v>
      </c>
      <c r="F31" s="17">
        <f>SUM(F28:F30)</f>
        <v>2804.3780400000001</v>
      </c>
      <c r="G31" s="17">
        <f t="shared" si="13"/>
        <v>-3833.5546799999997</v>
      </c>
      <c r="H31" s="17">
        <f t="shared" si="0"/>
        <v>-6637.9327199999998</v>
      </c>
      <c r="I31" s="17"/>
      <c r="J31" s="17">
        <f>SUM(J28:J30)</f>
        <v>577.02825999999993</v>
      </c>
      <c r="K31" s="17">
        <f>SUM(K28:K30)</f>
        <v>0</v>
      </c>
      <c r="L31" s="17">
        <f>SUM(L28:L30)</f>
        <v>530.90128000000004</v>
      </c>
      <c r="M31" s="17">
        <f t="shared" si="14"/>
        <v>577.02825999999993</v>
      </c>
      <c r="N31" s="17">
        <f t="shared" si="1"/>
        <v>46.12697999999989</v>
      </c>
      <c r="O31" s="17"/>
      <c r="P31" s="17">
        <f>SUM(P28:P30)</f>
        <v>2171.9481300000002</v>
      </c>
      <c r="Q31" s="17">
        <f>SUM(Q28:Q30)</f>
        <v>0</v>
      </c>
      <c r="R31" s="17">
        <f>SUM(R28:R30)</f>
        <v>2093.12185</v>
      </c>
      <c r="S31" s="17">
        <f t="shared" si="15"/>
        <v>2171.9481300000002</v>
      </c>
      <c r="T31" s="17">
        <f>P31-R31</f>
        <v>78.826280000000224</v>
      </c>
      <c r="U31" s="41"/>
      <c r="V31" s="17">
        <f>SUM(V28:V30)</f>
        <v>326.62522999999999</v>
      </c>
      <c r="W31" s="17">
        <f>SUM(W28:W30)</f>
        <v>0</v>
      </c>
      <c r="X31" s="17">
        <f>SUM(X28:X30)</f>
        <v>336.26794999999998</v>
      </c>
      <c r="Y31" s="17">
        <f t="shared" si="16"/>
        <v>326.62522999999999</v>
      </c>
      <c r="Z31" s="17">
        <f t="shared" si="3"/>
        <v>-9.6427199999999971</v>
      </c>
      <c r="AA31" s="41"/>
      <c r="AB31" s="17">
        <f>BDBG!BQ34/1000</f>
        <v>-61.303800000000003</v>
      </c>
      <c r="AC31" s="17">
        <f>BDBG!BQ34/1000</f>
        <v>-61.303800000000003</v>
      </c>
      <c r="AD31" s="17">
        <f>BDBG!BZ34/1000</f>
        <v>-61.303800000000003</v>
      </c>
      <c r="AE31" s="17">
        <f>AB31-AC31</f>
        <v>0</v>
      </c>
      <c r="AF31" s="17">
        <f>AB31-AD31</f>
        <v>0</v>
      </c>
      <c r="AG31" s="41"/>
      <c r="AH31" s="17">
        <f>SUM(AH28:AH30)</f>
        <v>88.939120000000003</v>
      </c>
      <c r="AI31" s="17">
        <f>SUM(AI28:AI30)</f>
        <v>0</v>
      </c>
      <c r="AJ31" s="17">
        <f>SUM(AJ28:AJ30)</f>
        <v>105.60568000000001</v>
      </c>
      <c r="AK31" s="17">
        <f t="shared" si="17"/>
        <v>88.939120000000003</v>
      </c>
      <c r="AL31" s="17">
        <f t="shared" si="18"/>
        <v>-16.666560000000004</v>
      </c>
      <c r="AM31" s="95" t="s">
        <v>71</v>
      </c>
      <c r="AN31" s="17">
        <f t="shared" si="19"/>
        <v>-730.3177399999995</v>
      </c>
      <c r="AO31" s="17">
        <f t="shared" si="20"/>
        <v>-61.303800000000003</v>
      </c>
      <c r="AP31" s="17">
        <f t="shared" si="6"/>
        <v>5808.9710000000005</v>
      </c>
      <c r="AQ31" s="17">
        <f t="shared" si="7"/>
        <v>-669.01393999999948</v>
      </c>
      <c r="AR31" s="17">
        <f t="shared" si="8"/>
        <v>-6539.28874</v>
      </c>
      <c r="AS31" s="95" t="s">
        <v>71</v>
      </c>
      <c r="AT31" s="17">
        <f>D31</f>
        <v>-3833.5546799999997</v>
      </c>
      <c r="AU31" s="17">
        <f>+J31</f>
        <v>577.02825999999993</v>
      </c>
      <c r="AV31" s="17">
        <f t="shared" si="21"/>
        <v>2171.9481300000002</v>
      </c>
      <c r="AW31" s="17">
        <f t="shared" si="22"/>
        <v>326.62522999999999</v>
      </c>
      <c r="AX31" s="17">
        <f>AH31</f>
        <v>88.939120000000003</v>
      </c>
      <c r="AY31" s="17">
        <f t="shared" si="23"/>
        <v>-61.303800000000003</v>
      </c>
      <c r="AZ31" s="17">
        <f>SUM(AT31:AY31)</f>
        <v>-730.3177399999995</v>
      </c>
    </row>
    <row r="32" spans="3:52" ht="13" x14ac:dyDescent="0.3">
      <c r="C32" s="95" t="s">
        <v>104</v>
      </c>
      <c r="D32" s="15">
        <f>D34</f>
        <v>64.811800000000005</v>
      </c>
      <c r="E32" s="15">
        <f>E34</f>
        <v>0</v>
      </c>
      <c r="F32" s="15">
        <f>F34</f>
        <v>86.741900000000001</v>
      </c>
      <c r="G32" s="15"/>
      <c r="H32" s="15"/>
      <c r="I32" s="15"/>
      <c r="J32" s="15">
        <f>J34</f>
        <v>23.247520000000002</v>
      </c>
      <c r="K32" s="15">
        <f>K34</f>
        <v>0</v>
      </c>
      <c r="L32" s="15">
        <f>L34</f>
        <v>23.247520000000002</v>
      </c>
      <c r="M32" s="15"/>
      <c r="N32" s="15"/>
      <c r="O32" s="15"/>
      <c r="P32" s="15">
        <f>P34</f>
        <v>27.89734</v>
      </c>
      <c r="Q32" s="15">
        <f>Q34</f>
        <v>0</v>
      </c>
      <c r="R32" s="15">
        <f>R34</f>
        <v>27.89734</v>
      </c>
      <c r="S32" s="15"/>
      <c r="T32" s="15"/>
      <c r="U32" s="11"/>
      <c r="V32" s="15">
        <f>V34</f>
        <v>36.012999999999998</v>
      </c>
      <c r="W32" s="15">
        <f>W34</f>
        <v>0</v>
      </c>
      <c r="X32" s="15">
        <f>X34</f>
        <v>36.012999999999998</v>
      </c>
      <c r="Y32" s="15"/>
      <c r="Z32" s="15"/>
      <c r="AA32" s="11"/>
      <c r="AB32" s="15">
        <f>BDBG!BQ35/1000</f>
        <v>0</v>
      </c>
      <c r="AC32" s="15">
        <f>BDBG!BQ35/1000</f>
        <v>0</v>
      </c>
      <c r="AD32" s="15">
        <f>BDBG!BZ35/1000</f>
        <v>0</v>
      </c>
      <c r="AE32" s="15"/>
      <c r="AF32" s="15"/>
      <c r="AG32" s="11"/>
      <c r="AH32" s="15">
        <f>AH34</f>
        <v>23.66667</v>
      </c>
      <c r="AI32" s="15">
        <f>AI34</f>
        <v>0</v>
      </c>
      <c r="AJ32" s="15">
        <f>AJ34</f>
        <v>23.66667</v>
      </c>
      <c r="AK32" s="15">
        <f t="shared" si="17"/>
        <v>23.66667</v>
      </c>
      <c r="AL32" s="15">
        <f t="shared" si="18"/>
        <v>0</v>
      </c>
      <c r="AM32" s="95" t="s">
        <v>104</v>
      </c>
      <c r="AN32" s="15">
        <f>D32+J32+P32+V32+AB32+AH32</f>
        <v>175.63633000000002</v>
      </c>
      <c r="AO32" s="15">
        <f t="shared" si="20"/>
        <v>0</v>
      </c>
      <c r="AP32" s="15">
        <f>F32+L32+R32+X32+AD32+AJ32</f>
        <v>197.56643</v>
      </c>
      <c r="AQ32" s="15">
        <f t="shared" si="7"/>
        <v>175.63633000000002</v>
      </c>
      <c r="AR32" s="15">
        <f t="shared" si="8"/>
        <v>-21.930099999999982</v>
      </c>
      <c r="AS32" s="95" t="s">
        <v>104</v>
      </c>
      <c r="AT32" s="15"/>
      <c r="AU32" s="15"/>
      <c r="AV32" s="15"/>
      <c r="AW32" s="15"/>
      <c r="AX32" s="15"/>
      <c r="AY32" s="15"/>
      <c r="AZ32" s="15"/>
    </row>
    <row r="33" spans="3:52" hidden="1" x14ac:dyDescent="0.25">
      <c r="C33" s="96"/>
      <c r="D33" s="15">
        <f>BDBG!D36/1000</f>
        <v>64.811800000000005</v>
      </c>
      <c r="E33" s="15">
        <f>BDBG!F36/1000</f>
        <v>0</v>
      </c>
      <c r="F33" s="15">
        <f>BDBG!M36/1000</f>
        <v>86.741900000000001</v>
      </c>
      <c r="G33" s="15">
        <f t="shared" si="13"/>
        <v>64.811800000000005</v>
      </c>
      <c r="H33" s="15">
        <f t="shared" si="0"/>
        <v>-21.930099999999996</v>
      </c>
      <c r="I33" s="15"/>
      <c r="J33" s="15">
        <f>BDBG!Q36/1000</f>
        <v>23.247520000000002</v>
      </c>
      <c r="K33" s="15">
        <f>BDBG!S36/1000</f>
        <v>0</v>
      </c>
      <c r="L33" s="15">
        <f>BDBG!Z36/1000</f>
        <v>23.247520000000002</v>
      </c>
      <c r="M33" s="15">
        <f t="shared" si="14"/>
        <v>23.247520000000002</v>
      </c>
      <c r="N33" s="15">
        <f t="shared" si="1"/>
        <v>0</v>
      </c>
      <c r="O33" s="15"/>
      <c r="P33" s="15">
        <f>BDBG!AD36/1000</f>
        <v>27.89734</v>
      </c>
      <c r="Q33" s="15">
        <f>BDBG!AF36/1000</f>
        <v>0</v>
      </c>
      <c r="R33" s="15">
        <f>BDBG!AM36/1000</f>
        <v>27.89734</v>
      </c>
      <c r="S33" s="15">
        <f t="shared" si="15"/>
        <v>27.89734</v>
      </c>
      <c r="T33" s="15">
        <f>P33-R33</f>
        <v>0</v>
      </c>
      <c r="U33" s="11"/>
      <c r="V33" s="15">
        <f>BDBG!AQ36/1000</f>
        <v>36.012999999999998</v>
      </c>
      <c r="W33" s="15">
        <f>BDBG!AS36/1000</f>
        <v>0</v>
      </c>
      <c r="X33" s="15">
        <f>BDBG!AZ36/1000</f>
        <v>36.012999999999998</v>
      </c>
      <c r="Y33" s="15">
        <f t="shared" si="16"/>
        <v>36.012999999999998</v>
      </c>
      <c r="Z33" s="15">
        <f t="shared" si="3"/>
        <v>0</v>
      </c>
      <c r="AA33" s="11"/>
      <c r="AB33" s="15">
        <f>BDBG!BQ36/1000</f>
        <v>10</v>
      </c>
      <c r="AC33" s="15">
        <f>BDBG!BQ36/1000</f>
        <v>10</v>
      </c>
      <c r="AD33" s="15">
        <f>BDBG!BZ36/1000</f>
        <v>10</v>
      </c>
      <c r="AE33" s="15">
        <f>AB33-AC33</f>
        <v>0</v>
      </c>
      <c r="AF33" s="15">
        <f>AB33-AD33</f>
        <v>0</v>
      </c>
      <c r="AG33" s="11"/>
      <c r="AH33" s="15">
        <f>BDBG!BD36/1000</f>
        <v>23.66667</v>
      </c>
      <c r="AI33" s="15">
        <f>BDBG!BF36/1000</f>
        <v>0</v>
      </c>
      <c r="AJ33" s="15">
        <f>BDBG!BM36/1000</f>
        <v>23.66667</v>
      </c>
      <c r="AK33" s="15">
        <f t="shared" si="17"/>
        <v>23.66667</v>
      </c>
      <c r="AL33" s="15">
        <f t="shared" si="18"/>
        <v>0</v>
      </c>
      <c r="AM33" s="96"/>
      <c r="AN33" s="15">
        <f t="shared" si="19"/>
        <v>185.63633000000002</v>
      </c>
      <c r="AO33" s="15">
        <f t="shared" si="20"/>
        <v>10</v>
      </c>
      <c r="AP33" s="15">
        <f t="shared" si="6"/>
        <v>207.56643</v>
      </c>
      <c r="AQ33" s="15">
        <f t="shared" si="7"/>
        <v>175.63633000000002</v>
      </c>
      <c r="AR33" s="15">
        <f t="shared" si="8"/>
        <v>-21.930099999999982</v>
      </c>
      <c r="AS33" s="96"/>
      <c r="AT33" s="15">
        <f>D33</f>
        <v>64.811800000000005</v>
      </c>
      <c r="AU33" s="15">
        <f>+J33</f>
        <v>23.247520000000002</v>
      </c>
      <c r="AV33" s="15">
        <f t="shared" si="21"/>
        <v>27.89734</v>
      </c>
      <c r="AW33" s="15">
        <f t="shared" si="22"/>
        <v>36.012999999999998</v>
      </c>
      <c r="AX33" s="15">
        <f>AH33</f>
        <v>23.66667</v>
      </c>
      <c r="AY33" s="15">
        <f t="shared" si="23"/>
        <v>10</v>
      </c>
      <c r="AZ33" s="15">
        <f>SUM(AT33:AY33)</f>
        <v>185.63633000000002</v>
      </c>
    </row>
    <row r="34" spans="3:52" ht="13" x14ac:dyDescent="0.3">
      <c r="C34" s="97" t="s">
        <v>105</v>
      </c>
      <c r="D34" s="16">
        <f>BDBG!D37/1000</f>
        <v>64.811800000000005</v>
      </c>
      <c r="E34" s="16">
        <f>BDBG!F37/1000</f>
        <v>0</v>
      </c>
      <c r="F34" s="16">
        <f>BDBG!M37/1000</f>
        <v>86.741900000000001</v>
      </c>
      <c r="G34" s="16">
        <f t="shared" si="13"/>
        <v>64.811800000000005</v>
      </c>
      <c r="H34" s="16">
        <f t="shared" si="0"/>
        <v>-21.930099999999996</v>
      </c>
      <c r="I34" s="17"/>
      <c r="J34" s="16">
        <f>BDBG!Q37/1000</f>
        <v>23.247520000000002</v>
      </c>
      <c r="K34" s="16">
        <f>BDBG!S37/1000</f>
        <v>0</v>
      </c>
      <c r="L34" s="16">
        <f>BDBG!Z37/1000</f>
        <v>23.247520000000002</v>
      </c>
      <c r="M34" s="16">
        <f t="shared" si="14"/>
        <v>23.247520000000002</v>
      </c>
      <c r="N34" s="16">
        <f t="shared" si="1"/>
        <v>0</v>
      </c>
      <c r="O34" s="17"/>
      <c r="P34" s="16">
        <f>BDBG!AD37/1000</f>
        <v>27.89734</v>
      </c>
      <c r="Q34" s="16">
        <f>BDBG!AF37/1000</f>
        <v>0</v>
      </c>
      <c r="R34" s="16">
        <f>BDBG!AM37/1000</f>
        <v>27.89734</v>
      </c>
      <c r="S34" s="16">
        <f t="shared" si="15"/>
        <v>27.89734</v>
      </c>
      <c r="T34" s="16">
        <f>P34-R34</f>
        <v>0</v>
      </c>
      <c r="U34" s="41"/>
      <c r="V34" s="16">
        <f>BDBG!AQ37/1000</f>
        <v>36.012999999999998</v>
      </c>
      <c r="W34" s="16">
        <f>BDBG!AS37/1000</f>
        <v>0</v>
      </c>
      <c r="X34" s="16">
        <f>BDBG!AZ37/1000</f>
        <v>36.012999999999998</v>
      </c>
      <c r="Y34" s="16">
        <f t="shared" si="16"/>
        <v>36.012999999999998</v>
      </c>
      <c r="Z34" s="16">
        <f t="shared" si="3"/>
        <v>0</v>
      </c>
      <c r="AA34" s="41"/>
      <c r="AB34" s="16">
        <f>BDBG!BQ37/1000</f>
        <v>10</v>
      </c>
      <c r="AC34" s="16">
        <f>BDBG!BQ37/1000</f>
        <v>10</v>
      </c>
      <c r="AD34" s="16">
        <f>BDBG!BZ37/1000</f>
        <v>10</v>
      </c>
      <c r="AE34" s="16">
        <f>AB34-AC34</f>
        <v>0</v>
      </c>
      <c r="AF34" s="16">
        <f>AB34-AD34</f>
        <v>0</v>
      </c>
      <c r="AG34" s="41"/>
      <c r="AH34" s="16">
        <f>BDBG!BD37/1000</f>
        <v>23.66667</v>
      </c>
      <c r="AI34" s="16">
        <f>BDBG!BF37/1000</f>
        <v>0</v>
      </c>
      <c r="AJ34" s="16">
        <f>BDBG!BM37/1000</f>
        <v>23.66667</v>
      </c>
      <c r="AK34" s="16">
        <f t="shared" si="17"/>
        <v>23.66667</v>
      </c>
      <c r="AL34" s="16">
        <f t="shared" si="18"/>
        <v>0</v>
      </c>
      <c r="AM34" s="97" t="s">
        <v>105</v>
      </c>
      <c r="AN34" s="16">
        <f t="shared" si="19"/>
        <v>185.63633000000002</v>
      </c>
      <c r="AO34" s="16">
        <f t="shared" si="20"/>
        <v>10</v>
      </c>
      <c r="AP34" s="16">
        <f t="shared" si="6"/>
        <v>207.56643</v>
      </c>
      <c r="AQ34" s="16">
        <f t="shared" si="7"/>
        <v>175.63633000000002</v>
      </c>
      <c r="AR34" s="16">
        <f t="shared" si="8"/>
        <v>-21.930099999999982</v>
      </c>
      <c r="AS34" s="97" t="s">
        <v>105</v>
      </c>
      <c r="AT34" s="16">
        <f>D34</f>
        <v>64.811800000000005</v>
      </c>
      <c r="AU34" s="16">
        <f>+J34</f>
        <v>23.247520000000002</v>
      </c>
      <c r="AV34" s="16">
        <f t="shared" si="21"/>
        <v>27.89734</v>
      </c>
      <c r="AW34" s="16">
        <f t="shared" si="22"/>
        <v>36.012999999999998</v>
      </c>
      <c r="AX34" s="16">
        <f>AH34</f>
        <v>23.66667</v>
      </c>
      <c r="AY34" s="16">
        <f t="shared" si="23"/>
        <v>10</v>
      </c>
      <c r="AZ34" s="16">
        <f>SUM(AT34:AY34)</f>
        <v>185.63633000000002</v>
      </c>
    </row>
    <row r="35" spans="3:52" ht="13" x14ac:dyDescent="0.3">
      <c r="C35" s="98" t="s">
        <v>72</v>
      </c>
      <c r="D35" s="19">
        <f>+D16+D26+D34+D31</f>
        <v>561.30516999999918</v>
      </c>
      <c r="E35" s="19">
        <f>+E16+E26+E34+E31</f>
        <v>0</v>
      </c>
      <c r="F35" s="19">
        <f>+F16+F26+F34+F31</f>
        <v>7027.8492900000001</v>
      </c>
      <c r="G35" s="19">
        <f t="shared" si="13"/>
        <v>561.30516999999918</v>
      </c>
      <c r="H35" s="19">
        <f t="shared" si="0"/>
        <v>-6466.5441200000005</v>
      </c>
      <c r="I35" s="17"/>
      <c r="J35" s="19">
        <f>+J16+J26+J34+J31</f>
        <v>590.21782999999994</v>
      </c>
      <c r="K35" s="19">
        <f>+K16+K26+K34+K31</f>
        <v>0</v>
      </c>
      <c r="L35" s="19">
        <f>+L16+L26+L34+L31</f>
        <v>585.64304000000004</v>
      </c>
      <c r="M35" s="19">
        <f t="shared" si="14"/>
        <v>590.21782999999994</v>
      </c>
      <c r="N35" s="19">
        <f t="shared" si="1"/>
        <v>4.5747899999998936</v>
      </c>
      <c r="O35" s="17"/>
      <c r="P35" s="19">
        <f>+P16+P26+P34+P31</f>
        <v>3871.4754699999999</v>
      </c>
      <c r="Q35" s="19">
        <f>+Q16+Q26+Q34+Q31</f>
        <v>0</v>
      </c>
      <c r="R35" s="19">
        <f>+R16+R26+R34+R31</f>
        <v>3715.3197499999997</v>
      </c>
      <c r="S35" s="19">
        <f t="shared" si="15"/>
        <v>3871.4754699999999</v>
      </c>
      <c r="T35" s="19">
        <f>P35-R35</f>
        <v>156.1557200000002</v>
      </c>
      <c r="U35" s="41"/>
      <c r="V35" s="19">
        <f>+V16+V26+V34+V31</f>
        <v>393.27865000000003</v>
      </c>
      <c r="W35" s="19">
        <f>+W16+W26+W34+W31</f>
        <v>0</v>
      </c>
      <c r="X35" s="19">
        <f>+X16+X26+X34+X31</f>
        <v>404.91194000000007</v>
      </c>
      <c r="Y35" s="19">
        <f t="shared" si="16"/>
        <v>393.27865000000003</v>
      </c>
      <c r="Z35" s="19">
        <f t="shared" si="3"/>
        <v>-11.633290000000045</v>
      </c>
      <c r="AA35" s="41"/>
      <c r="AB35" s="19">
        <f>+AB16+AB26+AB34+AB31</f>
        <v>11399.34641</v>
      </c>
      <c r="AC35" s="19">
        <f>+AC16+AC26+AC34+AC31</f>
        <v>11399.34641</v>
      </c>
      <c r="AD35" s="19">
        <f>+AD16+AD26+AD34+AD31</f>
        <v>11464.370489999999</v>
      </c>
      <c r="AE35" s="19">
        <f>AB35-AC35</f>
        <v>0</v>
      </c>
      <c r="AF35" s="19">
        <f>AB35-AD35</f>
        <v>-65.02407999999923</v>
      </c>
      <c r="AG35" s="41"/>
      <c r="AH35" s="19">
        <f>+AH16+AH26+AH34+AH31</f>
        <v>348.52323000000007</v>
      </c>
      <c r="AI35" s="19">
        <f>+AI16+AI26+AI34+AI31</f>
        <v>0</v>
      </c>
      <c r="AJ35" s="19">
        <f>+AJ16+AJ26+AJ34+AJ31</f>
        <v>389.91705999999994</v>
      </c>
      <c r="AK35" s="19">
        <f t="shared" si="17"/>
        <v>348.52323000000007</v>
      </c>
      <c r="AL35" s="19">
        <f t="shared" si="18"/>
        <v>-41.393829999999866</v>
      </c>
      <c r="AM35" s="98" t="s">
        <v>72</v>
      </c>
      <c r="AN35" s="19">
        <f>+AN16+AN26+AN34+AN31</f>
        <v>17164.146760000003</v>
      </c>
      <c r="AO35" s="19">
        <f>+AO16+AO26+AO34+AO31</f>
        <v>11399.34641</v>
      </c>
      <c r="AP35" s="19">
        <f>+AP16+AP26+AP34+AP31</f>
        <v>23588.011569999999</v>
      </c>
      <c r="AQ35" s="19">
        <f>+AQ16+AQ26+AQ34+AQ31</f>
        <v>5764.8003499999995</v>
      </c>
      <c r="AR35" s="19">
        <f t="shared" si="8"/>
        <v>-6423.8648099999955</v>
      </c>
      <c r="AS35" s="98" t="s">
        <v>72</v>
      </c>
      <c r="AT35" s="19">
        <f>D35</f>
        <v>561.30516999999918</v>
      </c>
      <c r="AU35" s="19">
        <f>+J35</f>
        <v>590.21782999999994</v>
      </c>
      <c r="AV35" s="19">
        <f t="shared" si="21"/>
        <v>3871.4754699999999</v>
      </c>
      <c r="AW35" s="19">
        <f t="shared" si="22"/>
        <v>393.27865000000003</v>
      </c>
      <c r="AX35" s="19">
        <f>AH35</f>
        <v>348.52323000000007</v>
      </c>
      <c r="AY35" s="19">
        <f t="shared" si="23"/>
        <v>11399.34641</v>
      </c>
      <c r="AZ35" s="19">
        <f>SUM(AT35:AY35)</f>
        <v>17164.14676</v>
      </c>
    </row>
    <row r="36" spans="3:52" ht="13" x14ac:dyDescent="0.3">
      <c r="C36" s="91" t="s">
        <v>110</v>
      </c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1"/>
      <c r="V36" s="15"/>
      <c r="W36" s="15"/>
      <c r="X36" s="15"/>
      <c r="Y36" s="15"/>
      <c r="Z36" s="15"/>
      <c r="AA36" s="11"/>
      <c r="AB36" s="15"/>
      <c r="AC36" s="15"/>
      <c r="AD36" s="15"/>
      <c r="AE36" s="15"/>
      <c r="AF36" s="15"/>
      <c r="AG36" s="11"/>
      <c r="AH36" s="15"/>
      <c r="AI36" s="15"/>
      <c r="AJ36" s="15"/>
      <c r="AK36" s="15">
        <f t="shared" si="17"/>
        <v>0</v>
      </c>
      <c r="AL36" s="15">
        <f t="shared" si="18"/>
        <v>0</v>
      </c>
      <c r="AM36" s="91" t="s">
        <v>110</v>
      </c>
      <c r="AN36" s="15"/>
      <c r="AO36" s="15"/>
      <c r="AP36" s="15"/>
      <c r="AQ36" s="15"/>
      <c r="AR36" s="15"/>
      <c r="AS36" s="91" t="s">
        <v>110</v>
      </c>
      <c r="AT36" s="15"/>
      <c r="AU36" s="15"/>
      <c r="AV36" s="15"/>
      <c r="AW36" s="15"/>
      <c r="AX36" s="15"/>
      <c r="AY36" s="15"/>
      <c r="AZ36" s="15"/>
    </row>
    <row r="37" spans="3:52" x14ac:dyDescent="0.25">
      <c r="C37" s="92" t="s">
        <v>73</v>
      </c>
      <c r="D37" s="15">
        <f>BDBG!D40/1000</f>
        <v>0</v>
      </c>
      <c r="E37" s="15">
        <f>BDBG!F40/1000</f>
        <v>0</v>
      </c>
      <c r="F37" s="15">
        <f>BDBG!M40/1000</f>
        <v>348.02562</v>
      </c>
      <c r="G37" s="15">
        <f t="shared" si="13"/>
        <v>0</v>
      </c>
      <c r="H37" s="15">
        <f t="shared" si="0"/>
        <v>-348.02562</v>
      </c>
      <c r="I37" s="15"/>
      <c r="J37" s="15">
        <f>BDBG!Q40/1000</f>
        <v>11.001530000000001</v>
      </c>
      <c r="K37" s="15">
        <f>BDBG!S40/1000</f>
        <v>0</v>
      </c>
      <c r="L37" s="15">
        <f>BDBG!Z40/1000</f>
        <v>46.71067</v>
      </c>
      <c r="M37" s="15">
        <f t="shared" si="14"/>
        <v>11.001530000000001</v>
      </c>
      <c r="N37" s="15">
        <f t="shared" si="1"/>
        <v>-35.709139999999998</v>
      </c>
      <c r="O37" s="15"/>
      <c r="P37" s="15">
        <f>BDBG!AD40/1000</f>
        <v>51.145290000000003</v>
      </c>
      <c r="Q37" s="15">
        <f>BDBG!AF40/1000</f>
        <v>0</v>
      </c>
      <c r="R37" s="15">
        <f>BDBG!AM40/1000</f>
        <v>82.027029999999996</v>
      </c>
      <c r="S37" s="15">
        <f t="shared" si="15"/>
        <v>51.145290000000003</v>
      </c>
      <c r="T37" s="15">
        <f t="shared" ref="T37:T42" si="31">P37-R37</f>
        <v>-30.881739999999994</v>
      </c>
      <c r="U37" s="11"/>
      <c r="V37" s="15">
        <f>BDBG!AQ40/1000</f>
        <v>20.235109999999999</v>
      </c>
      <c r="W37" s="15">
        <f>BDBG!AS40/1000</f>
        <v>0</v>
      </c>
      <c r="X37" s="15">
        <f>BDBG!AZ40/1000</f>
        <v>19.271090000000001</v>
      </c>
      <c r="Y37" s="15">
        <f t="shared" si="16"/>
        <v>20.235109999999999</v>
      </c>
      <c r="Z37" s="15">
        <f t="shared" si="3"/>
        <v>0.96401999999999788</v>
      </c>
      <c r="AA37" s="11"/>
      <c r="AB37" s="15">
        <f>BDBG!BQ40/1000</f>
        <v>48.210540000000002</v>
      </c>
      <c r="AC37" s="15">
        <f>BDBG!BQ40/1000</f>
        <v>48.210540000000002</v>
      </c>
      <c r="AD37" s="15">
        <f>BDBG!BZ40/1000</f>
        <v>36.92</v>
      </c>
      <c r="AE37" s="15">
        <f t="shared" ref="AE37:AE42" si="32">AB37-AC37</f>
        <v>0</v>
      </c>
      <c r="AF37" s="15">
        <f t="shared" ref="AF37:AF42" si="33">AB37-AD37</f>
        <v>11.29054</v>
      </c>
      <c r="AG37" s="11"/>
      <c r="AH37" s="15">
        <f>BDBG!BD40/1000</f>
        <v>7.2973100000000004</v>
      </c>
      <c r="AI37" s="15">
        <f>BDBG!BF40/1000</f>
        <v>0</v>
      </c>
      <c r="AJ37" s="15">
        <f>BDBG!BM40/1000</f>
        <v>15.96481</v>
      </c>
      <c r="AK37" s="15">
        <f t="shared" si="17"/>
        <v>7.2973100000000004</v>
      </c>
      <c r="AL37" s="15">
        <f t="shared" si="18"/>
        <v>-8.6675000000000004</v>
      </c>
      <c r="AM37" s="92" t="s">
        <v>73</v>
      </c>
      <c r="AN37" s="15">
        <f t="shared" si="19"/>
        <v>137.88978</v>
      </c>
      <c r="AO37" s="15">
        <f t="shared" si="20"/>
        <v>48.210540000000002</v>
      </c>
      <c r="AP37" s="15">
        <f t="shared" si="6"/>
        <v>548.91922</v>
      </c>
      <c r="AQ37" s="15">
        <f t="shared" si="7"/>
        <v>89.679239999999993</v>
      </c>
      <c r="AR37" s="15">
        <f t="shared" si="8"/>
        <v>-411.02944000000002</v>
      </c>
      <c r="AS37" s="92" t="s">
        <v>73</v>
      </c>
      <c r="AT37" s="15">
        <f>D37</f>
        <v>0</v>
      </c>
      <c r="AU37" s="15">
        <f>+J37</f>
        <v>11.001530000000001</v>
      </c>
      <c r="AV37" s="15">
        <f t="shared" si="21"/>
        <v>51.145290000000003</v>
      </c>
      <c r="AW37" s="15">
        <f t="shared" si="22"/>
        <v>20.235109999999999</v>
      </c>
      <c r="AX37" s="15">
        <f>AH37</f>
        <v>7.2973100000000004</v>
      </c>
      <c r="AY37" s="15">
        <f t="shared" si="23"/>
        <v>48.210540000000002</v>
      </c>
      <c r="AZ37" s="15">
        <f>SUM(AT37:AY37)</f>
        <v>137.88978</v>
      </c>
    </row>
    <row r="38" spans="3:52" x14ac:dyDescent="0.25">
      <c r="C38" s="92" t="s">
        <v>74</v>
      </c>
      <c r="D38" s="15">
        <f>BDBG!D41/1000</f>
        <v>87.029070000000004</v>
      </c>
      <c r="E38" s="15">
        <f>BDBG!F41/1000</f>
        <v>0</v>
      </c>
      <c r="F38" s="15">
        <f>BDBG!M41/1000</f>
        <v>381.22128000000004</v>
      </c>
      <c r="G38" s="15">
        <f t="shared" si="13"/>
        <v>87.029070000000004</v>
      </c>
      <c r="H38" s="15">
        <f t="shared" si="0"/>
        <v>-294.19221000000005</v>
      </c>
      <c r="I38" s="15"/>
      <c r="J38" s="15">
        <f>BDBG!Q41/1000</f>
        <v>40.068249999999999</v>
      </c>
      <c r="K38" s="15">
        <f>BDBG!S41/1000</f>
        <v>0</v>
      </c>
      <c r="L38" s="15">
        <f>BDBG!Z41/1000</f>
        <v>65.680329999999998</v>
      </c>
      <c r="M38" s="15">
        <f t="shared" si="14"/>
        <v>40.068249999999999</v>
      </c>
      <c r="N38" s="15">
        <f t="shared" si="1"/>
        <v>-25.612079999999999</v>
      </c>
      <c r="O38" s="15"/>
      <c r="P38" s="15">
        <f>BDBG!AD41/1000</f>
        <v>0.26083000000000001</v>
      </c>
      <c r="Q38" s="15">
        <f>BDBG!AF41/1000</f>
        <v>0</v>
      </c>
      <c r="R38" s="15">
        <f>BDBG!AM41/1000</f>
        <v>0.26083000000000001</v>
      </c>
      <c r="S38" s="15">
        <f t="shared" si="15"/>
        <v>0.26083000000000001</v>
      </c>
      <c r="T38" s="15">
        <f t="shared" si="31"/>
        <v>0</v>
      </c>
      <c r="U38" s="11"/>
      <c r="V38" s="15">
        <f>BDBG!AQ41/1000</f>
        <v>29.861939999999997</v>
      </c>
      <c r="W38" s="15">
        <f>BDBG!AS41/1000</f>
        <v>0</v>
      </c>
      <c r="X38" s="15">
        <f>BDBG!AZ41/1000</f>
        <v>42.685410000000005</v>
      </c>
      <c r="Y38" s="15">
        <f t="shared" si="16"/>
        <v>29.861939999999997</v>
      </c>
      <c r="Z38" s="15">
        <f t="shared" si="3"/>
        <v>-12.823470000000007</v>
      </c>
      <c r="AA38" s="11"/>
      <c r="AB38" s="15">
        <f>BDBG!BQ41/1000</f>
        <v>18.72972</v>
      </c>
      <c r="AC38" s="15">
        <f>BDBG!BQ41/1000</f>
        <v>18.72972</v>
      </c>
      <c r="AD38" s="15">
        <f>BDBG!BZ41/1000</f>
        <v>0</v>
      </c>
      <c r="AE38" s="15">
        <f t="shared" si="32"/>
        <v>0</v>
      </c>
      <c r="AF38" s="15">
        <f t="shared" si="33"/>
        <v>18.72972</v>
      </c>
      <c r="AG38" s="11"/>
      <c r="AH38" s="15">
        <f>BDBG!BD41/1000</f>
        <v>2.3622199999999998</v>
      </c>
      <c r="AI38" s="15">
        <f>BDBG!BF41/1000</f>
        <v>0</v>
      </c>
      <c r="AJ38" s="15">
        <f>BDBG!BM41/1000</f>
        <v>12.84413</v>
      </c>
      <c r="AK38" s="15">
        <f t="shared" si="17"/>
        <v>2.3622199999999998</v>
      </c>
      <c r="AL38" s="15">
        <f t="shared" si="18"/>
        <v>-10.481909999999999</v>
      </c>
      <c r="AM38" s="92" t="s">
        <v>74</v>
      </c>
      <c r="AN38" s="15">
        <f t="shared" si="19"/>
        <v>178.31202999999999</v>
      </c>
      <c r="AO38" s="15">
        <f t="shared" si="20"/>
        <v>18.72972</v>
      </c>
      <c r="AP38" s="15">
        <f t="shared" si="6"/>
        <v>502.69198</v>
      </c>
      <c r="AQ38" s="15">
        <f t="shared" si="7"/>
        <v>159.58231000000001</v>
      </c>
      <c r="AR38" s="15">
        <f t="shared" si="8"/>
        <v>-324.37995000000001</v>
      </c>
      <c r="AS38" s="92" t="s">
        <v>74</v>
      </c>
      <c r="AT38" s="15">
        <f>D38</f>
        <v>87.029070000000004</v>
      </c>
      <c r="AU38" s="15">
        <f>+J38</f>
        <v>40.068249999999999</v>
      </c>
      <c r="AV38" s="15">
        <f t="shared" si="21"/>
        <v>0.26083000000000001</v>
      </c>
      <c r="AW38" s="15">
        <f t="shared" si="22"/>
        <v>29.861939999999997</v>
      </c>
      <c r="AX38" s="15">
        <f>AH38</f>
        <v>2.3622199999999998</v>
      </c>
      <c r="AY38" s="15">
        <f t="shared" si="23"/>
        <v>18.72972</v>
      </c>
      <c r="AZ38" s="15">
        <f>SUM(AT38:AY38)</f>
        <v>178.31202999999999</v>
      </c>
    </row>
    <row r="39" spans="3:52" x14ac:dyDescent="0.25">
      <c r="C39" s="93" t="s">
        <v>106</v>
      </c>
      <c r="D39" s="15">
        <f>BDBG!D42/1000</f>
        <v>0</v>
      </c>
      <c r="E39" s="15">
        <f>BDBG!F42/1000</f>
        <v>0</v>
      </c>
      <c r="F39" s="15">
        <f>BDBG!M42/1000</f>
        <v>0</v>
      </c>
      <c r="G39" s="15">
        <f t="shared" si="13"/>
        <v>0</v>
      </c>
      <c r="H39" s="15">
        <f t="shared" si="0"/>
        <v>0</v>
      </c>
      <c r="I39" s="15"/>
      <c r="J39" s="15">
        <f>BDBG!Q42/1000</f>
        <v>0</v>
      </c>
      <c r="K39" s="15">
        <f>BDBG!S42/1000</f>
        <v>0</v>
      </c>
      <c r="L39" s="15">
        <f>BDBG!Z42/1000</f>
        <v>0</v>
      </c>
      <c r="M39" s="15">
        <f t="shared" si="14"/>
        <v>0</v>
      </c>
      <c r="N39" s="15">
        <f t="shared" si="1"/>
        <v>0</v>
      </c>
      <c r="O39" s="15"/>
      <c r="P39" s="15">
        <f>BDBG!AD42/1000</f>
        <v>0</v>
      </c>
      <c r="Q39" s="15">
        <f>BDBG!AF42/1000</f>
        <v>0</v>
      </c>
      <c r="R39" s="15">
        <f>BDBG!AM42/1000</f>
        <v>0</v>
      </c>
      <c r="S39" s="15">
        <f t="shared" si="15"/>
        <v>0</v>
      </c>
      <c r="T39" s="15">
        <f t="shared" si="31"/>
        <v>0</v>
      </c>
      <c r="U39" s="11"/>
      <c r="V39" s="15">
        <f>BDBG!AQ42/1000</f>
        <v>0</v>
      </c>
      <c r="W39" s="15">
        <f>BDBG!AS42/1000</f>
        <v>0</v>
      </c>
      <c r="X39" s="15">
        <f>BDBG!AZ42/1000</f>
        <v>0</v>
      </c>
      <c r="Y39" s="15">
        <f t="shared" si="16"/>
        <v>0</v>
      </c>
      <c r="Z39" s="15">
        <f t="shared" si="3"/>
        <v>0</v>
      </c>
      <c r="AA39" s="11"/>
      <c r="AB39" s="15">
        <f>BDBG!BQ42/1000</f>
        <v>0</v>
      </c>
      <c r="AC39" s="15">
        <f>BDBG!BQ42/1000</f>
        <v>0</v>
      </c>
      <c r="AD39" s="15">
        <f>BDBG!BZ42/1000</f>
        <v>0</v>
      </c>
      <c r="AE39" s="15">
        <f t="shared" si="32"/>
        <v>0</v>
      </c>
      <c r="AF39" s="15">
        <f t="shared" si="33"/>
        <v>0</v>
      </c>
      <c r="AG39" s="11"/>
      <c r="AH39" s="15">
        <f>BDBG!BD42/1000</f>
        <v>0</v>
      </c>
      <c r="AI39" s="15">
        <f>BDBG!BF42/1000</f>
        <v>0</v>
      </c>
      <c r="AJ39" s="15">
        <f>BDBG!BM42/1000</f>
        <v>0</v>
      </c>
      <c r="AK39" s="15">
        <f t="shared" si="17"/>
        <v>0</v>
      </c>
      <c r="AL39" s="15">
        <f t="shared" si="18"/>
        <v>0</v>
      </c>
      <c r="AM39" s="93" t="s">
        <v>106</v>
      </c>
      <c r="AN39" s="15">
        <f t="shared" si="19"/>
        <v>0</v>
      </c>
      <c r="AO39" s="15">
        <f t="shared" si="20"/>
        <v>0</v>
      </c>
      <c r="AP39" s="15">
        <f t="shared" si="6"/>
        <v>0</v>
      </c>
      <c r="AQ39" s="15">
        <f t="shared" si="7"/>
        <v>0</v>
      </c>
      <c r="AR39" s="15">
        <f t="shared" si="8"/>
        <v>0</v>
      </c>
      <c r="AS39" s="93" t="s">
        <v>106</v>
      </c>
      <c r="AT39" s="15">
        <f>D39</f>
        <v>0</v>
      </c>
      <c r="AU39" s="15">
        <f>+J39</f>
        <v>0</v>
      </c>
      <c r="AV39" s="15">
        <f t="shared" si="21"/>
        <v>0</v>
      </c>
      <c r="AW39" s="15">
        <f t="shared" si="22"/>
        <v>0</v>
      </c>
      <c r="AX39" s="15">
        <f>AH39</f>
        <v>0</v>
      </c>
      <c r="AY39" s="15">
        <f t="shared" si="23"/>
        <v>0</v>
      </c>
      <c r="AZ39" s="15">
        <f>SUM(AT39:AY39)</f>
        <v>0</v>
      </c>
    </row>
    <row r="40" spans="3:52" x14ac:dyDescent="0.25">
      <c r="C40" s="92" t="s">
        <v>50</v>
      </c>
      <c r="D40" s="15">
        <f>BDBG!D43/1000</f>
        <v>0</v>
      </c>
      <c r="E40" s="15">
        <f>BDBG!F43/1000</f>
        <v>0</v>
      </c>
      <c r="F40" s="15">
        <f>BDBG!M43/1000</f>
        <v>134.52190999999999</v>
      </c>
      <c r="G40" s="15">
        <f t="shared" si="13"/>
        <v>0</v>
      </c>
      <c r="H40" s="15">
        <f t="shared" si="0"/>
        <v>-134.52190999999999</v>
      </c>
      <c r="I40" s="15"/>
      <c r="J40" s="15">
        <f>BDBG!Q43/1000</f>
        <v>50.657870000000003</v>
      </c>
      <c r="K40" s="15">
        <f>BDBG!S43/1000</f>
        <v>0</v>
      </c>
      <c r="L40" s="15">
        <f>BDBG!Z43/1000</f>
        <v>36.817500000000003</v>
      </c>
      <c r="M40" s="15">
        <f t="shared" si="14"/>
        <v>50.657870000000003</v>
      </c>
      <c r="N40" s="15">
        <f t="shared" si="1"/>
        <v>13.84037</v>
      </c>
      <c r="O40" s="15"/>
      <c r="P40" s="15">
        <f>BDBG!AD43/1000</f>
        <v>-24.732669999999999</v>
      </c>
      <c r="Q40" s="15">
        <f>BDBG!AF43/1000</f>
        <v>0</v>
      </c>
      <c r="R40" s="15">
        <f>BDBG!AM43/1000</f>
        <v>-3.2465900000000003</v>
      </c>
      <c r="S40" s="15">
        <f t="shared" si="15"/>
        <v>-24.732669999999999</v>
      </c>
      <c r="T40" s="15">
        <f t="shared" si="31"/>
        <v>-21.486079999999998</v>
      </c>
      <c r="U40" s="11"/>
      <c r="V40" s="15">
        <f>BDBG!AQ43/1000</f>
        <v>1.2602500000000001</v>
      </c>
      <c r="W40" s="15">
        <f>BDBG!AS43/1000</f>
        <v>0</v>
      </c>
      <c r="X40" s="15">
        <f>BDBG!AZ43/1000</f>
        <v>12.547750000000001</v>
      </c>
      <c r="Y40" s="15">
        <f t="shared" si="16"/>
        <v>1.2602500000000001</v>
      </c>
      <c r="Z40" s="15">
        <f t="shared" si="3"/>
        <v>-11.287500000000001</v>
      </c>
      <c r="AA40" s="11"/>
      <c r="AB40" s="15">
        <f>BDBG!BQ43/1000</f>
        <v>0</v>
      </c>
      <c r="AC40" s="15">
        <f>BDBG!BQ43/1000</f>
        <v>0</v>
      </c>
      <c r="AD40" s="15">
        <f>BDBG!BZ43/1000</f>
        <v>0</v>
      </c>
      <c r="AE40" s="15">
        <f t="shared" si="32"/>
        <v>0</v>
      </c>
      <c r="AF40" s="15">
        <f t="shared" si="33"/>
        <v>0</v>
      </c>
      <c r="AG40" s="11"/>
      <c r="AH40" s="15">
        <f>BDBG!BD43/1000</f>
        <v>80.794560000000004</v>
      </c>
      <c r="AI40" s="15">
        <f>BDBG!BF43/1000</f>
        <v>0</v>
      </c>
      <c r="AJ40" s="15">
        <f>BDBG!BM43/1000</f>
        <v>78.007490000000004</v>
      </c>
      <c r="AK40" s="15">
        <f t="shared" si="17"/>
        <v>80.794560000000004</v>
      </c>
      <c r="AL40" s="15">
        <f t="shared" si="18"/>
        <v>2.7870699999999999</v>
      </c>
      <c r="AM40" s="92" t="s">
        <v>50</v>
      </c>
      <c r="AN40" s="15">
        <f t="shared" si="19"/>
        <v>107.98001000000001</v>
      </c>
      <c r="AO40" s="15">
        <f t="shared" si="20"/>
        <v>0</v>
      </c>
      <c r="AP40" s="15">
        <f t="shared" si="6"/>
        <v>258.64805999999999</v>
      </c>
      <c r="AQ40" s="15">
        <f t="shared" si="7"/>
        <v>107.98001000000001</v>
      </c>
      <c r="AR40" s="15">
        <f t="shared" si="8"/>
        <v>-150.66804999999999</v>
      </c>
      <c r="AS40" s="92" t="s">
        <v>50</v>
      </c>
      <c r="AT40" s="15">
        <f>D40</f>
        <v>0</v>
      </c>
      <c r="AU40" s="15">
        <f>+J40</f>
        <v>50.657870000000003</v>
      </c>
      <c r="AV40" s="15">
        <f t="shared" si="21"/>
        <v>-24.732669999999999</v>
      </c>
      <c r="AW40" s="15">
        <f t="shared" si="22"/>
        <v>1.2602500000000001</v>
      </c>
      <c r="AX40" s="15">
        <f>AH40</f>
        <v>80.794560000000004</v>
      </c>
      <c r="AY40" s="15">
        <f t="shared" si="23"/>
        <v>0</v>
      </c>
      <c r="AZ40" s="15">
        <f>SUM(AT40:AY40)</f>
        <v>107.98001000000001</v>
      </c>
    </row>
    <row r="41" spans="3:52" x14ac:dyDescent="0.25">
      <c r="C41" s="92" t="s">
        <v>75</v>
      </c>
      <c r="D41" s="15">
        <f>BDBG!D44/1000</f>
        <v>0</v>
      </c>
      <c r="E41" s="15">
        <f>BDBG!F44/1000</f>
        <v>0</v>
      </c>
      <c r="F41" s="15">
        <f>BDBG!M44/1000</f>
        <v>0</v>
      </c>
      <c r="G41" s="15">
        <f t="shared" si="13"/>
        <v>0</v>
      </c>
      <c r="H41" s="15">
        <f t="shared" ref="H41:H59" si="34">D41-F41</f>
        <v>0</v>
      </c>
      <c r="I41" s="15"/>
      <c r="J41" s="15">
        <f>BDBG!Q44/1000</f>
        <v>0</v>
      </c>
      <c r="K41" s="15">
        <f>BDBG!S44/1000</f>
        <v>0</v>
      </c>
      <c r="L41" s="15">
        <f>BDBG!Z44/1000</f>
        <v>0</v>
      </c>
      <c r="M41" s="15">
        <f t="shared" si="14"/>
        <v>0</v>
      </c>
      <c r="N41" s="15">
        <f t="shared" si="1"/>
        <v>0</v>
      </c>
      <c r="O41" s="15"/>
      <c r="P41" s="15">
        <f>BDBG!AD44/1000</f>
        <v>0</v>
      </c>
      <c r="Q41" s="15">
        <f>BDBG!AF44/1000</f>
        <v>0</v>
      </c>
      <c r="R41" s="15">
        <f>BDBG!AM44/1000</f>
        <v>0</v>
      </c>
      <c r="S41" s="15">
        <f t="shared" si="15"/>
        <v>0</v>
      </c>
      <c r="T41" s="15">
        <f t="shared" si="31"/>
        <v>0</v>
      </c>
      <c r="U41" s="11"/>
      <c r="V41" s="15">
        <f>BDBG!AQ44/1000</f>
        <v>0</v>
      </c>
      <c r="W41" s="15">
        <f>BDBG!AS44/1000</f>
        <v>0</v>
      </c>
      <c r="X41" s="15">
        <f>BDBG!AZ44/1000</f>
        <v>0</v>
      </c>
      <c r="Y41" s="15">
        <f t="shared" si="16"/>
        <v>0</v>
      </c>
      <c r="Z41" s="15">
        <f t="shared" si="3"/>
        <v>0</v>
      </c>
      <c r="AA41" s="11"/>
      <c r="AB41" s="15">
        <f>BDBG!BQ44/1000</f>
        <v>510.39400000000001</v>
      </c>
      <c r="AC41" s="15">
        <f>BDBG!BQ44/1000</f>
        <v>510.39400000000001</v>
      </c>
      <c r="AD41" s="15">
        <f>BDBG!BZ44/1000</f>
        <v>485.39400000000001</v>
      </c>
      <c r="AE41" s="15">
        <f t="shared" si="32"/>
        <v>0</v>
      </c>
      <c r="AF41" s="15">
        <f t="shared" si="33"/>
        <v>25</v>
      </c>
      <c r="AG41" s="11"/>
      <c r="AH41" s="15">
        <f>BDBG!BD44/1000</f>
        <v>0</v>
      </c>
      <c r="AI41" s="15">
        <f>BDBG!BF44/1000</f>
        <v>0</v>
      </c>
      <c r="AJ41" s="15">
        <f>BDBG!BM44/1000</f>
        <v>0</v>
      </c>
      <c r="AK41" s="15">
        <f t="shared" si="17"/>
        <v>0</v>
      </c>
      <c r="AL41" s="15">
        <f t="shared" si="18"/>
        <v>0</v>
      </c>
      <c r="AM41" s="92" t="s">
        <v>75</v>
      </c>
      <c r="AN41" s="15">
        <f t="shared" si="19"/>
        <v>510.39400000000001</v>
      </c>
      <c r="AO41" s="15">
        <f t="shared" si="20"/>
        <v>510.39400000000001</v>
      </c>
      <c r="AP41" s="15">
        <f t="shared" si="6"/>
        <v>485.39400000000001</v>
      </c>
      <c r="AQ41" s="15">
        <f t="shared" ref="AQ41:AQ57" si="35">AN41-AO41</f>
        <v>0</v>
      </c>
      <c r="AR41" s="15">
        <f t="shared" ref="AR41:AR57" si="36">AN41-AP41</f>
        <v>25</v>
      </c>
      <c r="AS41" s="92" t="s">
        <v>75</v>
      </c>
      <c r="AT41" s="15">
        <f>D41</f>
        <v>0</v>
      </c>
      <c r="AU41" s="15">
        <f>+J41</f>
        <v>0</v>
      </c>
      <c r="AV41" s="15">
        <f t="shared" si="21"/>
        <v>0</v>
      </c>
      <c r="AW41" s="15">
        <f t="shared" si="22"/>
        <v>0</v>
      </c>
      <c r="AX41" s="15">
        <f>AH41</f>
        <v>0</v>
      </c>
      <c r="AY41" s="15">
        <f t="shared" si="23"/>
        <v>510.39400000000001</v>
      </c>
      <c r="AZ41" s="15">
        <f>SUM(AT41:AY41)</f>
        <v>510.39400000000001</v>
      </c>
    </row>
    <row r="42" spans="3:52" ht="13" x14ac:dyDescent="0.3">
      <c r="C42" s="94" t="s">
        <v>111</v>
      </c>
      <c r="D42" s="16">
        <f>+D41+D39+D40+D38+D37</f>
        <v>87.029070000000004</v>
      </c>
      <c r="E42" s="16">
        <f>+E41+E39+E40+E38+E37</f>
        <v>0</v>
      </c>
      <c r="F42" s="16">
        <f>+F41+F39+F40+F38+F37</f>
        <v>863.76881000000003</v>
      </c>
      <c r="G42" s="16">
        <f t="shared" si="13"/>
        <v>87.029070000000004</v>
      </c>
      <c r="H42" s="16">
        <f t="shared" si="34"/>
        <v>-776.73973999999998</v>
      </c>
      <c r="I42" s="17"/>
      <c r="J42" s="16">
        <f>+J41+J39+J40+J38+J37</f>
        <v>101.72765000000001</v>
      </c>
      <c r="K42" s="16">
        <f>+K41+K39+K40+K38+K37</f>
        <v>0</v>
      </c>
      <c r="L42" s="16">
        <f>+L41+L39+L40+L38+L37</f>
        <v>149.20849999999999</v>
      </c>
      <c r="M42" s="16">
        <f t="shared" si="14"/>
        <v>101.72765000000001</v>
      </c>
      <c r="N42" s="16">
        <f t="shared" si="1"/>
        <v>-47.480849999999975</v>
      </c>
      <c r="O42" s="17"/>
      <c r="P42" s="16">
        <f>+P41+P39+P40+P38+P37</f>
        <v>26.673450000000003</v>
      </c>
      <c r="Q42" s="16">
        <f>+Q41+Q39+Q40+Q38+Q37</f>
        <v>0</v>
      </c>
      <c r="R42" s="16">
        <f>+R41+R39+R40+R38+R37</f>
        <v>79.041269999999997</v>
      </c>
      <c r="S42" s="16">
        <f t="shared" si="15"/>
        <v>26.673450000000003</v>
      </c>
      <c r="T42" s="16">
        <f t="shared" si="31"/>
        <v>-52.367819999999995</v>
      </c>
      <c r="U42" s="41"/>
      <c r="V42" s="16">
        <f>+V41+V39+V40+V38+V37</f>
        <v>51.357299999999995</v>
      </c>
      <c r="W42" s="16">
        <f>+W41+W39+W40+W38+W37</f>
        <v>0</v>
      </c>
      <c r="X42" s="16">
        <f>+X41+X39+X40+X38+X37</f>
        <v>74.504250000000013</v>
      </c>
      <c r="Y42" s="16">
        <f t="shared" si="16"/>
        <v>51.357299999999995</v>
      </c>
      <c r="Z42" s="16">
        <f t="shared" si="3"/>
        <v>-23.146950000000018</v>
      </c>
      <c r="AA42" s="41"/>
      <c r="AB42" s="16">
        <f>+AB41+AB39+AB40+AB38+AB37</f>
        <v>577.33426000000009</v>
      </c>
      <c r="AC42" s="16">
        <f>+AC41+AC39+AC40+AC38+AC37</f>
        <v>577.33426000000009</v>
      </c>
      <c r="AD42" s="16">
        <f>+AD41+AD39+AD40+AD38+AD37</f>
        <v>522.31399999999996</v>
      </c>
      <c r="AE42" s="16">
        <f t="shared" si="32"/>
        <v>0</v>
      </c>
      <c r="AF42" s="16">
        <f t="shared" si="33"/>
        <v>55.020260000000121</v>
      </c>
      <c r="AG42" s="41"/>
      <c r="AH42" s="16">
        <f>+AH41+AH39+AH40+AH38+AH37</f>
        <v>90.454089999999994</v>
      </c>
      <c r="AI42" s="16">
        <f>+AI41+AI39+AI40+AI38+AI37</f>
        <v>0</v>
      </c>
      <c r="AJ42" s="16">
        <f>+AJ41+AJ39+AJ40+AJ38+AJ37</f>
        <v>106.81643</v>
      </c>
      <c r="AK42" s="16">
        <f t="shared" si="17"/>
        <v>90.454089999999994</v>
      </c>
      <c r="AL42" s="16">
        <f t="shared" si="18"/>
        <v>-16.362340000000003</v>
      </c>
      <c r="AM42" s="94" t="s">
        <v>111</v>
      </c>
      <c r="AN42" s="16">
        <f>+AN41+AN39+AN40+AN38+AN37</f>
        <v>934.57582000000002</v>
      </c>
      <c r="AO42" s="16">
        <f>+AO41+AO39+AO40+AO38+AO37</f>
        <v>577.33426000000009</v>
      </c>
      <c r="AP42" s="16">
        <f>+AP41+AP39+AP40+AP38+AP37</f>
        <v>1795.65326</v>
      </c>
      <c r="AQ42" s="16">
        <f t="shared" si="35"/>
        <v>357.24155999999994</v>
      </c>
      <c r="AR42" s="16">
        <f t="shared" si="36"/>
        <v>-861.07744000000002</v>
      </c>
      <c r="AS42" s="94" t="s">
        <v>111</v>
      </c>
      <c r="AT42" s="16">
        <f t="shared" ref="AT42:AZ42" si="37">+AT41+AT39+AT40+AT38+AT37</f>
        <v>87.029070000000004</v>
      </c>
      <c r="AU42" s="16">
        <f t="shared" si="37"/>
        <v>101.72765000000001</v>
      </c>
      <c r="AV42" s="16">
        <f t="shared" si="37"/>
        <v>26.673450000000003</v>
      </c>
      <c r="AW42" s="16">
        <f t="shared" si="37"/>
        <v>51.357299999999995</v>
      </c>
      <c r="AX42" s="16">
        <f t="shared" si="37"/>
        <v>90.454089999999994</v>
      </c>
      <c r="AY42" s="16">
        <f t="shared" si="37"/>
        <v>577.33426000000009</v>
      </c>
      <c r="AZ42" s="16">
        <f t="shared" si="37"/>
        <v>934.57582000000002</v>
      </c>
    </row>
    <row r="43" spans="3:52" ht="13" x14ac:dyDescent="0.3">
      <c r="C43" s="94" t="s">
        <v>112</v>
      </c>
      <c r="D43" s="76"/>
      <c r="E43" s="76"/>
      <c r="F43" s="76"/>
      <c r="G43" s="15"/>
      <c r="H43" s="15"/>
      <c r="I43" s="15"/>
      <c r="J43" s="76"/>
      <c r="K43" s="76"/>
      <c r="L43" s="76"/>
      <c r="M43" s="15"/>
      <c r="N43" s="15"/>
      <c r="O43" s="15"/>
      <c r="P43" s="76"/>
      <c r="Q43" s="76"/>
      <c r="R43" s="76"/>
      <c r="S43" s="15"/>
      <c r="T43" s="15"/>
      <c r="U43" s="11"/>
      <c r="V43" s="76"/>
      <c r="W43" s="76"/>
      <c r="X43" s="76"/>
      <c r="Y43" s="15"/>
      <c r="Z43" s="15"/>
      <c r="AA43" s="11"/>
      <c r="AB43" s="76"/>
      <c r="AC43" s="76"/>
      <c r="AD43" s="76"/>
      <c r="AE43" s="15"/>
      <c r="AF43" s="15"/>
      <c r="AG43" s="11"/>
      <c r="AH43" s="76"/>
      <c r="AI43" s="76"/>
      <c r="AJ43" s="76"/>
      <c r="AK43" s="15">
        <f t="shared" si="17"/>
        <v>0</v>
      </c>
      <c r="AL43" s="15">
        <f t="shared" si="18"/>
        <v>0</v>
      </c>
      <c r="AM43" s="94" t="s">
        <v>112</v>
      </c>
      <c r="AN43" s="76">
        <f t="shared" si="19"/>
        <v>0</v>
      </c>
      <c r="AO43" s="81">
        <v>0</v>
      </c>
      <c r="AP43" s="76">
        <f t="shared" si="6"/>
        <v>0</v>
      </c>
      <c r="AQ43" s="15">
        <f t="shared" si="35"/>
        <v>0</v>
      </c>
      <c r="AR43" s="15">
        <f t="shared" si="36"/>
        <v>0</v>
      </c>
      <c r="AS43" s="94" t="s">
        <v>112</v>
      </c>
      <c r="AT43" s="15"/>
      <c r="AU43" s="15"/>
      <c r="AV43" s="15"/>
      <c r="AW43" s="15"/>
      <c r="AX43" s="15"/>
      <c r="AY43" s="15"/>
      <c r="AZ43" s="15"/>
    </row>
    <row r="44" spans="3:52" x14ac:dyDescent="0.25">
      <c r="C44" s="92" t="s">
        <v>76</v>
      </c>
      <c r="D44" s="76">
        <f>BDBG!D48/1000</f>
        <v>0</v>
      </c>
      <c r="E44" s="76">
        <f>BDBG!F48/1000</f>
        <v>0</v>
      </c>
      <c r="F44" s="76">
        <f>BDBG!M48/1000</f>
        <v>5822.4515300000003</v>
      </c>
      <c r="G44" s="15">
        <f t="shared" si="13"/>
        <v>0</v>
      </c>
      <c r="H44" s="15">
        <f t="shared" si="34"/>
        <v>-5822.4515300000003</v>
      </c>
      <c r="I44" s="15"/>
      <c r="J44" s="76">
        <f>BDBG!Q48/1000</f>
        <v>0</v>
      </c>
      <c r="K44" s="76">
        <f>BDBG!S48/1000</f>
        <v>0</v>
      </c>
      <c r="L44" s="76">
        <f>BDBG!Z48/1000</f>
        <v>170.36624</v>
      </c>
      <c r="M44" s="15">
        <f t="shared" si="14"/>
        <v>0</v>
      </c>
      <c r="N44" s="15">
        <f t="shared" si="1"/>
        <v>-170.36624</v>
      </c>
      <c r="O44" s="15"/>
      <c r="P44" s="76">
        <f>BDBG!AD48/1000</f>
        <v>3369.59593</v>
      </c>
      <c r="Q44" s="76">
        <f>BDBG!AF48/1000</f>
        <v>0</v>
      </c>
      <c r="R44" s="76">
        <f>BDBG!AM48/1000</f>
        <v>3757.0304700000002</v>
      </c>
      <c r="S44" s="15">
        <f t="shared" si="15"/>
        <v>3369.59593</v>
      </c>
      <c r="T44" s="15">
        <f>P44-R44</f>
        <v>-387.4345400000002</v>
      </c>
      <c r="U44" s="11"/>
      <c r="V44" s="76">
        <f>BDBG!AQ48/1000</f>
        <v>0</v>
      </c>
      <c r="W44" s="76">
        <f>BDBG!AS48/1000</f>
        <v>0</v>
      </c>
      <c r="X44" s="76">
        <f>BDBG!AZ48/1000</f>
        <v>0</v>
      </c>
      <c r="Y44" s="15">
        <f t="shared" si="16"/>
        <v>0</v>
      </c>
      <c r="Z44" s="15">
        <f t="shared" si="3"/>
        <v>0</v>
      </c>
      <c r="AA44" s="11"/>
      <c r="AB44" s="76">
        <f>BDBG!BQ48/1000</f>
        <v>5081.5612999999994</v>
      </c>
      <c r="AC44" s="76">
        <f>BDBG!BQ48/1000</f>
        <v>5081.5612999999994</v>
      </c>
      <c r="AD44" s="76">
        <f>BDBG!BZ48/1000</f>
        <v>5476.6612599999999</v>
      </c>
      <c r="AE44" s="15">
        <f>AB44-AC44</f>
        <v>0</v>
      </c>
      <c r="AF44" s="15">
        <f t="shared" ref="AF44:AF50" si="38">AB44-AD44</f>
        <v>-395.09996000000046</v>
      </c>
      <c r="AG44" s="11"/>
      <c r="AH44" s="76">
        <f>BDBG!BD48/1000</f>
        <v>0</v>
      </c>
      <c r="AI44" s="76">
        <f>BDBG!BF48/1000</f>
        <v>0</v>
      </c>
      <c r="AJ44" s="76">
        <f>BDBG!BM48/1000</f>
        <v>0</v>
      </c>
      <c r="AK44" s="15">
        <f t="shared" si="17"/>
        <v>0</v>
      </c>
      <c r="AL44" s="15">
        <f t="shared" si="18"/>
        <v>0</v>
      </c>
      <c r="AM44" s="92" t="s">
        <v>76</v>
      </c>
      <c r="AN44" s="76">
        <f t="shared" si="19"/>
        <v>8451.1572299999989</v>
      </c>
      <c r="AO44" s="81">
        <f t="shared" si="20"/>
        <v>5081.5612999999994</v>
      </c>
      <c r="AP44" s="76">
        <f t="shared" si="6"/>
        <v>15226.5095</v>
      </c>
      <c r="AQ44" s="15">
        <f t="shared" si="35"/>
        <v>3369.5959299999995</v>
      </c>
      <c r="AR44" s="15">
        <f t="shared" si="36"/>
        <v>-6775.3522700000012</v>
      </c>
      <c r="AS44" s="92" t="s">
        <v>76</v>
      </c>
      <c r="AT44" s="15">
        <f>D44</f>
        <v>0</v>
      </c>
      <c r="AU44" s="15">
        <f>+J44</f>
        <v>0</v>
      </c>
      <c r="AV44" s="15">
        <f t="shared" si="21"/>
        <v>3369.59593</v>
      </c>
      <c r="AW44" s="15">
        <f t="shared" si="22"/>
        <v>0</v>
      </c>
      <c r="AX44" s="15">
        <f>AH44</f>
        <v>0</v>
      </c>
      <c r="AY44" s="15">
        <f t="shared" si="23"/>
        <v>5081.5612999999994</v>
      </c>
      <c r="AZ44" s="15">
        <f>SUM(AT44:AY44)</f>
        <v>8451.1572299999989</v>
      </c>
    </row>
    <row r="45" spans="3:52" hidden="1" x14ac:dyDescent="0.25">
      <c r="C45" s="92"/>
      <c r="D45" s="76">
        <f>BDBG!D48/1000</f>
        <v>0</v>
      </c>
      <c r="E45" s="76">
        <f>BDBG!F48/1000</f>
        <v>0</v>
      </c>
      <c r="F45" s="76">
        <f>BDBG!M48/1000</f>
        <v>5822.4515300000003</v>
      </c>
      <c r="G45" s="15">
        <f t="shared" si="13"/>
        <v>0</v>
      </c>
      <c r="H45" s="15">
        <f t="shared" si="34"/>
        <v>-5822.4515300000003</v>
      </c>
      <c r="I45" s="15"/>
      <c r="J45" s="76">
        <f>BDBG!Q48/1000</f>
        <v>0</v>
      </c>
      <c r="K45" s="76">
        <f>BDBG!S48/1000</f>
        <v>0</v>
      </c>
      <c r="L45" s="76">
        <f>BDBG!Z48/1000</f>
        <v>170.36624</v>
      </c>
      <c r="M45" s="15">
        <f t="shared" si="14"/>
        <v>0</v>
      </c>
      <c r="N45" s="15">
        <f t="shared" si="1"/>
        <v>-170.36624</v>
      </c>
      <c r="O45" s="15"/>
      <c r="P45" s="76">
        <f>BDBG!AD48/1000</f>
        <v>3369.59593</v>
      </c>
      <c r="Q45" s="76">
        <f>BDBG!AF48/1000</f>
        <v>0</v>
      </c>
      <c r="R45" s="76">
        <f>BDBG!AM48/1000</f>
        <v>3757.0304700000002</v>
      </c>
      <c r="S45" s="15">
        <f t="shared" si="15"/>
        <v>3369.59593</v>
      </c>
      <c r="T45" s="15">
        <f>P45-R45</f>
        <v>-387.4345400000002</v>
      </c>
      <c r="U45" s="11"/>
      <c r="V45" s="76">
        <f>BDBG!AQ48/1000</f>
        <v>0</v>
      </c>
      <c r="W45" s="76">
        <f>BDBG!AS48/1000</f>
        <v>0</v>
      </c>
      <c r="X45" s="76">
        <f>BDBG!AZ48/1000</f>
        <v>0</v>
      </c>
      <c r="Y45" s="15">
        <f t="shared" si="16"/>
        <v>0</v>
      </c>
      <c r="Z45" s="15">
        <f t="shared" si="3"/>
        <v>0</v>
      </c>
      <c r="AA45" s="11"/>
      <c r="AB45" s="76">
        <f>BDBG!BQ48/1000</f>
        <v>5081.5612999999994</v>
      </c>
      <c r="AC45" s="76">
        <f>BDBG!BQ48/1000</f>
        <v>5081.5612999999994</v>
      </c>
      <c r="AD45" s="76">
        <f>BDBG!BZ48/1000</f>
        <v>5476.6612599999999</v>
      </c>
      <c r="AE45" s="15">
        <f>AB45-AC45</f>
        <v>0</v>
      </c>
      <c r="AF45" s="15">
        <f t="shared" si="38"/>
        <v>-395.09996000000046</v>
      </c>
      <c r="AG45" s="11"/>
      <c r="AH45" s="76">
        <f>BDBG!BD48/1000</f>
        <v>0</v>
      </c>
      <c r="AI45" s="76">
        <f>BDBG!BF48/1000</f>
        <v>0</v>
      </c>
      <c r="AJ45" s="76">
        <f>BDBG!BM48/1000</f>
        <v>0</v>
      </c>
      <c r="AK45" s="15">
        <f t="shared" si="17"/>
        <v>0</v>
      </c>
      <c r="AL45" s="15">
        <f t="shared" si="18"/>
        <v>0</v>
      </c>
      <c r="AM45" s="92"/>
      <c r="AN45" s="76">
        <f t="shared" si="19"/>
        <v>8451.1572299999989</v>
      </c>
      <c r="AO45" s="81">
        <f t="shared" si="20"/>
        <v>5081.5612999999994</v>
      </c>
      <c r="AP45" s="76">
        <f t="shared" si="6"/>
        <v>15226.5095</v>
      </c>
      <c r="AQ45" s="15">
        <f t="shared" si="35"/>
        <v>3369.5959299999995</v>
      </c>
      <c r="AR45" s="15">
        <f t="shared" si="36"/>
        <v>-6775.3522700000012</v>
      </c>
      <c r="AS45" s="92"/>
      <c r="AT45" s="15">
        <f>D45</f>
        <v>0</v>
      </c>
      <c r="AU45" s="15">
        <f>+J45</f>
        <v>0</v>
      </c>
      <c r="AV45" s="15">
        <f t="shared" si="21"/>
        <v>3369.59593</v>
      </c>
      <c r="AW45" s="15">
        <f t="shared" si="22"/>
        <v>0</v>
      </c>
      <c r="AX45" s="15">
        <f>AH45</f>
        <v>0</v>
      </c>
      <c r="AY45" s="15">
        <f t="shared" si="23"/>
        <v>5081.5612999999994</v>
      </c>
      <c r="AZ45" s="15">
        <f>SUM(AT45:AY45)</f>
        <v>8451.1572299999989</v>
      </c>
    </row>
    <row r="46" spans="3:52" x14ac:dyDescent="0.25">
      <c r="C46" s="92" t="s">
        <v>77</v>
      </c>
      <c r="D46" s="15">
        <f>BDBG!D47/1000+BDBG!D49/1000</f>
        <v>5156.8099699999993</v>
      </c>
      <c r="E46" s="15">
        <f>BDBG!F47/1000+BDBG!F49/1000</f>
        <v>0</v>
      </c>
      <c r="F46" s="15">
        <f>BDBG!M47/1000+BDBG!M49/1000</f>
        <v>5178.5411599999998</v>
      </c>
      <c r="G46" s="15">
        <f t="shared" si="13"/>
        <v>5156.8099699999993</v>
      </c>
      <c r="H46" s="15">
        <f t="shared" si="34"/>
        <v>-21.731190000000424</v>
      </c>
      <c r="I46" s="15"/>
      <c r="J46" s="15">
        <f>BDBG!Q47/1000+BDBG!Q49/1000</f>
        <v>1512.36213</v>
      </c>
      <c r="K46" s="15">
        <f>BDBG!S47/1000+BDBG!S49/1000</f>
        <v>0</v>
      </c>
      <c r="L46" s="15">
        <f>BDBG!Z47/1000+BDBG!Z49/1000</f>
        <v>1272.4206000000001</v>
      </c>
      <c r="M46" s="15">
        <f t="shared" si="14"/>
        <v>1512.36213</v>
      </c>
      <c r="N46" s="15">
        <f t="shared" si="1"/>
        <v>239.94152999999983</v>
      </c>
      <c r="O46" s="15"/>
      <c r="P46" s="15">
        <f>BDBG!AD47/1000+BDBG!AD49/1000</f>
        <v>3664.99593</v>
      </c>
      <c r="Q46" s="15">
        <f>BDBG!AF47/1000+BDBG!AF49/1000</f>
        <v>0</v>
      </c>
      <c r="R46" s="15">
        <f>BDBG!AM47/1000+BDBG!AM49/1000</f>
        <v>2997.9770099999996</v>
      </c>
      <c r="S46" s="15">
        <f t="shared" si="15"/>
        <v>3664.99593</v>
      </c>
      <c r="T46" s="15">
        <f>P46-R46</f>
        <v>667.01892000000043</v>
      </c>
      <c r="U46" s="11"/>
      <c r="V46" s="15">
        <f>BDBG!AQ47/1000+BDBG!AQ49/1000</f>
        <v>1692.27728</v>
      </c>
      <c r="W46" s="15">
        <f>BDBG!AS47/1000+BDBG!AS49/1000</f>
        <v>0</v>
      </c>
      <c r="X46" s="15">
        <f>BDBG!AZ47/1000+BDBG!AZ49/1000</f>
        <v>1540.6086200000002</v>
      </c>
      <c r="Y46" s="15">
        <f t="shared" si="16"/>
        <v>1692.27728</v>
      </c>
      <c r="Z46" s="15">
        <f t="shared" si="3"/>
        <v>151.66865999999982</v>
      </c>
      <c r="AA46" s="11"/>
      <c r="AB46" s="15">
        <f>BDBG!BQ49/1000</f>
        <v>0</v>
      </c>
      <c r="AC46" s="15">
        <f>BDBG!BQ49/1000</f>
        <v>0</v>
      </c>
      <c r="AD46" s="15">
        <f>BDBG!BZ49/1000</f>
        <v>0</v>
      </c>
      <c r="AE46" s="15">
        <f>AB46-AC46</f>
        <v>0</v>
      </c>
      <c r="AF46" s="15">
        <f t="shared" si="38"/>
        <v>0</v>
      </c>
      <c r="AG46" s="11"/>
      <c r="AH46" s="15">
        <f>BDBG!BD47/1000+BDBG!BD49/1000</f>
        <v>316.19054</v>
      </c>
      <c r="AI46" s="15">
        <f>BDBG!BF47/1000+BDBG!BF49/1000</f>
        <v>0</v>
      </c>
      <c r="AJ46" s="15">
        <f>BDBG!BM47/1000+BDBG!BM49/1000</f>
        <v>259.19054</v>
      </c>
      <c r="AK46" s="15">
        <f t="shared" si="17"/>
        <v>316.19054</v>
      </c>
      <c r="AL46" s="15">
        <f t="shared" si="18"/>
        <v>57</v>
      </c>
      <c r="AM46" s="92" t="s">
        <v>77</v>
      </c>
      <c r="AN46" s="15">
        <f t="shared" si="19"/>
        <v>12342.635850000001</v>
      </c>
      <c r="AO46" s="82">
        <f t="shared" si="20"/>
        <v>0</v>
      </c>
      <c r="AP46" s="15">
        <f t="shared" si="6"/>
        <v>11248.737930000001</v>
      </c>
      <c r="AQ46" s="15">
        <f t="shared" si="35"/>
        <v>12342.635850000001</v>
      </c>
      <c r="AR46" s="15">
        <f t="shared" si="36"/>
        <v>1093.8979199999994</v>
      </c>
      <c r="AS46" s="92" t="s">
        <v>77</v>
      </c>
      <c r="AT46" s="15">
        <f>D46</f>
        <v>5156.8099699999993</v>
      </c>
      <c r="AU46" s="15">
        <f>+J46</f>
        <v>1512.36213</v>
      </c>
      <c r="AV46" s="15">
        <f t="shared" si="21"/>
        <v>3664.99593</v>
      </c>
      <c r="AW46" s="15">
        <f t="shared" si="22"/>
        <v>1692.27728</v>
      </c>
      <c r="AX46" s="15">
        <f>AH46</f>
        <v>316.19054</v>
      </c>
      <c r="AY46" s="15">
        <f t="shared" si="23"/>
        <v>0</v>
      </c>
      <c r="AZ46" s="15">
        <f>SUM(AT46:AY46)</f>
        <v>12342.635850000001</v>
      </c>
    </row>
    <row r="47" spans="3:52" ht="13" x14ac:dyDescent="0.3">
      <c r="C47" s="94" t="s">
        <v>113</v>
      </c>
      <c r="D47" s="16">
        <f>+D44+D46</f>
        <v>5156.8099699999993</v>
      </c>
      <c r="E47" s="16">
        <f>+E44+E46</f>
        <v>0</v>
      </c>
      <c r="F47" s="16">
        <f>+F44+F46</f>
        <v>11000.992689999999</v>
      </c>
      <c r="G47" s="16">
        <f>G44+G46</f>
        <v>5156.8099699999993</v>
      </c>
      <c r="H47" s="16">
        <f>H44+H46</f>
        <v>-5844.1827200000007</v>
      </c>
      <c r="I47" s="17"/>
      <c r="J47" s="16">
        <f>+J44+J46</f>
        <v>1512.36213</v>
      </c>
      <c r="K47" s="16">
        <f>+K44+K46</f>
        <v>0</v>
      </c>
      <c r="L47" s="16">
        <f>+L44+L46</f>
        <v>1442.7868400000002</v>
      </c>
      <c r="M47" s="16">
        <f>M44+M46</f>
        <v>1512.36213</v>
      </c>
      <c r="N47" s="16">
        <f>N44+N46</f>
        <v>69.575289999999825</v>
      </c>
      <c r="O47" s="17"/>
      <c r="P47" s="16">
        <f>+P44+P46</f>
        <v>7034.5918600000005</v>
      </c>
      <c r="Q47" s="16">
        <f>+Q44+Q46</f>
        <v>0</v>
      </c>
      <c r="R47" s="16">
        <f>+R44+R46</f>
        <v>6755.0074800000002</v>
      </c>
      <c r="S47" s="16">
        <f t="shared" si="15"/>
        <v>7034.5918600000005</v>
      </c>
      <c r="T47" s="16">
        <f>P47-R47</f>
        <v>279.58438000000024</v>
      </c>
      <c r="U47" s="41"/>
      <c r="V47" s="16">
        <f>+V44+V46</f>
        <v>1692.27728</v>
      </c>
      <c r="W47" s="16">
        <f>+W44+W46</f>
        <v>0</v>
      </c>
      <c r="X47" s="16">
        <f>+X44+X46</f>
        <v>1540.6086200000002</v>
      </c>
      <c r="Y47" s="16">
        <f>Y44+Y46</f>
        <v>1692.27728</v>
      </c>
      <c r="Z47" s="16">
        <f>Z44+Z46</f>
        <v>151.66865999999982</v>
      </c>
      <c r="AA47" s="41"/>
      <c r="AB47" s="16">
        <f>AB44+AB46</f>
        <v>5081.5612999999994</v>
      </c>
      <c r="AC47" s="16">
        <f>AC44+AC46</f>
        <v>5081.5612999999994</v>
      </c>
      <c r="AD47" s="16">
        <f>AD44+AD46</f>
        <v>5476.6612599999999</v>
      </c>
      <c r="AE47" s="16">
        <f>AB47-AC47</f>
        <v>0</v>
      </c>
      <c r="AF47" s="16">
        <f t="shared" si="38"/>
        <v>-395.09996000000046</v>
      </c>
      <c r="AG47" s="41"/>
      <c r="AH47" s="16">
        <f>+AH44+AH46</f>
        <v>316.19054</v>
      </c>
      <c r="AI47" s="16">
        <f>+AI44+AI46</f>
        <v>0</v>
      </c>
      <c r="AJ47" s="16">
        <f>+AJ44+AJ46</f>
        <v>259.19054</v>
      </c>
      <c r="AK47" s="16">
        <f t="shared" si="17"/>
        <v>316.19054</v>
      </c>
      <c r="AL47" s="16">
        <f t="shared" si="18"/>
        <v>57</v>
      </c>
      <c r="AM47" s="94" t="s">
        <v>113</v>
      </c>
      <c r="AN47" s="16">
        <f>AN44+AN46</f>
        <v>20793.793079999999</v>
      </c>
      <c r="AO47" s="16">
        <f t="shared" si="20"/>
        <v>5081.5612999999994</v>
      </c>
      <c r="AP47" s="16">
        <f t="shared" si="6"/>
        <v>26475.247429999999</v>
      </c>
      <c r="AQ47" s="16">
        <f>AQ44+AQ46</f>
        <v>15712.23178</v>
      </c>
      <c r="AR47" s="16">
        <f>AR44+AR46</f>
        <v>-5681.4543500000018</v>
      </c>
      <c r="AS47" s="94" t="s">
        <v>113</v>
      </c>
      <c r="AT47" s="16">
        <f t="shared" ref="AT47:AY47" si="39">AT44+AT46</f>
        <v>5156.8099699999993</v>
      </c>
      <c r="AU47" s="16">
        <f t="shared" si="39"/>
        <v>1512.36213</v>
      </c>
      <c r="AV47" s="16">
        <f t="shared" si="39"/>
        <v>7034.5918600000005</v>
      </c>
      <c r="AW47" s="16">
        <f t="shared" si="39"/>
        <v>1692.27728</v>
      </c>
      <c r="AX47" s="16">
        <f>AX44+AX46</f>
        <v>316.19054</v>
      </c>
      <c r="AY47" s="16">
        <f t="shared" si="39"/>
        <v>5081.5612999999994</v>
      </c>
      <c r="AZ47" s="16">
        <f>SUM(AT47:AY47)</f>
        <v>20793.793079999999</v>
      </c>
    </row>
    <row r="48" spans="3:52" ht="13" x14ac:dyDescent="0.3">
      <c r="C48" s="94" t="s">
        <v>78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1"/>
      <c r="V48" s="15"/>
      <c r="W48" s="15"/>
      <c r="X48" s="15"/>
      <c r="Y48" s="15"/>
      <c r="Z48" s="15"/>
      <c r="AA48" s="11"/>
      <c r="AB48" s="15">
        <f>BDBG!BQ51/1000</f>
        <v>0</v>
      </c>
      <c r="AC48" s="15">
        <f>BDBG!BQ51/1000</f>
        <v>0</v>
      </c>
      <c r="AD48" s="15">
        <f>BDBG!BZ51/1000</f>
        <v>0</v>
      </c>
      <c r="AE48" s="15">
        <v>923</v>
      </c>
      <c r="AF48" s="15">
        <f t="shared" si="38"/>
        <v>0</v>
      </c>
      <c r="AG48" s="11"/>
      <c r="AH48" s="15"/>
      <c r="AI48" s="15"/>
      <c r="AJ48" s="15"/>
      <c r="AK48" s="15">
        <f t="shared" si="17"/>
        <v>0</v>
      </c>
      <c r="AL48" s="15">
        <f t="shared" si="18"/>
        <v>0</v>
      </c>
      <c r="AM48" s="94" t="s">
        <v>78</v>
      </c>
      <c r="AN48" s="15">
        <f t="shared" si="19"/>
        <v>0</v>
      </c>
      <c r="AO48" s="15">
        <f t="shared" si="20"/>
        <v>0</v>
      </c>
      <c r="AP48" s="15">
        <f t="shared" si="6"/>
        <v>0</v>
      </c>
      <c r="AQ48" s="15">
        <f t="shared" si="35"/>
        <v>0</v>
      </c>
      <c r="AR48" s="15">
        <f t="shared" si="36"/>
        <v>0</v>
      </c>
      <c r="AS48" s="94" t="s">
        <v>78</v>
      </c>
      <c r="AT48" s="15"/>
      <c r="AU48" s="15"/>
      <c r="AV48" s="15"/>
      <c r="AW48" s="15"/>
      <c r="AX48" s="15"/>
      <c r="AY48" s="15"/>
      <c r="AZ48" s="15"/>
    </row>
    <row r="49" spans="3:52" x14ac:dyDescent="0.25">
      <c r="C49" s="93"/>
      <c r="D49" s="15">
        <f>BDBG!D52/1000</f>
        <v>0</v>
      </c>
      <c r="E49" s="15">
        <f>BDBG!F52/1000</f>
        <v>0</v>
      </c>
      <c r="F49" s="15">
        <f>BDBG!M52/1000</f>
        <v>0</v>
      </c>
      <c r="G49" s="15">
        <f t="shared" si="13"/>
        <v>0</v>
      </c>
      <c r="H49" s="15">
        <f t="shared" si="34"/>
        <v>0</v>
      </c>
      <c r="I49" s="15"/>
      <c r="J49" s="15">
        <f>BDBG!Q52/1000</f>
        <v>0</v>
      </c>
      <c r="K49" s="15">
        <f>BDBG!S52/1000</f>
        <v>0</v>
      </c>
      <c r="L49" s="15">
        <f>BDBG!Z52/1000</f>
        <v>0</v>
      </c>
      <c r="M49" s="15">
        <f t="shared" si="14"/>
        <v>0</v>
      </c>
      <c r="N49" s="15">
        <f t="shared" si="1"/>
        <v>0</v>
      </c>
      <c r="O49" s="15"/>
      <c r="P49" s="15">
        <f>BDBG!AD52/1000</f>
        <v>0</v>
      </c>
      <c r="Q49" s="15">
        <f>BDBG!AF52/1000</f>
        <v>0</v>
      </c>
      <c r="R49" s="15">
        <f>BDBG!AM52/1000</f>
        <v>0</v>
      </c>
      <c r="S49" s="15">
        <f t="shared" si="15"/>
        <v>0</v>
      </c>
      <c r="T49" s="15">
        <f>P49-R49</f>
        <v>0</v>
      </c>
      <c r="U49" s="11"/>
      <c r="V49" s="15">
        <f>BDBG!AQ52/1000</f>
        <v>0</v>
      </c>
      <c r="W49" s="15">
        <f>BDBG!AS52/1000</f>
        <v>0</v>
      </c>
      <c r="X49" s="15">
        <f>BDBG!AZ52/1000</f>
        <v>0</v>
      </c>
      <c r="Y49" s="15">
        <f t="shared" si="16"/>
        <v>0</v>
      </c>
      <c r="Z49" s="15">
        <f t="shared" si="3"/>
        <v>0</v>
      </c>
      <c r="AA49" s="11"/>
      <c r="AB49" s="15">
        <f>BDBG!BQ52/1000</f>
        <v>0</v>
      </c>
      <c r="AC49" s="15">
        <f>BDBG!BQ52/1000</f>
        <v>0</v>
      </c>
      <c r="AD49" s="15">
        <f>BDBG!BZ52/1000</f>
        <v>0</v>
      </c>
      <c r="AE49" s="15">
        <f>AB49-AC49</f>
        <v>0</v>
      </c>
      <c r="AF49" s="15">
        <f t="shared" si="38"/>
        <v>0</v>
      </c>
      <c r="AG49" s="11"/>
      <c r="AH49" s="15">
        <f>BDBG!BD52/1000</f>
        <v>0</v>
      </c>
      <c r="AI49" s="15">
        <f>BDBG!BF52/1000</f>
        <v>0</v>
      </c>
      <c r="AJ49" s="15">
        <f>BDBG!BM52/1000</f>
        <v>0</v>
      </c>
      <c r="AK49" s="15">
        <f t="shared" si="17"/>
        <v>0</v>
      </c>
      <c r="AL49" s="15">
        <f t="shared" si="18"/>
        <v>0</v>
      </c>
      <c r="AM49" s="93"/>
      <c r="AN49" s="15">
        <f t="shared" si="19"/>
        <v>0</v>
      </c>
      <c r="AO49" s="15">
        <f t="shared" si="20"/>
        <v>0</v>
      </c>
      <c r="AP49" s="15">
        <f t="shared" si="6"/>
        <v>0</v>
      </c>
      <c r="AQ49" s="15">
        <f t="shared" si="35"/>
        <v>0</v>
      </c>
      <c r="AR49" s="15">
        <f t="shared" si="36"/>
        <v>0</v>
      </c>
      <c r="AS49" s="93"/>
      <c r="AT49" s="15">
        <f>D49</f>
        <v>0</v>
      </c>
      <c r="AU49" s="15">
        <f>+J49</f>
        <v>0</v>
      </c>
      <c r="AV49" s="15">
        <f t="shared" si="21"/>
        <v>0</v>
      </c>
      <c r="AW49" s="15">
        <f t="shared" si="22"/>
        <v>0</v>
      </c>
      <c r="AX49" s="15">
        <f>AH49</f>
        <v>0</v>
      </c>
      <c r="AY49" s="15">
        <f t="shared" si="23"/>
        <v>0</v>
      </c>
      <c r="AZ49" s="15">
        <f>SUM(AT49:AY49)</f>
        <v>0</v>
      </c>
    </row>
    <row r="50" spans="3:52" ht="13" x14ac:dyDescent="0.3">
      <c r="C50" s="94" t="s">
        <v>114</v>
      </c>
      <c r="D50" s="16">
        <f>D47+D42</f>
        <v>5243.8390399999989</v>
      </c>
      <c r="E50" s="16">
        <f>E47+E42</f>
        <v>0</v>
      </c>
      <c r="F50" s="16">
        <f>F47+F42</f>
        <v>11864.761499999999</v>
      </c>
      <c r="G50" s="16">
        <f t="shared" si="13"/>
        <v>5243.8390399999989</v>
      </c>
      <c r="H50" s="16">
        <f t="shared" si="34"/>
        <v>-6620.9224599999998</v>
      </c>
      <c r="I50" s="17"/>
      <c r="J50" s="16">
        <f>J47+J42</f>
        <v>1614.08978</v>
      </c>
      <c r="K50" s="16">
        <f>K47+K42</f>
        <v>0</v>
      </c>
      <c r="L50" s="16">
        <f>L47+L42</f>
        <v>1591.9953400000002</v>
      </c>
      <c r="M50" s="16">
        <f t="shared" si="14"/>
        <v>1614.08978</v>
      </c>
      <c r="N50" s="16">
        <f t="shared" si="1"/>
        <v>22.09443999999985</v>
      </c>
      <c r="O50" s="17"/>
      <c r="P50" s="16">
        <f>P47+P42</f>
        <v>7061.2653100000007</v>
      </c>
      <c r="Q50" s="16">
        <f>Q47+Q42</f>
        <v>0</v>
      </c>
      <c r="R50" s="16">
        <f>R47+R42</f>
        <v>6834.0487499999999</v>
      </c>
      <c r="S50" s="16">
        <f t="shared" si="15"/>
        <v>7061.2653100000007</v>
      </c>
      <c r="T50" s="16">
        <f>P50-R50</f>
        <v>227.21656000000075</v>
      </c>
      <c r="U50" s="41"/>
      <c r="V50" s="16">
        <f>V47+V42</f>
        <v>1743.6345799999999</v>
      </c>
      <c r="W50" s="16">
        <f>W47+W42</f>
        <v>0</v>
      </c>
      <c r="X50" s="16">
        <f>X47+X42</f>
        <v>1615.1128700000002</v>
      </c>
      <c r="Y50" s="16">
        <f t="shared" si="16"/>
        <v>1743.6345799999999</v>
      </c>
      <c r="Z50" s="16">
        <f t="shared" si="3"/>
        <v>128.52170999999976</v>
      </c>
      <c r="AA50" s="16"/>
      <c r="AB50" s="16">
        <f>AB47+AB42</f>
        <v>5658.895559999999</v>
      </c>
      <c r="AC50" s="16">
        <f>AC47+AC42</f>
        <v>5658.895559999999</v>
      </c>
      <c r="AD50" s="16">
        <f>AD47+AD42</f>
        <v>5998.9752600000002</v>
      </c>
      <c r="AE50" s="16">
        <v>923</v>
      </c>
      <c r="AF50" s="16">
        <f t="shared" si="38"/>
        <v>-340.07970000000114</v>
      </c>
      <c r="AG50" s="41"/>
      <c r="AH50" s="16">
        <f>AH47+AH42</f>
        <v>406.64463000000001</v>
      </c>
      <c r="AI50" s="16">
        <f>AI47+AI42</f>
        <v>0</v>
      </c>
      <c r="AJ50" s="16">
        <f>AJ47+AJ42</f>
        <v>366.00697000000002</v>
      </c>
      <c r="AK50" s="16">
        <f t="shared" si="17"/>
        <v>406.64463000000001</v>
      </c>
      <c r="AL50" s="16">
        <f t="shared" si="18"/>
        <v>40.637659999999983</v>
      </c>
      <c r="AM50" s="94" t="s">
        <v>114</v>
      </c>
      <c r="AN50" s="16">
        <f t="shared" si="19"/>
        <v>21728.368900000001</v>
      </c>
      <c r="AO50" s="16">
        <f>+AO48</f>
        <v>0</v>
      </c>
      <c r="AP50" s="16">
        <f t="shared" si="6"/>
        <v>28270.900689999995</v>
      </c>
      <c r="AQ50" s="16">
        <f t="shared" si="35"/>
        <v>21728.368900000001</v>
      </c>
      <c r="AR50" s="16">
        <f t="shared" si="36"/>
        <v>-6542.5317899999936</v>
      </c>
      <c r="AS50" s="94" t="s">
        <v>114</v>
      </c>
      <c r="AT50" s="16">
        <f>D50</f>
        <v>5243.8390399999989</v>
      </c>
      <c r="AU50" s="16">
        <f>+J50</f>
        <v>1614.08978</v>
      </c>
      <c r="AV50" s="16">
        <f t="shared" si="21"/>
        <v>7061.2653100000007</v>
      </c>
      <c r="AW50" s="16">
        <f t="shared" si="22"/>
        <v>1743.6345799999999</v>
      </c>
      <c r="AX50" s="16">
        <f>AH50</f>
        <v>406.64463000000001</v>
      </c>
      <c r="AY50" s="16">
        <f t="shared" si="23"/>
        <v>5658.895559999999</v>
      </c>
      <c r="AZ50" s="16">
        <f>SUM(AT50:AY50)</f>
        <v>21728.368900000001</v>
      </c>
    </row>
    <row r="51" spans="3:52" ht="13" x14ac:dyDescent="0.3">
      <c r="C51" s="94" t="s">
        <v>17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1"/>
      <c r="V51" s="15"/>
      <c r="W51" s="15"/>
      <c r="X51" s="15"/>
      <c r="Y51" s="15"/>
      <c r="Z51" s="15"/>
      <c r="AA51" s="11"/>
      <c r="AB51" s="15"/>
      <c r="AC51" s="15"/>
      <c r="AD51" s="15"/>
      <c r="AE51" s="15"/>
      <c r="AF51" s="15"/>
      <c r="AG51" s="11"/>
      <c r="AH51" s="15"/>
      <c r="AI51" s="15"/>
      <c r="AJ51" s="15"/>
      <c r="AK51" s="15">
        <f t="shared" si="17"/>
        <v>0</v>
      </c>
      <c r="AL51" s="15">
        <f t="shared" si="18"/>
        <v>0</v>
      </c>
      <c r="AM51" s="94" t="s">
        <v>17</v>
      </c>
      <c r="AN51" s="15">
        <f t="shared" si="19"/>
        <v>0</v>
      </c>
      <c r="AO51" s="15">
        <f t="shared" si="20"/>
        <v>0</v>
      </c>
      <c r="AP51" s="15">
        <f t="shared" si="6"/>
        <v>0</v>
      </c>
      <c r="AQ51" s="15">
        <f t="shared" si="35"/>
        <v>0</v>
      </c>
      <c r="AR51" s="15">
        <f t="shared" si="36"/>
        <v>0</v>
      </c>
      <c r="AS51" s="94" t="s">
        <v>17</v>
      </c>
      <c r="AT51" s="15"/>
      <c r="AU51" s="15"/>
      <c r="AV51" s="15"/>
      <c r="AW51" s="15"/>
      <c r="AX51" s="15"/>
      <c r="AY51" s="15"/>
      <c r="AZ51" s="15"/>
    </row>
    <row r="52" spans="3:52" x14ac:dyDescent="0.25">
      <c r="C52" s="92" t="s">
        <v>80</v>
      </c>
      <c r="D52" s="15">
        <f>BDBG!D55/1000</f>
        <v>2</v>
      </c>
      <c r="E52" s="15">
        <f>BDBG!F55/1000</f>
        <v>0</v>
      </c>
      <c r="F52" s="15">
        <f>BDBG!M55/1000</f>
        <v>2</v>
      </c>
      <c r="G52" s="15">
        <f t="shared" si="13"/>
        <v>2</v>
      </c>
      <c r="H52" s="15">
        <f t="shared" si="34"/>
        <v>0</v>
      </c>
      <c r="I52" s="15"/>
      <c r="J52" s="15">
        <f>BDBG!Q55/1000</f>
        <v>1</v>
      </c>
      <c r="K52" s="15">
        <f>BDBG!S55/1000</f>
        <v>0</v>
      </c>
      <c r="L52" s="15">
        <f>BDBG!Z55/1000</f>
        <v>1</v>
      </c>
      <c r="M52" s="15">
        <f t="shared" si="14"/>
        <v>1</v>
      </c>
      <c r="N52" s="15">
        <f t="shared" si="1"/>
        <v>0</v>
      </c>
      <c r="O52" s="15"/>
      <c r="P52" s="15">
        <f>BDBG!AD55/1000</f>
        <v>1</v>
      </c>
      <c r="Q52" s="15">
        <f>BDBG!AF55/1000</f>
        <v>0</v>
      </c>
      <c r="R52" s="15">
        <f>BDBG!AM55/1000</f>
        <v>1</v>
      </c>
      <c r="S52" s="15">
        <f t="shared" si="15"/>
        <v>1</v>
      </c>
      <c r="T52" s="15">
        <f t="shared" ref="T52:T59" si="40">P52-R52</f>
        <v>0</v>
      </c>
      <c r="U52" s="11"/>
      <c r="V52" s="15">
        <f>BDBG!AQ55/1000</f>
        <v>1</v>
      </c>
      <c r="W52" s="15">
        <f>BDBG!AS55/1000</f>
        <v>0</v>
      </c>
      <c r="X52" s="15">
        <f>BDBG!AZ55/1000</f>
        <v>1</v>
      </c>
      <c r="Y52" s="15">
        <f t="shared" si="16"/>
        <v>1</v>
      </c>
      <c r="Z52" s="15">
        <f t="shared" si="3"/>
        <v>0</v>
      </c>
      <c r="AA52" s="11"/>
      <c r="AB52" s="15">
        <f>BDBG!BQ55/1000</f>
        <v>2714.3425200000001</v>
      </c>
      <c r="AC52" s="15">
        <f>BDBG!BQ55/1000</f>
        <v>2714.3425200000001</v>
      </c>
      <c r="AD52" s="15">
        <f>BDBG!BZ55/1000</f>
        <v>2744.3598299999999</v>
      </c>
      <c r="AE52" s="15">
        <f t="shared" ref="AE52:AE59" si="41">AB52-AC52</f>
        <v>0</v>
      </c>
      <c r="AF52" s="15">
        <f t="shared" ref="AF52:AF59" si="42">AB52-AD52</f>
        <v>-30.017309999999725</v>
      </c>
      <c r="AG52" s="11"/>
      <c r="AH52" s="15">
        <f>BDBG!BD55/1000</f>
        <v>1</v>
      </c>
      <c r="AI52" s="15">
        <f>BDBG!BF55/1000</f>
        <v>0</v>
      </c>
      <c r="AJ52" s="15">
        <f>BDBG!BM55/1000</f>
        <v>1</v>
      </c>
      <c r="AK52" s="15">
        <f t="shared" si="17"/>
        <v>1</v>
      </c>
      <c r="AL52" s="15">
        <f t="shared" si="18"/>
        <v>0</v>
      </c>
      <c r="AM52" s="92" t="s">
        <v>80</v>
      </c>
      <c r="AN52" s="15">
        <f t="shared" si="19"/>
        <v>2720.3425200000001</v>
      </c>
      <c r="AO52" s="15">
        <f t="shared" si="20"/>
        <v>2714.3425200000001</v>
      </c>
      <c r="AP52" s="15">
        <f t="shared" si="6"/>
        <v>2750.3598299999999</v>
      </c>
      <c r="AQ52" s="15">
        <f t="shared" si="35"/>
        <v>6</v>
      </c>
      <c r="AR52" s="15">
        <f t="shared" si="36"/>
        <v>-30.017309999999725</v>
      </c>
      <c r="AS52" s="92" t="s">
        <v>80</v>
      </c>
      <c r="AT52" s="15">
        <f t="shared" ref="AT52:AT57" si="43">D52</f>
        <v>2</v>
      </c>
      <c r="AU52" s="15">
        <f t="shared" ref="AU52:AU58" si="44">+J52</f>
        <v>1</v>
      </c>
      <c r="AV52" s="15">
        <f t="shared" si="21"/>
        <v>1</v>
      </c>
      <c r="AW52" s="15">
        <f t="shared" si="22"/>
        <v>1</v>
      </c>
      <c r="AX52" s="15">
        <f t="shared" ref="AX52:AX58" si="45">AH52</f>
        <v>1</v>
      </c>
      <c r="AY52" s="15">
        <f t="shared" si="23"/>
        <v>2714.3425200000001</v>
      </c>
      <c r="AZ52" s="15">
        <f t="shared" ref="AZ52:AZ59" si="46">SUM(AT52:AY52)</f>
        <v>2720.3425200000001</v>
      </c>
    </row>
    <row r="53" spans="3:52" hidden="1" x14ac:dyDescent="0.25">
      <c r="C53" s="93"/>
      <c r="D53" s="15">
        <f>BDBG!D56/1000</f>
        <v>0</v>
      </c>
      <c r="E53" s="15">
        <f>BDBG!F56/1000</f>
        <v>0</v>
      </c>
      <c r="F53" s="15">
        <f>BDBG!M56/1000</f>
        <v>0</v>
      </c>
      <c r="G53" s="15">
        <f t="shared" si="13"/>
        <v>0</v>
      </c>
      <c r="H53" s="15">
        <f t="shared" si="34"/>
        <v>0</v>
      </c>
      <c r="I53" s="15"/>
      <c r="J53" s="15">
        <f>BDBG!Q56/1000</f>
        <v>0</v>
      </c>
      <c r="K53" s="15">
        <f>BDBG!S56/1000</f>
        <v>0</v>
      </c>
      <c r="L53" s="15">
        <f>BDBG!Z56/1000</f>
        <v>0</v>
      </c>
      <c r="M53" s="15">
        <f t="shared" si="14"/>
        <v>0</v>
      </c>
      <c r="N53" s="15">
        <f t="shared" si="1"/>
        <v>0</v>
      </c>
      <c r="O53" s="15"/>
      <c r="P53" s="15">
        <f>BDBG!AD56/1000</f>
        <v>0</v>
      </c>
      <c r="Q53" s="15">
        <f>BDBG!AF56/1000</f>
        <v>0</v>
      </c>
      <c r="R53" s="15">
        <f>BDBG!AM56/1000</f>
        <v>0</v>
      </c>
      <c r="S53" s="15">
        <f t="shared" si="15"/>
        <v>0</v>
      </c>
      <c r="T53" s="15">
        <f t="shared" si="40"/>
        <v>0</v>
      </c>
      <c r="U53" s="11"/>
      <c r="V53" s="15">
        <f>BDBG!AQ56/1000</f>
        <v>0</v>
      </c>
      <c r="W53" s="15">
        <f>BDBG!AS56/1000</f>
        <v>0</v>
      </c>
      <c r="X53" s="15">
        <f>BDBG!AZ56/1000</f>
        <v>0</v>
      </c>
      <c r="Y53" s="15">
        <f t="shared" si="16"/>
        <v>0</v>
      </c>
      <c r="Z53" s="15">
        <f t="shared" si="3"/>
        <v>0</v>
      </c>
      <c r="AA53" s="11"/>
      <c r="AB53" s="15"/>
      <c r="AC53" s="15"/>
      <c r="AD53" s="15"/>
      <c r="AE53" s="15">
        <f t="shared" si="41"/>
        <v>0</v>
      </c>
      <c r="AF53" s="15">
        <f t="shared" si="42"/>
        <v>0</v>
      </c>
      <c r="AG53" s="11"/>
      <c r="AH53" s="15">
        <f>BDBG!BD56/1000</f>
        <v>0</v>
      </c>
      <c r="AI53" s="15">
        <f>BDBG!BF56/1000</f>
        <v>0</v>
      </c>
      <c r="AJ53" s="15">
        <f>BDBG!BM56/1000</f>
        <v>0</v>
      </c>
      <c r="AK53" s="15">
        <f t="shared" si="17"/>
        <v>0</v>
      </c>
      <c r="AL53" s="15">
        <f t="shared" si="18"/>
        <v>0</v>
      </c>
      <c r="AM53" s="93"/>
      <c r="AN53" s="15">
        <f t="shared" si="19"/>
        <v>0</v>
      </c>
      <c r="AO53" s="15">
        <f t="shared" si="20"/>
        <v>0</v>
      </c>
      <c r="AP53" s="15">
        <f t="shared" si="6"/>
        <v>0</v>
      </c>
      <c r="AQ53" s="15">
        <f t="shared" si="35"/>
        <v>0</v>
      </c>
      <c r="AR53" s="15">
        <f t="shared" si="36"/>
        <v>0</v>
      </c>
      <c r="AS53" s="93"/>
      <c r="AT53" s="15">
        <f t="shared" si="43"/>
        <v>0</v>
      </c>
      <c r="AU53" s="15">
        <f t="shared" si="44"/>
        <v>0</v>
      </c>
      <c r="AV53" s="15">
        <f t="shared" si="21"/>
        <v>0</v>
      </c>
      <c r="AW53" s="15">
        <f t="shared" si="22"/>
        <v>0</v>
      </c>
      <c r="AX53" s="15">
        <f t="shared" si="45"/>
        <v>0</v>
      </c>
      <c r="AY53" s="15">
        <f t="shared" si="23"/>
        <v>0</v>
      </c>
      <c r="AZ53" s="15">
        <f t="shared" si="46"/>
        <v>0</v>
      </c>
    </row>
    <row r="54" spans="3:52" x14ac:dyDescent="0.25">
      <c r="C54" s="92" t="s">
        <v>81</v>
      </c>
      <c r="D54" s="15">
        <f>BDBG!D57/1000</f>
        <v>-8433.659740000001</v>
      </c>
      <c r="E54" s="15">
        <f>BDBG!F57/1000</f>
        <v>0</v>
      </c>
      <c r="F54" s="15">
        <f>BDBG!M57/1000</f>
        <v>-8433.659740000001</v>
      </c>
      <c r="G54" s="15">
        <f t="shared" si="13"/>
        <v>-8433.659740000001</v>
      </c>
      <c r="H54" s="15">
        <f t="shared" si="34"/>
        <v>0</v>
      </c>
      <c r="I54" s="15"/>
      <c r="J54" s="15">
        <f>BDBG!Q57/1000</f>
        <v>-1007.3523</v>
      </c>
      <c r="K54" s="15">
        <f>BDBG!S57/1000</f>
        <v>0</v>
      </c>
      <c r="L54" s="15">
        <f>BDBG!Z57/1000</f>
        <v>-1007.3523</v>
      </c>
      <c r="M54" s="15">
        <f t="shared" si="14"/>
        <v>-1007.3523</v>
      </c>
      <c r="N54" s="15">
        <f t="shared" si="1"/>
        <v>0</v>
      </c>
      <c r="O54" s="15"/>
      <c r="P54" s="15">
        <f>BDBG!AD57/1000</f>
        <v>-3119.7289999999998</v>
      </c>
      <c r="Q54" s="15">
        <f>BDBG!AF57/1000</f>
        <v>0</v>
      </c>
      <c r="R54" s="15">
        <f>BDBG!AM57/1000</f>
        <v>-3119.7289999999998</v>
      </c>
      <c r="S54" s="15">
        <f t="shared" si="15"/>
        <v>-3119.7289999999998</v>
      </c>
      <c r="T54" s="15">
        <f t="shared" si="40"/>
        <v>0</v>
      </c>
      <c r="U54" s="11"/>
      <c r="V54" s="15">
        <f>BDBG!AQ57/1000</f>
        <v>-1610.70093</v>
      </c>
      <c r="W54" s="15">
        <f>BDBG!AS57/1000</f>
        <v>0</v>
      </c>
      <c r="X54" s="15">
        <f>BDBG!AZ57/1000</f>
        <v>-1610.70093</v>
      </c>
      <c r="Y54" s="15">
        <f t="shared" si="16"/>
        <v>-1610.70093</v>
      </c>
      <c r="Z54" s="15">
        <f t="shared" si="3"/>
        <v>0</v>
      </c>
      <c r="AA54" s="11"/>
      <c r="AB54" s="15">
        <f>BDBG!BQ57/1000</f>
        <v>2671.0353999999998</v>
      </c>
      <c r="AC54" s="15">
        <f>BDBG!BQ57/1000</f>
        <v>2671.0353999999998</v>
      </c>
      <c r="AD54" s="15">
        <f>BDBG!BZ57/1000</f>
        <v>2671.0353999999998</v>
      </c>
      <c r="AE54" s="15">
        <f t="shared" si="41"/>
        <v>0</v>
      </c>
      <c r="AF54" s="15">
        <f t="shared" si="42"/>
        <v>0</v>
      </c>
      <c r="AG54" s="11"/>
      <c r="AH54" s="15">
        <f>BDBG!BD57/1000</f>
        <v>18.91009</v>
      </c>
      <c r="AI54" s="15">
        <f>BDBG!BF57/1000</f>
        <v>0</v>
      </c>
      <c r="AJ54" s="15">
        <f>BDBG!BM57/1000</f>
        <v>18.91009</v>
      </c>
      <c r="AK54" s="15">
        <f t="shared" si="17"/>
        <v>18.91009</v>
      </c>
      <c r="AL54" s="15">
        <f t="shared" si="18"/>
        <v>0</v>
      </c>
      <c r="AM54" s="92" t="s">
        <v>81</v>
      </c>
      <c r="AN54" s="15">
        <f t="shared" si="19"/>
        <v>-11481.496480000002</v>
      </c>
      <c r="AO54" s="15">
        <f t="shared" si="20"/>
        <v>2671.0353999999998</v>
      </c>
      <c r="AP54" s="15">
        <f t="shared" si="6"/>
        <v>-11481.49648</v>
      </c>
      <c r="AQ54" s="15">
        <f t="shared" si="35"/>
        <v>-14152.531880000002</v>
      </c>
      <c r="AR54" s="15">
        <f t="shared" si="36"/>
        <v>0</v>
      </c>
      <c r="AS54" s="92" t="s">
        <v>81</v>
      </c>
      <c r="AT54" s="15">
        <f t="shared" si="43"/>
        <v>-8433.659740000001</v>
      </c>
      <c r="AU54" s="15">
        <f t="shared" si="44"/>
        <v>-1007.3523</v>
      </c>
      <c r="AV54" s="15">
        <f t="shared" si="21"/>
        <v>-3119.7289999999998</v>
      </c>
      <c r="AW54" s="15">
        <f t="shared" si="22"/>
        <v>-1610.70093</v>
      </c>
      <c r="AX54" s="15">
        <f t="shared" si="45"/>
        <v>18.91009</v>
      </c>
      <c r="AY54" s="15">
        <f t="shared" si="23"/>
        <v>2671.0353999999998</v>
      </c>
      <c r="AZ54" s="15">
        <f t="shared" si="46"/>
        <v>-11481.496480000002</v>
      </c>
    </row>
    <row r="55" spans="3:52" x14ac:dyDescent="0.25">
      <c r="C55" s="92" t="s">
        <v>53</v>
      </c>
      <c r="D55" s="15">
        <f>BDBG!D58/1000</f>
        <v>154.37834000000001</v>
      </c>
      <c r="E55" s="15">
        <f>BDBG!F58/1000</f>
        <v>0</v>
      </c>
      <c r="F55" s="15">
        <f>BDBG!M58/1000</f>
        <v>0</v>
      </c>
      <c r="G55" s="15">
        <f t="shared" si="13"/>
        <v>154.37834000000001</v>
      </c>
      <c r="H55" s="15">
        <f t="shared" si="34"/>
        <v>154.37834000000001</v>
      </c>
      <c r="I55" s="15"/>
      <c r="J55" s="15">
        <f>BDBG!Q58/1000</f>
        <v>-17.519650000000002</v>
      </c>
      <c r="K55" s="15">
        <f>BDBG!S58/1000</f>
        <v>0</v>
      </c>
      <c r="L55" s="15">
        <f>BDBG!Z58/1000</f>
        <v>0</v>
      </c>
      <c r="M55" s="15">
        <f t="shared" si="14"/>
        <v>-17.519650000000002</v>
      </c>
      <c r="N55" s="15">
        <f t="shared" si="1"/>
        <v>-17.519650000000002</v>
      </c>
      <c r="O55" s="15"/>
      <c r="P55" s="15">
        <f>BDBG!AD58/1000</f>
        <v>-71.060839999999999</v>
      </c>
      <c r="Q55" s="15">
        <f>BDBG!AF58/1000</f>
        <v>0</v>
      </c>
      <c r="R55" s="15">
        <f>BDBG!AM58/1000</f>
        <v>0</v>
      </c>
      <c r="S55" s="15">
        <f t="shared" si="15"/>
        <v>-71.060839999999999</v>
      </c>
      <c r="T55" s="15">
        <f t="shared" si="40"/>
        <v>-71.060839999999999</v>
      </c>
      <c r="U55" s="11"/>
      <c r="V55" s="15">
        <f>BDBG!AQ58/1000</f>
        <v>-140.155</v>
      </c>
      <c r="W55" s="15">
        <f>BDBG!AS58/1000</f>
        <v>0</v>
      </c>
      <c r="X55" s="15">
        <f>BDBG!AZ58/1000</f>
        <v>0</v>
      </c>
      <c r="Y55" s="15">
        <f t="shared" si="16"/>
        <v>-140.155</v>
      </c>
      <c r="Z55" s="15">
        <f t="shared" si="3"/>
        <v>-140.155</v>
      </c>
      <c r="AA55" s="11"/>
      <c r="AB55" s="15">
        <f>BDBG!BQ58/1000</f>
        <v>305.07292999999999</v>
      </c>
      <c r="AC55" s="15">
        <f>BDBG!BQ58/1000</f>
        <v>305.07292999999999</v>
      </c>
      <c r="AD55" s="15">
        <f>BDBG!BZ58/1000</f>
        <v>0</v>
      </c>
      <c r="AE55" s="15">
        <f t="shared" si="41"/>
        <v>0</v>
      </c>
      <c r="AF55" s="15">
        <f t="shared" si="42"/>
        <v>305.07292999999999</v>
      </c>
      <c r="AG55" s="11"/>
      <c r="AH55" s="15">
        <f>BDBG!BD58/1000</f>
        <v>-82.031490000000005</v>
      </c>
      <c r="AI55" s="15">
        <f>BDBG!BF58/1000</f>
        <v>0</v>
      </c>
      <c r="AJ55" s="15">
        <f>BDBG!BM58/1000</f>
        <v>0</v>
      </c>
      <c r="AK55" s="15">
        <f t="shared" si="17"/>
        <v>-82.031490000000005</v>
      </c>
      <c r="AL55" s="15">
        <f t="shared" si="18"/>
        <v>-82.031490000000005</v>
      </c>
      <c r="AM55" s="92" t="s">
        <v>53</v>
      </c>
      <c r="AN55" s="15">
        <f t="shared" si="19"/>
        <v>148.68428999999998</v>
      </c>
      <c r="AO55" s="15">
        <f t="shared" si="20"/>
        <v>305.07292999999999</v>
      </c>
      <c r="AP55" s="15">
        <f t="shared" si="6"/>
        <v>0</v>
      </c>
      <c r="AQ55" s="15">
        <f t="shared" si="35"/>
        <v>-156.38864000000001</v>
      </c>
      <c r="AR55" s="15">
        <f t="shared" si="36"/>
        <v>148.68428999999998</v>
      </c>
      <c r="AS55" s="92" t="s">
        <v>53</v>
      </c>
      <c r="AT55" s="15">
        <f t="shared" si="43"/>
        <v>154.37834000000001</v>
      </c>
      <c r="AU55" s="15">
        <f t="shared" si="44"/>
        <v>-17.519650000000002</v>
      </c>
      <c r="AV55" s="15">
        <f t="shared" si="21"/>
        <v>-71.060839999999999</v>
      </c>
      <c r="AW55" s="15">
        <f t="shared" si="22"/>
        <v>-140.155</v>
      </c>
      <c r="AX55" s="15">
        <f t="shared" si="45"/>
        <v>-82.031490000000005</v>
      </c>
      <c r="AY55" s="15">
        <f t="shared" si="23"/>
        <v>305.07292999999999</v>
      </c>
      <c r="AZ55" s="15">
        <f t="shared" si="46"/>
        <v>148.68428999999998</v>
      </c>
    </row>
    <row r="56" spans="3:52" x14ac:dyDescent="0.25">
      <c r="C56" s="99" t="s">
        <v>79</v>
      </c>
      <c r="D56" s="15">
        <f>BDBG!D59/1000</f>
        <v>3594.7475299999996</v>
      </c>
      <c r="E56" s="15">
        <f>BDBG!F59/1000</f>
        <v>0</v>
      </c>
      <c r="F56" s="15">
        <f>BDBG!M59/1000</f>
        <v>3594.7475299999996</v>
      </c>
      <c r="G56" s="15">
        <f t="shared" si="13"/>
        <v>3594.7475299999996</v>
      </c>
      <c r="H56" s="15">
        <f t="shared" si="34"/>
        <v>0</v>
      </c>
      <c r="I56" s="15"/>
      <c r="J56" s="15">
        <f>BDBG!Q59/1000</f>
        <v>0</v>
      </c>
      <c r="K56" s="15">
        <f>BDBG!S59/1000</f>
        <v>0</v>
      </c>
      <c r="L56" s="15">
        <f>BDBG!Z59/1000</f>
        <v>0</v>
      </c>
      <c r="M56" s="15">
        <f t="shared" si="14"/>
        <v>0</v>
      </c>
      <c r="N56" s="15">
        <f t="shared" si="1"/>
        <v>0</v>
      </c>
      <c r="O56" s="15"/>
      <c r="P56" s="15">
        <f>BDBG!AD59/1000</f>
        <v>0</v>
      </c>
      <c r="Q56" s="15">
        <f>BDBG!AF59/1000</f>
        <v>0</v>
      </c>
      <c r="R56" s="15">
        <f>BDBG!AM59/1000</f>
        <v>0</v>
      </c>
      <c r="S56" s="15">
        <f t="shared" si="15"/>
        <v>0</v>
      </c>
      <c r="T56" s="15">
        <f t="shared" si="40"/>
        <v>0</v>
      </c>
      <c r="U56" s="11"/>
      <c r="V56" s="15">
        <f>BDBG!AQ59/1000</f>
        <v>399.5</v>
      </c>
      <c r="W56" s="15">
        <f>BDBG!AS59/1000</f>
        <v>0</v>
      </c>
      <c r="X56" s="15">
        <f>BDBG!AZ59/1000</f>
        <v>399.5</v>
      </c>
      <c r="Y56" s="15">
        <f t="shared" si="16"/>
        <v>399.5</v>
      </c>
      <c r="Z56" s="15">
        <f t="shared" si="3"/>
        <v>0</v>
      </c>
      <c r="AA56" s="11"/>
      <c r="AB56" s="15">
        <f>BDBG!BQ56/1000</f>
        <v>50</v>
      </c>
      <c r="AC56" s="15">
        <f>BDBG!BQ56/1000</f>
        <v>50</v>
      </c>
      <c r="AD56" s="15">
        <f>BDBG!BZ56/1000</f>
        <v>50</v>
      </c>
      <c r="AE56" s="15">
        <f t="shared" si="41"/>
        <v>0</v>
      </c>
      <c r="AF56" s="15">
        <f t="shared" si="42"/>
        <v>0</v>
      </c>
      <c r="AG56" s="11"/>
      <c r="AH56" s="15">
        <f>BDBG!BD59/1000</f>
        <v>4</v>
      </c>
      <c r="AI56" s="15">
        <f>BDBG!BF59/1000</f>
        <v>0</v>
      </c>
      <c r="AJ56" s="15">
        <f>BDBG!BM59/1000</f>
        <v>4</v>
      </c>
      <c r="AK56" s="15">
        <f t="shared" si="17"/>
        <v>4</v>
      </c>
      <c r="AL56" s="15">
        <f t="shared" si="18"/>
        <v>0</v>
      </c>
      <c r="AM56" s="99" t="s">
        <v>79</v>
      </c>
      <c r="AN56" s="15">
        <f t="shared" si="19"/>
        <v>4048.2475299999996</v>
      </c>
      <c r="AO56" s="15">
        <f t="shared" si="20"/>
        <v>50</v>
      </c>
      <c r="AP56" s="15">
        <f t="shared" si="6"/>
        <v>4048.2475299999996</v>
      </c>
      <c r="AQ56" s="15">
        <f t="shared" si="35"/>
        <v>3998.2475299999996</v>
      </c>
      <c r="AR56" s="15">
        <f t="shared" si="36"/>
        <v>0</v>
      </c>
      <c r="AS56" s="99" t="s">
        <v>79</v>
      </c>
      <c r="AT56" s="15">
        <f t="shared" si="43"/>
        <v>3594.7475299999996</v>
      </c>
      <c r="AU56" s="15">
        <f t="shared" si="44"/>
        <v>0</v>
      </c>
      <c r="AV56" s="15">
        <f t="shared" si="21"/>
        <v>0</v>
      </c>
      <c r="AW56" s="15">
        <f t="shared" si="22"/>
        <v>399.5</v>
      </c>
      <c r="AX56" s="15">
        <f t="shared" si="45"/>
        <v>4</v>
      </c>
      <c r="AY56" s="15">
        <f t="shared" si="23"/>
        <v>50</v>
      </c>
      <c r="AZ56" s="15">
        <f t="shared" si="46"/>
        <v>4048.2475299999996</v>
      </c>
    </row>
    <row r="57" spans="3:52" hidden="1" x14ac:dyDescent="0.25">
      <c r="C57" s="96"/>
      <c r="D57" s="15">
        <f>BDBG!D60/1000</f>
        <v>0</v>
      </c>
      <c r="E57" s="15">
        <f>BDBG!F60/1000</f>
        <v>0</v>
      </c>
      <c r="F57" s="15">
        <f>BDBG!M60/1000</f>
        <v>0</v>
      </c>
      <c r="G57" s="15">
        <f t="shared" si="13"/>
        <v>0</v>
      </c>
      <c r="H57" s="15">
        <f t="shared" si="34"/>
        <v>0</v>
      </c>
      <c r="I57" s="15"/>
      <c r="J57" s="15">
        <f>BDBG!Q60/1000</f>
        <v>0</v>
      </c>
      <c r="K57" s="15">
        <f>BDBG!S60/1000</f>
        <v>0</v>
      </c>
      <c r="L57" s="15">
        <f>BDBG!Z60/1000</f>
        <v>0</v>
      </c>
      <c r="M57" s="15">
        <f t="shared" si="14"/>
        <v>0</v>
      </c>
      <c r="N57" s="15">
        <f t="shared" si="1"/>
        <v>0</v>
      </c>
      <c r="O57" s="15"/>
      <c r="P57" s="15">
        <f>BDBG!AD60/1000</f>
        <v>0</v>
      </c>
      <c r="Q57" s="15">
        <f>BDBG!AF60/1000</f>
        <v>0</v>
      </c>
      <c r="R57" s="15">
        <f>BDBG!AM60/1000</f>
        <v>0</v>
      </c>
      <c r="S57" s="15">
        <f t="shared" si="15"/>
        <v>0</v>
      </c>
      <c r="T57" s="15">
        <f t="shared" si="40"/>
        <v>0</v>
      </c>
      <c r="U57" s="11"/>
      <c r="V57" s="15">
        <f>BDBG!AQ60/1000</f>
        <v>0</v>
      </c>
      <c r="W57" s="15">
        <f>BDBG!AS60/1000</f>
        <v>0</v>
      </c>
      <c r="X57" s="15">
        <f>BDBG!AZ60/1000</f>
        <v>0</v>
      </c>
      <c r="Y57" s="15">
        <f t="shared" si="16"/>
        <v>0</v>
      </c>
      <c r="Z57" s="15">
        <f t="shared" si="3"/>
        <v>0</v>
      </c>
      <c r="AA57" s="11"/>
      <c r="AB57" s="15">
        <f>BDBG!BQ60/1000</f>
        <v>0</v>
      </c>
      <c r="AC57" s="15">
        <f>BDBG!BQ60/1000</f>
        <v>0</v>
      </c>
      <c r="AD57" s="15">
        <f>BDBG!BZ60/1000</f>
        <v>0</v>
      </c>
      <c r="AE57" s="15">
        <f t="shared" si="41"/>
        <v>0</v>
      </c>
      <c r="AF57" s="15">
        <f t="shared" si="42"/>
        <v>0</v>
      </c>
      <c r="AG57" s="11"/>
      <c r="AH57" s="15">
        <f>BDBG!BD60/1000</f>
        <v>0</v>
      </c>
      <c r="AI57" s="15">
        <f>BDBG!BF60/1000</f>
        <v>0</v>
      </c>
      <c r="AJ57" s="15">
        <f>BDBG!BM60/1000</f>
        <v>0</v>
      </c>
      <c r="AK57" s="15">
        <f t="shared" si="17"/>
        <v>0</v>
      </c>
      <c r="AL57" s="15">
        <f t="shared" si="18"/>
        <v>0</v>
      </c>
      <c r="AM57" s="96"/>
      <c r="AN57" s="15">
        <f t="shared" si="19"/>
        <v>0</v>
      </c>
      <c r="AO57" s="15">
        <f t="shared" si="20"/>
        <v>0</v>
      </c>
      <c r="AP57" s="15">
        <f t="shared" si="6"/>
        <v>0</v>
      </c>
      <c r="AQ57" s="15">
        <f t="shared" si="35"/>
        <v>0</v>
      </c>
      <c r="AR57" s="15">
        <f t="shared" si="36"/>
        <v>0</v>
      </c>
      <c r="AS57" s="96"/>
      <c r="AT57" s="15">
        <f t="shared" si="43"/>
        <v>0</v>
      </c>
      <c r="AU57" s="15">
        <f t="shared" si="44"/>
        <v>0</v>
      </c>
      <c r="AV57" s="15">
        <f t="shared" si="21"/>
        <v>0</v>
      </c>
      <c r="AW57" s="15">
        <f t="shared" si="22"/>
        <v>0</v>
      </c>
      <c r="AX57" s="15">
        <f t="shared" si="45"/>
        <v>0</v>
      </c>
      <c r="AY57" s="15">
        <f t="shared" si="23"/>
        <v>0</v>
      </c>
      <c r="AZ57" s="15">
        <f t="shared" si="46"/>
        <v>0</v>
      </c>
    </row>
    <row r="58" spans="3:52" ht="13" x14ac:dyDescent="0.3">
      <c r="C58" s="100" t="s">
        <v>82</v>
      </c>
      <c r="D58" s="19">
        <f>D52+D54+D55+D56</f>
        <v>-4682.533870000002</v>
      </c>
      <c r="E58" s="19">
        <f>E52+E54+E55+E56</f>
        <v>0</v>
      </c>
      <c r="F58" s="19">
        <f>F52+F54+F55+F56</f>
        <v>-4836.9122100000013</v>
      </c>
      <c r="G58" s="19">
        <f t="shared" si="13"/>
        <v>-4682.533870000002</v>
      </c>
      <c r="H58" s="19">
        <f t="shared" si="34"/>
        <v>154.3783399999993</v>
      </c>
      <c r="I58" s="17"/>
      <c r="J58" s="19">
        <f>J52+J54+J55+J56</f>
        <v>-1023.87195</v>
      </c>
      <c r="K58" s="19">
        <f>K52+K54+K55+K56</f>
        <v>0</v>
      </c>
      <c r="L58" s="19">
        <f>L52+L54+L55+L56</f>
        <v>-1006.3523</v>
      </c>
      <c r="M58" s="19">
        <f t="shared" si="14"/>
        <v>-1023.87195</v>
      </c>
      <c r="N58" s="19">
        <f t="shared" si="1"/>
        <v>-17.519649999999956</v>
      </c>
      <c r="O58" s="17"/>
      <c r="P58" s="19">
        <f>P52+P54+P55+P56</f>
        <v>-3189.7898399999999</v>
      </c>
      <c r="Q58" s="19">
        <f>Q52+Q54+Q55+Q56</f>
        <v>0</v>
      </c>
      <c r="R58" s="19">
        <f>R52+R54+R55+R56</f>
        <v>-3118.7289999999998</v>
      </c>
      <c r="S58" s="19">
        <f t="shared" si="15"/>
        <v>-3189.7898399999999</v>
      </c>
      <c r="T58" s="19">
        <f t="shared" si="40"/>
        <v>-71.060840000000098</v>
      </c>
      <c r="U58" s="41"/>
      <c r="V58" s="19">
        <f>V52+V54+V55+V56</f>
        <v>-1350.3559299999999</v>
      </c>
      <c r="W58" s="19">
        <f>W52+W54+W55+W56</f>
        <v>0</v>
      </c>
      <c r="X58" s="19">
        <f>X52+X54+X55+X56</f>
        <v>-1210.20093</v>
      </c>
      <c r="Y58" s="19">
        <f t="shared" si="16"/>
        <v>-1350.3559299999999</v>
      </c>
      <c r="Z58" s="19">
        <f t="shared" si="3"/>
        <v>-140.15499999999997</v>
      </c>
      <c r="AA58" s="41"/>
      <c r="AB58" s="19">
        <f>AB52+AB54+AB55+AB56+AB53</f>
        <v>5740.4508500000002</v>
      </c>
      <c r="AC58" s="19">
        <f>AC52+AC54+AC55+AC56+AC53</f>
        <v>5740.4508500000002</v>
      </c>
      <c r="AD58" s="19">
        <f>AD52+AD54+AD55+AD56+AD53</f>
        <v>5465.3952300000001</v>
      </c>
      <c r="AE58" s="19">
        <f t="shared" si="41"/>
        <v>0</v>
      </c>
      <c r="AF58" s="19">
        <f t="shared" si="42"/>
        <v>275.05562000000009</v>
      </c>
      <c r="AG58" s="41"/>
      <c r="AH58" s="19">
        <f>AH52+AH54+AH55+AH56+AH53</f>
        <v>-58.121400000000008</v>
      </c>
      <c r="AI58" s="19">
        <f>AI52+AI54+AI55+AI56+AI53</f>
        <v>0</v>
      </c>
      <c r="AJ58" s="19">
        <f>AJ52+AJ54+AJ55+AJ56+AJ53</f>
        <v>23.91009</v>
      </c>
      <c r="AK58" s="19">
        <f>AK52+AK54+AK55+AK56</f>
        <v>-58.121400000000008</v>
      </c>
      <c r="AL58" s="19">
        <f>AL52+AL54+AL55+AL56</f>
        <v>-82.031490000000005</v>
      </c>
      <c r="AM58" s="100" t="s">
        <v>82</v>
      </c>
      <c r="AN58" s="19">
        <f>AN52+AN54+AN55+AN56+AN53</f>
        <v>-4564.2221400000026</v>
      </c>
      <c r="AO58" s="19">
        <f>AO52+AO54+AO55+AO56+AO53</f>
        <v>5740.4508500000002</v>
      </c>
      <c r="AP58" s="19">
        <f>AP52+AP54+AP55+AP56+AP53</f>
        <v>-4682.8891200000007</v>
      </c>
      <c r="AQ58" s="19">
        <f>AQ52+AQ54+AQ55+AQ56+AQ53</f>
        <v>-10304.672990000003</v>
      </c>
      <c r="AR58" s="19">
        <f>AR52+AR54+AR55+AR56+AR53</f>
        <v>118.66698000000025</v>
      </c>
      <c r="AS58" s="100" t="s">
        <v>82</v>
      </c>
      <c r="AT58" s="19">
        <f>D58</f>
        <v>-4682.533870000002</v>
      </c>
      <c r="AU58" s="19">
        <f t="shared" si="44"/>
        <v>-1023.87195</v>
      </c>
      <c r="AV58" s="19">
        <f t="shared" si="21"/>
        <v>-3189.7898399999999</v>
      </c>
      <c r="AW58" s="19">
        <f t="shared" si="22"/>
        <v>-1350.3559299999999</v>
      </c>
      <c r="AX58" s="19">
        <f t="shared" si="45"/>
        <v>-58.121400000000008</v>
      </c>
      <c r="AY58" s="19">
        <f t="shared" si="23"/>
        <v>5740.4508500000002</v>
      </c>
      <c r="AZ58" s="19">
        <f t="shared" si="46"/>
        <v>-4564.2221400000008</v>
      </c>
    </row>
    <row r="59" spans="3:52" ht="13" x14ac:dyDescent="0.3">
      <c r="C59" s="100" t="s">
        <v>83</v>
      </c>
      <c r="D59" s="20">
        <f>D42+D47+D58</f>
        <v>561.30516999999691</v>
      </c>
      <c r="E59" s="20">
        <f>E42+E47+E58</f>
        <v>0</v>
      </c>
      <c r="F59" s="20">
        <f>F42+F47+F58</f>
        <v>7027.8492899999974</v>
      </c>
      <c r="G59" s="20">
        <f t="shared" si="13"/>
        <v>561.30516999999691</v>
      </c>
      <c r="H59" s="20">
        <f t="shared" si="34"/>
        <v>-6466.5441200000005</v>
      </c>
      <c r="I59" s="17"/>
      <c r="J59" s="20">
        <f>J42+J47+J58</f>
        <v>590.21783000000005</v>
      </c>
      <c r="K59" s="20">
        <f>K42+K47+K58</f>
        <v>0</v>
      </c>
      <c r="L59" s="20">
        <f>L42+L47+L58</f>
        <v>585.64304000000016</v>
      </c>
      <c r="M59" s="20">
        <f t="shared" si="14"/>
        <v>590.21783000000005</v>
      </c>
      <c r="N59" s="20">
        <f t="shared" si="1"/>
        <v>4.5747899999998936</v>
      </c>
      <c r="O59" s="17"/>
      <c r="P59" s="20">
        <f>P42+P47+P58</f>
        <v>3871.4754700000008</v>
      </c>
      <c r="Q59" s="20">
        <f>Q42+Q47+Q58</f>
        <v>0</v>
      </c>
      <c r="R59" s="20">
        <f>R42+R47+R58</f>
        <v>3715.3197500000001</v>
      </c>
      <c r="S59" s="20">
        <f t="shared" si="15"/>
        <v>3871.4754700000008</v>
      </c>
      <c r="T59" s="20">
        <f t="shared" si="40"/>
        <v>156.15572000000066</v>
      </c>
      <c r="U59" s="41"/>
      <c r="V59" s="20">
        <f>V42+V47+V58</f>
        <v>393.27864999999997</v>
      </c>
      <c r="W59" s="20">
        <f>W42+W47+W58</f>
        <v>0</v>
      </c>
      <c r="X59" s="20">
        <f>X42+X47+X58</f>
        <v>404.91194000000019</v>
      </c>
      <c r="Y59" s="20">
        <f t="shared" si="16"/>
        <v>393.27864999999997</v>
      </c>
      <c r="Z59" s="20">
        <f t="shared" si="3"/>
        <v>-11.633290000000216</v>
      </c>
      <c r="AA59" s="41"/>
      <c r="AB59" s="20">
        <f>AB42+AB47+AB58</f>
        <v>11399.346409999998</v>
      </c>
      <c r="AC59" s="20">
        <f>AC42+AC47+AC58</f>
        <v>11399.346409999998</v>
      </c>
      <c r="AD59" s="20">
        <f>AD42+AD47+AD58</f>
        <v>11464.370490000001</v>
      </c>
      <c r="AE59" s="20">
        <f t="shared" si="41"/>
        <v>0</v>
      </c>
      <c r="AF59" s="20">
        <f t="shared" si="42"/>
        <v>-65.024080000002868</v>
      </c>
      <c r="AG59" s="41"/>
      <c r="AH59" s="20">
        <f>AH42+AH47+AH58</f>
        <v>348.52323000000001</v>
      </c>
      <c r="AI59" s="20">
        <f>AI42+AI47+AI58</f>
        <v>0</v>
      </c>
      <c r="AJ59" s="20">
        <f>AJ42+AJ47+AJ58</f>
        <v>389.91706000000005</v>
      </c>
      <c r="AK59" s="20">
        <f>AK42+AK47+AK58</f>
        <v>348.52323000000001</v>
      </c>
      <c r="AL59" s="20">
        <f>AL42+AL47+AL58</f>
        <v>-41.393830000000008</v>
      </c>
      <c r="AM59" s="100" t="s">
        <v>83</v>
      </c>
      <c r="AN59" s="20">
        <f>AN42+AN47+AN58</f>
        <v>17164.14676</v>
      </c>
      <c r="AO59" s="20">
        <f>AO42+AO47+AO58</f>
        <v>11399.346409999998</v>
      </c>
      <c r="AP59" s="20">
        <f>AP42+AP47+AP58</f>
        <v>23588.011569999999</v>
      </c>
      <c r="AQ59" s="20">
        <f>AQ42+AQ47+AQ58</f>
        <v>5764.8003499999977</v>
      </c>
      <c r="AR59" s="20">
        <f>AN59-AP59</f>
        <v>-6423.8648099999991</v>
      </c>
      <c r="AS59" s="100" t="s">
        <v>83</v>
      </c>
      <c r="AT59" s="20">
        <f t="shared" ref="AT59:AY59" si="47">AT42+AT47+AT58</f>
        <v>561.30516999999691</v>
      </c>
      <c r="AU59" s="20">
        <f t="shared" si="47"/>
        <v>590.21783000000005</v>
      </c>
      <c r="AV59" s="20">
        <f t="shared" si="47"/>
        <v>3871.4754700000008</v>
      </c>
      <c r="AW59" s="20">
        <f t="shared" si="47"/>
        <v>393.27864999999997</v>
      </c>
      <c r="AX59" s="20">
        <f>AX42+AX47+AX58</f>
        <v>348.52323000000001</v>
      </c>
      <c r="AY59" s="20">
        <f t="shared" si="47"/>
        <v>11399.346409999998</v>
      </c>
      <c r="AZ59" s="20">
        <f t="shared" si="46"/>
        <v>17164.146759999996</v>
      </c>
    </row>
    <row r="60" spans="3:52" x14ac:dyDescent="0.25">
      <c r="C60" s="101" t="s">
        <v>220</v>
      </c>
      <c r="D60" s="173">
        <f>D35-D59</f>
        <v>2.2737367544323206E-12</v>
      </c>
      <c r="E60" s="173">
        <f>E35-E59</f>
        <v>0</v>
      </c>
      <c r="F60" s="173">
        <f>F35-F59</f>
        <v>0</v>
      </c>
      <c r="G60" s="173">
        <f>G35-G59</f>
        <v>2.2737367544323206E-12</v>
      </c>
      <c r="H60" s="173">
        <f>H35-H59</f>
        <v>0</v>
      </c>
      <c r="J60" s="173">
        <f>J35-J59</f>
        <v>0</v>
      </c>
      <c r="K60" s="173">
        <f>K35-K59</f>
        <v>0</v>
      </c>
      <c r="L60" s="173">
        <f>L35-L59</f>
        <v>0</v>
      </c>
      <c r="M60" s="173">
        <f>M35-M59</f>
        <v>0</v>
      </c>
      <c r="N60" s="173">
        <f>N35-N59</f>
        <v>0</v>
      </c>
      <c r="P60" s="173">
        <f>P35-P59</f>
        <v>0</v>
      </c>
      <c r="Q60" s="173">
        <f>Q35-Q59</f>
        <v>0</v>
      </c>
      <c r="R60" s="173">
        <f>R35-R59</f>
        <v>0</v>
      </c>
      <c r="S60" s="173">
        <f>S35-S59</f>
        <v>0</v>
      </c>
      <c r="T60" s="173">
        <f>T35-T59</f>
        <v>-4.5474735088646412E-13</v>
      </c>
      <c r="U60" s="11"/>
      <c r="V60" s="173">
        <f>V35-V59</f>
        <v>0</v>
      </c>
      <c r="W60" s="173">
        <f>W35-W59</f>
        <v>0</v>
      </c>
      <c r="X60" s="173">
        <f>X35-X59</f>
        <v>0</v>
      </c>
      <c r="Y60" s="173">
        <f>Y35-Y59</f>
        <v>0</v>
      </c>
      <c r="Z60" s="173">
        <f>Z35-Z59</f>
        <v>1.7053025658242404E-13</v>
      </c>
      <c r="AA60" s="11"/>
      <c r="AB60" s="173">
        <f>AB35-AB59</f>
        <v>0</v>
      </c>
      <c r="AC60" s="173">
        <f>AC35-AC59</f>
        <v>0</v>
      </c>
      <c r="AD60" s="173">
        <f>AD35-AD59</f>
        <v>0</v>
      </c>
      <c r="AE60" s="173">
        <f>AE35-AE59</f>
        <v>0</v>
      </c>
      <c r="AF60" s="173">
        <f>AF35-AF59</f>
        <v>3.637978807091713E-12</v>
      </c>
      <c r="AG60" s="11"/>
      <c r="AH60" s="173">
        <f>AH35-AH59</f>
        <v>0</v>
      </c>
      <c r="AI60" s="173">
        <f>AI35-AI59</f>
        <v>0</v>
      </c>
      <c r="AJ60" s="173">
        <f>AJ35-AJ59</f>
        <v>0</v>
      </c>
      <c r="AK60" s="173">
        <f>AK35-AK59</f>
        <v>0</v>
      </c>
      <c r="AL60" s="173">
        <f>AL35-AL59</f>
        <v>1.4210854715202004E-13</v>
      </c>
      <c r="AM60" s="101" t="s">
        <v>220</v>
      </c>
      <c r="AN60" s="11">
        <f>ROUND(AN35-AN59,0)</f>
        <v>0</v>
      </c>
      <c r="AO60" s="11">
        <f>ROUND(AO35-AO59,0)</f>
        <v>0</v>
      </c>
      <c r="AP60" s="11">
        <f>ROUND(AP35-AP59,0)</f>
        <v>0</v>
      </c>
      <c r="AQ60" s="11">
        <f>ROUND(AQ35-AQ59,0)</f>
        <v>0</v>
      </c>
      <c r="AR60" s="11">
        <f>ROUND(AR35-AR59,0)</f>
        <v>0</v>
      </c>
      <c r="AS60" s="101" t="s">
        <v>220</v>
      </c>
      <c r="AT60" s="11">
        <f t="shared" ref="AT60:AY60" si="48">AT35-AT59</f>
        <v>2.2737367544323206E-12</v>
      </c>
      <c r="AU60" s="11">
        <f t="shared" si="48"/>
        <v>0</v>
      </c>
      <c r="AV60" s="11">
        <f t="shared" si="48"/>
        <v>0</v>
      </c>
      <c r="AW60" s="11">
        <f t="shared" si="48"/>
        <v>0</v>
      </c>
      <c r="AX60" s="11">
        <f t="shared" si="48"/>
        <v>0</v>
      </c>
      <c r="AY60" s="11">
        <f t="shared" si="48"/>
        <v>0</v>
      </c>
    </row>
  </sheetData>
  <mergeCells count="24">
    <mergeCell ref="AH4:AL4"/>
    <mergeCell ref="AH5:AL5"/>
    <mergeCell ref="P3:T3"/>
    <mergeCell ref="P4:T4"/>
    <mergeCell ref="P5:T5"/>
    <mergeCell ref="V3:Z3"/>
    <mergeCell ref="V4:Z4"/>
    <mergeCell ref="V5:Z5"/>
    <mergeCell ref="AT5:AZ5"/>
    <mergeCell ref="AT4:AZ4"/>
    <mergeCell ref="AT3:AZ3"/>
    <mergeCell ref="D3:H3"/>
    <mergeCell ref="D4:H4"/>
    <mergeCell ref="D5:H5"/>
    <mergeCell ref="J3:N3"/>
    <mergeCell ref="J4:N4"/>
    <mergeCell ref="J5:N5"/>
    <mergeCell ref="AB4:AF4"/>
    <mergeCell ref="AN3:AR3"/>
    <mergeCell ref="AB5:AF5"/>
    <mergeCell ref="AN4:AR4"/>
    <mergeCell ref="AN5:AR5"/>
    <mergeCell ref="AB3:AF3"/>
    <mergeCell ref="AH3:AL3"/>
  </mergeCells>
  <phoneticPr fontId="0" type="noConversion"/>
  <printOptions horizontalCentered="1"/>
  <pageMargins left="0.75" right="0.26" top="0.4" bottom="0.38" header="0.27" footer="0.34"/>
  <pageSetup scale="85" orientation="landscape" r:id="rId1"/>
  <headerFooter alignWithMargins="0"/>
  <colBreaks count="1" manualBreakCount="1">
    <brk id="39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58"/>
  <sheetViews>
    <sheetView zoomScale="75" workbookViewId="0">
      <selection activeCell="L6" sqref="L6"/>
    </sheetView>
  </sheetViews>
  <sheetFormatPr baseColWidth="10" defaultColWidth="9.1796875" defaultRowHeight="12.5" x14ac:dyDescent="0.25"/>
  <cols>
    <col min="1" max="1" width="7.453125" style="1" customWidth="1"/>
    <col min="2" max="2" width="36" style="1" bestFit="1" customWidth="1"/>
    <col min="3" max="3" width="9.453125" style="1" bestFit="1" customWidth="1"/>
    <col min="4" max="4" width="10.81640625" style="1" customWidth="1"/>
    <col min="5" max="5" width="9.453125" style="1" bestFit="1" customWidth="1"/>
    <col min="6" max="6" width="10" style="1" customWidth="1"/>
    <col min="7" max="7" width="13.1796875" style="1" bestFit="1" customWidth="1"/>
    <col min="8" max="8" width="10" style="1" customWidth="1"/>
    <col min="9" max="9" width="11.54296875" style="1" bestFit="1" customWidth="1"/>
    <col min="10" max="10" width="9.453125" style="1" bestFit="1" customWidth="1"/>
    <col min="11" max="11" width="10.453125" style="1" bestFit="1" customWidth="1"/>
    <col min="12" max="16384" width="9.1796875" style="1"/>
  </cols>
  <sheetData>
    <row r="1" spans="2:9" ht="13" x14ac:dyDescent="0.3">
      <c r="B1" s="7" t="str">
        <f>"Accum to "&amp;PROPER(TEXT(MES_CIERRE,"MMMM "))&amp;YEAR(MES_CIERRE)</f>
        <v>Accum to Junio 2019</v>
      </c>
    </row>
    <row r="2" spans="2:9" ht="30.75" customHeight="1" x14ac:dyDescent="0.3">
      <c r="C2" s="13" t="s">
        <v>121</v>
      </c>
      <c r="D2" s="13" t="s">
        <v>120</v>
      </c>
      <c r="E2" s="13" t="s">
        <v>119</v>
      </c>
      <c r="F2" s="104" t="s">
        <v>185</v>
      </c>
      <c r="G2" s="13" t="s">
        <v>209</v>
      </c>
      <c r="H2" s="104" t="s">
        <v>188</v>
      </c>
      <c r="I2" s="13" t="s">
        <v>30</v>
      </c>
    </row>
    <row r="3" spans="2:9" ht="13" x14ac:dyDescent="0.3">
      <c r="B3" s="43" t="s">
        <v>107</v>
      </c>
      <c r="C3" s="61"/>
      <c r="D3" s="61"/>
      <c r="E3" s="61"/>
      <c r="F3" s="61"/>
      <c r="G3" s="61"/>
      <c r="H3" s="61"/>
      <c r="I3" s="61"/>
    </row>
    <row r="4" spans="2:9" x14ac:dyDescent="0.25">
      <c r="B4" s="10" t="s">
        <v>54</v>
      </c>
      <c r="C4" s="63">
        <f>BG!D9</f>
        <v>21.83661</v>
      </c>
      <c r="D4" s="63">
        <f>BG!J9</f>
        <v>0.94896999999999998</v>
      </c>
      <c r="E4" s="63">
        <f>BG!P9</f>
        <v>-30.13813</v>
      </c>
      <c r="F4" s="63">
        <f>BG!V9</f>
        <v>25.232240000000001</v>
      </c>
      <c r="G4" s="63">
        <f>BG!AB9</f>
        <v>56.756740000000001</v>
      </c>
      <c r="H4" s="63">
        <f>BG!AH9</f>
        <v>-40.811050000000002</v>
      </c>
      <c r="I4" s="63">
        <f t="shared" ref="I4:I11" si="0">SUM(C4:H4)</f>
        <v>33.825380000000003</v>
      </c>
    </row>
    <row r="5" spans="2:9" x14ac:dyDescent="0.25">
      <c r="B5" s="10" t="s">
        <v>55</v>
      </c>
      <c r="C5" s="64">
        <f>BG!D10</f>
        <v>0</v>
      </c>
      <c r="D5" s="64">
        <f>BG!J10</f>
        <v>0</v>
      </c>
      <c r="E5" s="64">
        <f>BG!P10</f>
        <v>0</v>
      </c>
      <c r="F5" s="64">
        <f>BG!V10</f>
        <v>0</v>
      </c>
      <c r="G5" s="64">
        <f>BG!AB10</f>
        <v>0</v>
      </c>
      <c r="H5" s="64">
        <f>BG!AH10</f>
        <v>0</v>
      </c>
      <c r="I5" s="64">
        <f t="shared" si="0"/>
        <v>0</v>
      </c>
    </row>
    <row r="6" spans="2:9" x14ac:dyDescent="0.25">
      <c r="B6" s="10" t="s">
        <v>56</v>
      </c>
      <c r="C6" s="64">
        <f>BG!D11</f>
        <v>2.6854200000000001</v>
      </c>
      <c r="D6" s="64">
        <f>BG!J11</f>
        <v>21.98882</v>
      </c>
      <c r="E6" s="64">
        <f>BG!P11</f>
        <v>77.291320000000013</v>
      </c>
      <c r="F6" s="64">
        <f>BG!V11</f>
        <v>130.11354</v>
      </c>
      <c r="G6" s="64">
        <f>BG!AB11</f>
        <v>81.906840000000003</v>
      </c>
      <c r="H6" s="64">
        <f>BG!AH11</f>
        <v>198.10834</v>
      </c>
      <c r="I6" s="64">
        <f t="shared" si="0"/>
        <v>512.09428000000003</v>
      </c>
    </row>
    <row r="7" spans="2:9" x14ac:dyDescent="0.25">
      <c r="B7" s="10" t="s">
        <v>57</v>
      </c>
      <c r="C7" s="64">
        <f>BG!D12</f>
        <v>0</v>
      </c>
      <c r="D7" s="64">
        <f>BG!J12</f>
        <v>0</v>
      </c>
      <c r="E7" s="64">
        <f>BG!P12</f>
        <v>0</v>
      </c>
      <c r="F7" s="64">
        <f>BG!V12</f>
        <v>0</v>
      </c>
      <c r="G7" s="64">
        <f>BG!AB12</f>
        <v>2453.4847200000004</v>
      </c>
      <c r="H7" s="64">
        <f>BG!AH12</f>
        <v>0</v>
      </c>
      <c r="I7" s="64">
        <f t="shared" si="0"/>
        <v>2453.4847200000004</v>
      </c>
    </row>
    <row r="8" spans="2:9" x14ac:dyDescent="0.25">
      <c r="B8" s="10" t="s">
        <v>58</v>
      </c>
      <c r="C8" s="64">
        <f>BG!D13</f>
        <v>0</v>
      </c>
      <c r="D8" s="64">
        <f>BG!J13</f>
        <v>26.983060000000002</v>
      </c>
      <c r="E8" s="64">
        <f>BG!P13</f>
        <v>50.677349999999997</v>
      </c>
      <c r="F8" s="64">
        <f>BG!V13</f>
        <v>23.405249999999999</v>
      </c>
      <c r="G8" s="64">
        <f>BG!AB13</f>
        <v>0</v>
      </c>
      <c r="H8" s="64">
        <f>BG!AH13</f>
        <v>23.604810000000001</v>
      </c>
      <c r="I8" s="64">
        <f t="shared" si="0"/>
        <v>124.67046999999999</v>
      </c>
    </row>
    <row r="9" spans="2:9" x14ac:dyDescent="0.25">
      <c r="B9" s="10" t="s">
        <v>59</v>
      </c>
      <c r="C9" s="65">
        <f>BG!D14</f>
        <v>840.00141000000008</v>
      </c>
      <c r="D9" s="65">
        <f>BG!J14</f>
        <v>20.754439999999999</v>
      </c>
      <c r="E9" s="65">
        <f>BG!P14</f>
        <v>9.6302599999999998</v>
      </c>
      <c r="F9" s="65">
        <f>BG!V14</f>
        <v>34.278010000000002</v>
      </c>
      <c r="G9" s="65">
        <f>BG!AB14</f>
        <v>79.430999999999997</v>
      </c>
      <c r="H9" s="65">
        <f>BG!AH14</f>
        <v>30.10192</v>
      </c>
      <c r="I9" s="65">
        <f t="shared" si="0"/>
        <v>1014.1970400000001</v>
      </c>
    </row>
    <row r="10" spans="2:9" hidden="1" x14ac:dyDescent="0.25">
      <c r="B10" s="62"/>
      <c r="C10" s="65">
        <f>BG!D15</f>
        <v>0</v>
      </c>
      <c r="D10" s="65">
        <f>BG!J15</f>
        <v>1.0299500000000001</v>
      </c>
      <c r="E10" s="65">
        <f>BG!P15</f>
        <v>0.54425999999999997</v>
      </c>
      <c r="F10" s="65">
        <f>BG!V15</f>
        <v>4.6950600000000007</v>
      </c>
      <c r="G10" s="65">
        <f>BG!AB15</f>
        <v>0</v>
      </c>
      <c r="H10" s="65">
        <f>BG!AH15</f>
        <v>9.9061500000000002</v>
      </c>
      <c r="I10" s="65">
        <f t="shared" si="0"/>
        <v>16.175420000000003</v>
      </c>
    </row>
    <row r="11" spans="2:9" ht="13" x14ac:dyDescent="0.3">
      <c r="B11" s="45" t="s">
        <v>108</v>
      </c>
      <c r="C11" s="66">
        <f t="shared" ref="C11:H11" si="1">SUM(C4:C10)</f>
        <v>864.52344000000005</v>
      </c>
      <c r="D11" s="66">
        <f t="shared" si="1"/>
        <v>71.705240000000003</v>
      </c>
      <c r="E11" s="66">
        <f t="shared" si="1"/>
        <v>108.00506</v>
      </c>
      <c r="F11" s="66">
        <f t="shared" si="1"/>
        <v>217.72409999999999</v>
      </c>
      <c r="G11" s="66">
        <f>SUM(G4:G10)</f>
        <v>2671.5793000000003</v>
      </c>
      <c r="H11" s="66">
        <f t="shared" si="1"/>
        <v>220.91017000000002</v>
      </c>
      <c r="I11" s="66">
        <f t="shared" si="0"/>
        <v>4154.4473100000005</v>
      </c>
    </row>
    <row r="12" spans="2:9" ht="13" x14ac:dyDescent="0.3">
      <c r="B12" s="45" t="s">
        <v>109</v>
      </c>
      <c r="C12" s="61"/>
      <c r="D12" s="61"/>
      <c r="E12" s="61"/>
      <c r="F12" s="61"/>
      <c r="G12" s="61"/>
      <c r="H12" s="61"/>
      <c r="I12" s="61"/>
    </row>
    <row r="13" spans="2:9" x14ac:dyDescent="0.25">
      <c r="B13" s="10" t="s">
        <v>63</v>
      </c>
      <c r="C13" s="63">
        <f>BG!D18</f>
        <v>352.50034000000005</v>
      </c>
      <c r="D13" s="63">
        <f>BG!J18</f>
        <v>0</v>
      </c>
      <c r="E13" s="63">
        <f>BG!P18</f>
        <v>0</v>
      </c>
      <c r="F13" s="63">
        <f>BG!V18</f>
        <v>0</v>
      </c>
      <c r="G13" s="63">
        <f>BG!AB18</f>
        <v>6517.9103099999993</v>
      </c>
      <c r="H13" s="63">
        <f>BG!AH18</f>
        <v>0</v>
      </c>
      <c r="I13" s="63">
        <f t="shared" ref="I13:I21" si="2">SUM(C13:H13)</f>
        <v>6870.4106499999998</v>
      </c>
    </row>
    <row r="14" spans="2:9" x14ac:dyDescent="0.25">
      <c r="B14" s="10" t="s">
        <v>62</v>
      </c>
      <c r="C14" s="64">
        <f>BG!D19</f>
        <v>4537.1388099999995</v>
      </c>
      <c r="D14" s="64">
        <f>BG!J19</f>
        <v>10.663870000000001</v>
      </c>
      <c r="E14" s="64">
        <f>BG!P19</f>
        <v>602.17100000000005</v>
      </c>
      <c r="F14" s="64">
        <f>BG!V19</f>
        <v>0</v>
      </c>
      <c r="G14" s="64">
        <f>BG!AB19</f>
        <v>9222.8190500000001</v>
      </c>
      <c r="H14" s="64">
        <f>BG!AH19</f>
        <v>0</v>
      </c>
      <c r="I14" s="64">
        <f t="shared" si="2"/>
        <v>14372.792730000001</v>
      </c>
    </row>
    <row r="15" spans="2:9" hidden="1" x14ac:dyDescent="0.25">
      <c r="B15" s="44"/>
      <c r="C15" s="64">
        <f>BG!D20</f>
        <v>232.60105999999999</v>
      </c>
      <c r="D15" s="64">
        <f>BG!J20</f>
        <v>0</v>
      </c>
      <c r="E15" s="64">
        <f>BG!P20</f>
        <v>0</v>
      </c>
      <c r="F15" s="64">
        <f>BG!V20</f>
        <v>0</v>
      </c>
      <c r="G15" s="64">
        <f>BG!AB20</f>
        <v>0</v>
      </c>
      <c r="H15" s="64">
        <f>BG!AH20</f>
        <v>0</v>
      </c>
      <c r="I15" s="64">
        <f t="shared" si="2"/>
        <v>232.60105999999999</v>
      </c>
    </row>
    <row r="16" spans="2:9" x14ac:dyDescent="0.25">
      <c r="B16" s="10" t="s">
        <v>60</v>
      </c>
      <c r="C16" s="64">
        <f>BG!D21</f>
        <v>0</v>
      </c>
      <c r="D16" s="64">
        <f>BG!J21</f>
        <v>0</v>
      </c>
      <c r="E16" s="64">
        <f>BG!P21</f>
        <v>0</v>
      </c>
      <c r="F16" s="64">
        <f>BG!V21</f>
        <v>0</v>
      </c>
      <c r="G16" s="64">
        <f>BG!AB21</f>
        <v>0</v>
      </c>
      <c r="H16" s="64">
        <f>BG!AH21</f>
        <v>0</v>
      </c>
      <c r="I16" s="64">
        <f t="shared" si="2"/>
        <v>0</v>
      </c>
    </row>
    <row r="17" spans="2:9" x14ac:dyDescent="0.25">
      <c r="B17" s="10" t="s">
        <v>64</v>
      </c>
      <c r="C17" s="64">
        <f>BG!D22</f>
        <v>0</v>
      </c>
      <c r="D17" s="64">
        <f>BG!J22</f>
        <v>29.292450000000002</v>
      </c>
      <c r="E17" s="64">
        <f>BG!P22</f>
        <v>0</v>
      </c>
      <c r="F17" s="64">
        <f>BG!V22</f>
        <v>0.99</v>
      </c>
      <c r="G17" s="64">
        <f>BG!AB22</f>
        <v>0</v>
      </c>
      <c r="H17" s="64">
        <f>BG!AH22</f>
        <v>26.859009999999998</v>
      </c>
      <c r="I17" s="64">
        <f t="shared" si="2"/>
        <v>57.141459999999995</v>
      </c>
    </row>
    <row r="18" spans="2:9" x14ac:dyDescent="0.25">
      <c r="B18" s="10" t="s">
        <v>61</v>
      </c>
      <c r="C18" s="64">
        <f>BG!D23</f>
        <v>3014.0403099999999</v>
      </c>
      <c r="D18" s="64">
        <f>BG!J23</f>
        <v>253.94703000000001</v>
      </c>
      <c r="E18" s="64">
        <f>BG!P23</f>
        <v>1298.84554</v>
      </c>
      <c r="F18" s="64">
        <f>BG!V23</f>
        <v>487.34390999999999</v>
      </c>
      <c r="G18" s="64">
        <f>BG!AB23</f>
        <v>1921.68796</v>
      </c>
      <c r="H18" s="64">
        <f>BG!AH23</f>
        <v>439.26714000000004</v>
      </c>
      <c r="I18" s="64">
        <f t="shared" si="2"/>
        <v>7415.1318899999997</v>
      </c>
    </row>
    <row r="19" spans="2:9" x14ac:dyDescent="0.25">
      <c r="B19" s="10" t="s">
        <v>65</v>
      </c>
      <c r="C19" s="64">
        <f>BG!D24</f>
        <v>2.25</v>
      </c>
      <c r="D19" s="64">
        <f>BG!J24</f>
        <v>1</v>
      </c>
      <c r="E19" s="64">
        <f>BG!P24</f>
        <v>855.12599999999998</v>
      </c>
      <c r="F19" s="64">
        <f>BG!V24</f>
        <v>100</v>
      </c>
      <c r="G19" s="64">
        <f>BG!AB24</f>
        <v>-4747.4129899999998</v>
      </c>
      <c r="H19" s="64">
        <f>BG!AH24</f>
        <v>366.49599999999998</v>
      </c>
      <c r="I19" s="64">
        <f t="shared" si="2"/>
        <v>-3422.5409899999995</v>
      </c>
    </row>
    <row r="20" spans="2:9" x14ac:dyDescent="0.25">
      <c r="B20" s="10" t="s">
        <v>66</v>
      </c>
      <c r="C20" s="65">
        <f>BG!D25</f>
        <v>-4673.0059099999999</v>
      </c>
      <c r="D20" s="65">
        <f>BG!J25</f>
        <v>-376.66654</v>
      </c>
      <c r="E20" s="65">
        <f>BG!P25</f>
        <v>-1192.5176000000001</v>
      </c>
      <c r="F20" s="65">
        <f>BG!V25</f>
        <v>-775.41759000000002</v>
      </c>
      <c r="G20" s="65">
        <f>BG!AB25</f>
        <v>-4135.9334200000003</v>
      </c>
      <c r="H20" s="65">
        <f>BG!AH25</f>
        <v>-817.61487999999997</v>
      </c>
      <c r="I20" s="65">
        <f t="shared" si="2"/>
        <v>-11971.155939999999</v>
      </c>
    </row>
    <row r="21" spans="2:9" ht="13" x14ac:dyDescent="0.3">
      <c r="B21" s="85" t="s">
        <v>67</v>
      </c>
      <c r="C21" s="66">
        <f t="shared" ref="C21:H21" si="3">SUM(C13:C20)</f>
        <v>3465.5246099999986</v>
      </c>
      <c r="D21" s="66">
        <f t="shared" si="3"/>
        <v>-81.763189999999952</v>
      </c>
      <c r="E21" s="66">
        <f t="shared" si="3"/>
        <v>1563.6249399999997</v>
      </c>
      <c r="F21" s="66">
        <f t="shared" si="3"/>
        <v>-187.08367999999996</v>
      </c>
      <c r="G21" s="66">
        <f>SUM(G13:G20)</f>
        <v>8779.0709099999985</v>
      </c>
      <c r="H21" s="66">
        <f t="shared" si="3"/>
        <v>15.007270000000062</v>
      </c>
      <c r="I21" s="66">
        <f t="shared" si="2"/>
        <v>13554.380859999997</v>
      </c>
    </row>
    <row r="22" spans="2:9" ht="13" x14ac:dyDescent="0.3">
      <c r="B22" s="45" t="s">
        <v>103</v>
      </c>
      <c r="C22" s="68"/>
      <c r="D22" s="68"/>
      <c r="E22" s="61"/>
      <c r="F22" s="61"/>
      <c r="G22" s="61"/>
      <c r="H22" s="61"/>
      <c r="I22" s="61"/>
    </row>
    <row r="23" spans="2:9" x14ac:dyDescent="0.25">
      <c r="B23" s="10" t="s">
        <v>68</v>
      </c>
      <c r="C23" s="63">
        <f>BG!D28</f>
        <v>471.62353999999999</v>
      </c>
      <c r="D23" s="63">
        <f>BG!J28</f>
        <v>97</v>
      </c>
      <c r="E23" s="63">
        <f>BG!P28</f>
        <v>194.98400000000001</v>
      </c>
      <c r="F23" s="63">
        <f>BG!V28</f>
        <v>36.21</v>
      </c>
      <c r="G23" s="63">
        <f>BG!AB28</f>
        <v>0</v>
      </c>
      <c r="H23" s="63">
        <f>BG!AH28</f>
        <v>0</v>
      </c>
      <c r="I23" s="63">
        <f t="shared" ref="I23:I30" si="4">SUM(C23:H23)</f>
        <v>799.81754000000012</v>
      </c>
    </row>
    <row r="24" spans="2:9" x14ac:dyDescent="0.25">
      <c r="B24" s="10" t="s">
        <v>69</v>
      </c>
      <c r="C24" s="64">
        <f>BG!D29</f>
        <v>-2598.9450299999999</v>
      </c>
      <c r="D24" s="64">
        <f>BG!J29</f>
        <v>557.78519999999992</v>
      </c>
      <c r="E24" s="64">
        <f>BG!P29</f>
        <v>2680.7574100000002</v>
      </c>
      <c r="F24" s="64">
        <f>BG!V29</f>
        <v>364.42975999999999</v>
      </c>
      <c r="G24" s="64">
        <f>BG!AB29</f>
        <v>0</v>
      </c>
      <c r="H24" s="64">
        <f>BG!AH29</f>
        <v>449.54825</v>
      </c>
      <c r="I24" s="64">
        <f t="shared" si="4"/>
        <v>1453.5755900000001</v>
      </c>
    </row>
    <row r="25" spans="2:9" x14ac:dyDescent="0.25">
      <c r="B25" s="10" t="s">
        <v>70</v>
      </c>
      <c r="C25" s="65">
        <f>BG!D30</f>
        <v>-1706.2331899999999</v>
      </c>
      <c r="D25" s="65">
        <f>BG!J30</f>
        <v>-77.75694</v>
      </c>
      <c r="E25" s="65">
        <f>BG!P30</f>
        <v>-703.79327999999998</v>
      </c>
      <c r="F25" s="65">
        <f>BG!V30</f>
        <v>-74.014529999999993</v>
      </c>
      <c r="G25" s="65">
        <f>BG!AB30</f>
        <v>-61.303800000000003</v>
      </c>
      <c r="H25" s="65">
        <f>BG!AH30</f>
        <v>-360.60912999999999</v>
      </c>
      <c r="I25" s="65">
        <f t="shared" si="4"/>
        <v>-2983.7108699999999</v>
      </c>
    </row>
    <row r="26" spans="2:9" ht="13" x14ac:dyDescent="0.3">
      <c r="B26" s="85" t="s">
        <v>71</v>
      </c>
      <c r="C26" s="67">
        <f t="shared" ref="C26:H26" si="5">SUM(C23:C25)</f>
        <v>-3833.5546799999997</v>
      </c>
      <c r="D26" s="67">
        <f t="shared" si="5"/>
        <v>577.02825999999993</v>
      </c>
      <c r="E26" s="67">
        <f t="shared" si="5"/>
        <v>2171.9481300000002</v>
      </c>
      <c r="F26" s="116">
        <f t="shared" si="5"/>
        <v>326.62522999999999</v>
      </c>
      <c r="G26" s="67">
        <f>SUM(G23:G25)</f>
        <v>-61.303800000000003</v>
      </c>
      <c r="H26" s="67">
        <f t="shared" si="5"/>
        <v>88.939120000000003</v>
      </c>
      <c r="I26" s="67">
        <f t="shared" si="4"/>
        <v>-730.3177399999995</v>
      </c>
    </row>
    <row r="27" spans="2:9" ht="13" x14ac:dyDescent="0.3">
      <c r="B27" s="85" t="s">
        <v>104</v>
      </c>
      <c r="C27" s="63">
        <f>BG!D32</f>
        <v>64.811800000000005</v>
      </c>
      <c r="D27" s="63">
        <f>BG!J32</f>
        <v>23.247520000000002</v>
      </c>
      <c r="E27" s="63">
        <f>BG!P32</f>
        <v>27.89734</v>
      </c>
      <c r="F27" s="63">
        <f>BG!V32</f>
        <v>36.012999999999998</v>
      </c>
      <c r="G27" s="63">
        <f>BG!AB32</f>
        <v>0</v>
      </c>
      <c r="H27" s="63">
        <f>BG!AH32</f>
        <v>23.66667</v>
      </c>
      <c r="I27" s="63">
        <f t="shared" si="4"/>
        <v>175.63633000000002</v>
      </c>
    </row>
    <row r="28" spans="2:9" x14ac:dyDescent="0.25">
      <c r="B28" s="44"/>
      <c r="C28" s="65"/>
      <c r="D28" s="65"/>
      <c r="E28" s="65"/>
      <c r="F28" s="65"/>
      <c r="G28" s="65"/>
      <c r="H28" s="65"/>
      <c r="I28" s="65"/>
    </row>
    <row r="29" spans="2:9" ht="13" x14ac:dyDescent="0.3">
      <c r="B29" s="45" t="s">
        <v>105</v>
      </c>
      <c r="C29" s="67">
        <f>C27</f>
        <v>64.811800000000005</v>
      </c>
      <c r="D29" s="67">
        <f>SUM(D27:D28)</f>
        <v>23.247520000000002</v>
      </c>
      <c r="E29" s="67">
        <f>SUM(E27:E28)</f>
        <v>27.89734</v>
      </c>
      <c r="F29" s="67">
        <f>SUM(F27:F28)</f>
        <v>36.012999999999998</v>
      </c>
      <c r="G29" s="67">
        <f>SUM(G27:G28)</f>
        <v>0</v>
      </c>
      <c r="H29" s="67">
        <f>SUM(H27:H28)</f>
        <v>23.66667</v>
      </c>
      <c r="I29" s="67">
        <f t="shared" si="4"/>
        <v>175.63633000000002</v>
      </c>
    </row>
    <row r="30" spans="2:9" ht="13" x14ac:dyDescent="0.3">
      <c r="B30" s="45" t="s">
        <v>72</v>
      </c>
      <c r="C30" s="66">
        <f t="shared" ref="C30:H30" si="6">C11+C21+C26+C29</f>
        <v>561.30516999999872</v>
      </c>
      <c r="D30" s="66">
        <f t="shared" si="6"/>
        <v>590.21782999999994</v>
      </c>
      <c r="E30" s="66">
        <f t="shared" si="6"/>
        <v>3871.4754699999999</v>
      </c>
      <c r="F30" s="66">
        <f t="shared" si="6"/>
        <v>393.27865000000003</v>
      </c>
      <c r="G30" s="66">
        <f>G11+G21+G26+G29</f>
        <v>11389.34641</v>
      </c>
      <c r="H30" s="66">
        <f t="shared" si="6"/>
        <v>348.52323000000007</v>
      </c>
      <c r="I30" s="66">
        <f t="shared" si="4"/>
        <v>17154.146759999996</v>
      </c>
    </row>
    <row r="31" spans="2:9" ht="13" x14ac:dyDescent="0.3">
      <c r="B31" s="43" t="s">
        <v>110</v>
      </c>
      <c r="C31" s="61"/>
      <c r="D31" s="61"/>
      <c r="E31" s="61"/>
      <c r="F31" s="61"/>
      <c r="G31" s="61"/>
      <c r="H31" s="61"/>
      <c r="I31" s="61"/>
    </row>
    <row r="32" spans="2:9" x14ac:dyDescent="0.25">
      <c r="B32" s="10" t="s">
        <v>73</v>
      </c>
      <c r="C32" s="63">
        <f>BG!D37</f>
        <v>0</v>
      </c>
      <c r="D32" s="63">
        <f>BG!J37</f>
        <v>11.001530000000001</v>
      </c>
      <c r="E32" s="63">
        <f>BG!P37</f>
        <v>51.145290000000003</v>
      </c>
      <c r="F32" s="63">
        <f>BG!V37</f>
        <v>20.235109999999999</v>
      </c>
      <c r="G32" s="63">
        <f>BG!AB37</f>
        <v>48.210540000000002</v>
      </c>
      <c r="H32" s="63">
        <f>BG!AH37</f>
        <v>7.2973100000000004</v>
      </c>
      <c r="I32" s="63">
        <f t="shared" ref="I32:I37" si="7">SUM(C32:H32)</f>
        <v>137.88978000000003</v>
      </c>
    </row>
    <row r="33" spans="2:9" x14ac:dyDescent="0.25">
      <c r="B33" s="10" t="s">
        <v>74</v>
      </c>
      <c r="C33" s="64">
        <f>BG!D38</f>
        <v>87.029070000000004</v>
      </c>
      <c r="D33" s="64">
        <f>BG!J38</f>
        <v>40.068249999999999</v>
      </c>
      <c r="E33" s="64">
        <f>BG!P38</f>
        <v>0.26083000000000001</v>
      </c>
      <c r="F33" s="64">
        <f>BG!V38</f>
        <v>29.861939999999997</v>
      </c>
      <c r="G33" s="64">
        <f>BG!AB38</f>
        <v>18.72972</v>
      </c>
      <c r="H33" s="64">
        <f>BG!AH38</f>
        <v>2.3622199999999998</v>
      </c>
      <c r="I33" s="64">
        <f t="shared" si="7"/>
        <v>178.31203000000002</v>
      </c>
    </row>
    <row r="34" spans="2:9" x14ac:dyDescent="0.25">
      <c r="B34" s="44" t="s">
        <v>106</v>
      </c>
      <c r="C34" s="64">
        <f>BG!D39</f>
        <v>0</v>
      </c>
      <c r="D34" s="64">
        <f>BG!J39</f>
        <v>0</v>
      </c>
      <c r="E34" s="64">
        <f>BG!P39</f>
        <v>0</v>
      </c>
      <c r="F34" s="64">
        <f>BG!V39</f>
        <v>0</v>
      </c>
      <c r="G34" s="64">
        <f>BG!AB39</f>
        <v>0</v>
      </c>
      <c r="H34" s="64">
        <f>BG!AH39</f>
        <v>0</v>
      </c>
      <c r="I34" s="64">
        <f t="shared" si="7"/>
        <v>0</v>
      </c>
    </row>
    <row r="35" spans="2:9" x14ac:dyDescent="0.25">
      <c r="B35" s="10" t="s">
        <v>50</v>
      </c>
      <c r="C35" s="64">
        <f>BG!D40</f>
        <v>0</v>
      </c>
      <c r="D35" s="64">
        <f>BG!J40</f>
        <v>50.657870000000003</v>
      </c>
      <c r="E35" s="64">
        <f>BG!P40</f>
        <v>-24.732669999999999</v>
      </c>
      <c r="F35" s="64">
        <f>BG!V40</f>
        <v>1.2602500000000001</v>
      </c>
      <c r="G35" s="64">
        <f>BG!AB40</f>
        <v>0</v>
      </c>
      <c r="H35" s="64">
        <f>BG!AH40</f>
        <v>80.794560000000004</v>
      </c>
      <c r="I35" s="64">
        <f t="shared" si="7"/>
        <v>107.98001000000001</v>
      </c>
    </row>
    <row r="36" spans="2:9" x14ac:dyDescent="0.25">
      <c r="B36" s="10" t="s">
        <v>75</v>
      </c>
      <c r="C36" s="65">
        <f>BG!D41</f>
        <v>0</v>
      </c>
      <c r="D36" s="65">
        <f>BG!J41</f>
        <v>0</v>
      </c>
      <c r="E36" s="65">
        <f>BG!P41</f>
        <v>0</v>
      </c>
      <c r="F36" s="65">
        <f>BG!V41</f>
        <v>0</v>
      </c>
      <c r="G36" s="65">
        <f>BG!AB41</f>
        <v>510.39400000000001</v>
      </c>
      <c r="H36" s="65">
        <f>BG!AH41</f>
        <v>0</v>
      </c>
      <c r="I36" s="65">
        <f t="shared" si="7"/>
        <v>510.39400000000001</v>
      </c>
    </row>
    <row r="37" spans="2:9" ht="13" x14ac:dyDescent="0.3">
      <c r="B37" s="45" t="s">
        <v>111</v>
      </c>
      <c r="C37" s="66">
        <f t="shared" ref="C37:H37" si="8">SUM(C32:C36)</f>
        <v>87.029070000000004</v>
      </c>
      <c r="D37" s="66">
        <f t="shared" si="8"/>
        <v>101.72765000000001</v>
      </c>
      <c r="E37" s="66">
        <f t="shared" si="8"/>
        <v>26.673450000000003</v>
      </c>
      <c r="F37" s="66">
        <f t="shared" si="8"/>
        <v>51.357299999999995</v>
      </c>
      <c r="G37" s="66">
        <f>SUM(G32:G36)</f>
        <v>577.33425999999997</v>
      </c>
      <c r="H37" s="66">
        <f t="shared" si="8"/>
        <v>90.454090000000008</v>
      </c>
      <c r="I37" s="66">
        <f t="shared" si="7"/>
        <v>934.57582000000002</v>
      </c>
    </row>
    <row r="38" spans="2:9" ht="13" x14ac:dyDescent="0.3">
      <c r="B38" s="45" t="s">
        <v>112</v>
      </c>
      <c r="C38" s="61"/>
      <c r="D38" s="61"/>
      <c r="E38" s="61"/>
      <c r="F38" s="61"/>
      <c r="G38" s="61"/>
      <c r="H38" s="61"/>
      <c r="I38" s="61"/>
    </row>
    <row r="39" spans="2:9" x14ac:dyDescent="0.25">
      <c r="B39" s="10" t="s">
        <v>76</v>
      </c>
      <c r="C39" s="63">
        <f>BG!D44</f>
        <v>0</v>
      </c>
      <c r="D39" s="63">
        <f>BG!J44</f>
        <v>0</v>
      </c>
      <c r="E39" s="63">
        <f>BG!P44</f>
        <v>3369.59593</v>
      </c>
      <c r="F39" s="63">
        <f>BG!V44</f>
        <v>0</v>
      </c>
      <c r="G39" s="63">
        <f>BG!AB44</f>
        <v>5081.5612999999994</v>
      </c>
      <c r="H39" s="63">
        <f>BG!AH44</f>
        <v>0</v>
      </c>
      <c r="I39" s="63">
        <f>SUM(C39:H39)</f>
        <v>8451.1572299999989</v>
      </c>
    </row>
    <row r="40" spans="2:9" x14ac:dyDescent="0.25">
      <c r="B40" s="10"/>
      <c r="C40" s="64"/>
      <c r="D40" s="64"/>
      <c r="E40" s="64"/>
      <c r="F40" s="64"/>
      <c r="G40" s="64"/>
      <c r="H40" s="64"/>
      <c r="I40" s="64"/>
    </row>
    <row r="41" spans="2:9" x14ac:dyDescent="0.25">
      <c r="B41" s="10" t="s">
        <v>77</v>
      </c>
      <c r="C41" s="65">
        <f>BG!D46</f>
        <v>5156.8099699999993</v>
      </c>
      <c r="D41" s="65">
        <f>BG!J46</f>
        <v>1512.36213</v>
      </c>
      <c r="E41" s="65">
        <f>BG!P46</f>
        <v>3664.99593</v>
      </c>
      <c r="F41" s="65">
        <f>BG!V46</f>
        <v>1692.27728</v>
      </c>
      <c r="G41" s="65">
        <f>BG!AB46</f>
        <v>0</v>
      </c>
      <c r="H41" s="65">
        <f>BG!AH46</f>
        <v>316.19054</v>
      </c>
      <c r="I41" s="65">
        <f>SUM(C41:H41)</f>
        <v>12342.635850000001</v>
      </c>
    </row>
    <row r="42" spans="2:9" ht="13" x14ac:dyDescent="0.3">
      <c r="B42" s="45" t="s">
        <v>113</v>
      </c>
      <c r="C42" s="67">
        <f t="shared" ref="C42:H42" si="9">SUM(C39:C41)</f>
        <v>5156.8099699999993</v>
      </c>
      <c r="D42" s="67">
        <f t="shared" si="9"/>
        <v>1512.36213</v>
      </c>
      <c r="E42" s="67">
        <f t="shared" si="9"/>
        <v>7034.5918600000005</v>
      </c>
      <c r="F42" s="67">
        <f t="shared" si="9"/>
        <v>1692.27728</v>
      </c>
      <c r="G42" s="67">
        <f t="shared" si="9"/>
        <v>5081.5612999999994</v>
      </c>
      <c r="H42" s="67">
        <f t="shared" si="9"/>
        <v>316.19054</v>
      </c>
      <c r="I42" s="67">
        <f>SUM(C42:H42)</f>
        <v>20793.793079999999</v>
      </c>
    </row>
    <row r="43" spans="2:9" ht="13" x14ac:dyDescent="0.3">
      <c r="B43" s="45" t="s">
        <v>78</v>
      </c>
      <c r="C43" s="68"/>
      <c r="D43" s="68"/>
      <c r="E43" s="61"/>
      <c r="F43" s="61"/>
      <c r="G43" s="68"/>
      <c r="H43" s="61"/>
      <c r="I43" s="61"/>
    </row>
    <row r="44" spans="2:9" x14ac:dyDescent="0.25">
      <c r="B44" s="44"/>
      <c r="C44" s="65">
        <f>BG!D49</f>
        <v>0</v>
      </c>
      <c r="D44" s="65">
        <f>BG!J49</f>
        <v>0</v>
      </c>
      <c r="E44" s="69">
        <f>BG!P49</f>
        <v>0</v>
      </c>
      <c r="F44" s="69">
        <f>BG!V49</f>
        <v>0</v>
      </c>
      <c r="G44" s="65">
        <f>BG!AB48</f>
        <v>0</v>
      </c>
      <c r="H44" s="69">
        <f>BG!AH49</f>
        <v>0</v>
      </c>
      <c r="I44" s="69">
        <f>SUM(C44:H44)</f>
        <v>0</v>
      </c>
    </row>
    <row r="45" spans="2:9" ht="13" x14ac:dyDescent="0.3">
      <c r="B45" s="45" t="s">
        <v>114</v>
      </c>
      <c r="C45" s="67">
        <f t="shared" ref="C45:H45" si="10">C44</f>
        <v>0</v>
      </c>
      <c r="D45" s="67">
        <f t="shared" si="10"/>
        <v>0</v>
      </c>
      <c r="E45" s="67">
        <f t="shared" si="10"/>
        <v>0</v>
      </c>
      <c r="F45" s="67">
        <f t="shared" si="10"/>
        <v>0</v>
      </c>
      <c r="G45" s="67">
        <f t="shared" si="10"/>
        <v>0</v>
      </c>
      <c r="H45" s="67">
        <f t="shared" si="10"/>
        <v>0</v>
      </c>
      <c r="I45" s="67">
        <f>SUM(C45:H45)</f>
        <v>0</v>
      </c>
    </row>
    <row r="46" spans="2:9" ht="13" x14ac:dyDescent="0.3">
      <c r="B46" s="45" t="s">
        <v>17</v>
      </c>
      <c r="C46" s="68"/>
      <c r="D46" s="68"/>
      <c r="E46" s="61"/>
      <c r="F46" s="61"/>
      <c r="G46" s="61"/>
      <c r="H46" s="61"/>
      <c r="I46" s="61"/>
    </row>
    <row r="47" spans="2:9" x14ac:dyDescent="0.25">
      <c r="B47" s="10" t="s">
        <v>80</v>
      </c>
      <c r="C47" s="63">
        <f>BG!D52</f>
        <v>2</v>
      </c>
      <c r="D47" s="63">
        <f>BG!J52</f>
        <v>1</v>
      </c>
      <c r="E47" s="63">
        <f>BG!P52</f>
        <v>1</v>
      </c>
      <c r="F47" s="63">
        <f>BG!V52</f>
        <v>1</v>
      </c>
      <c r="G47" s="63">
        <f>BG!AB52</f>
        <v>2714.3425200000001</v>
      </c>
      <c r="H47" s="63">
        <f>BG!AH52</f>
        <v>1</v>
      </c>
      <c r="I47" s="63">
        <f t="shared" ref="I47:I53" si="11">SUM(C47:H47)</f>
        <v>2720.3425200000001</v>
      </c>
    </row>
    <row r="48" spans="2:9" hidden="1" x14ac:dyDescent="0.25">
      <c r="B48" s="44"/>
      <c r="C48" s="64">
        <f>BG!D53</f>
        <v>0</v>
      </c>
      <c r="D48" s="64">
        <f>BG!J53</f>
        <v>0</v>
      </c>
      <c r="E48" s="64">
        <f>BG!P53</f>
        <v>0</v>
      </c>
      <c r="F48" s="64">
        <f>BG!V53</f>
        <v>0</v>
      </c>
      <c r="G48" s="64">
        <f>BG!AB53</f>
        <v>0</v>
      </c>
      <c r="H48" s="64">
        <f>BG!AH53</f>
        <v>0</v>
      </c>
      <c r="I48" s="64">
        <f t="shared" si="11"/>
        <v>0</v>
      </c>
    </row>
    <row r="49" spans="2:9" x14ac:dyDescent="0.25">
      <c r="B49" s="10" t="s">
        <v>81</v>
      </c>
      <c r="C49" s="64">
        <f>BG!D54</f>
        <v>-8433.659740000001</v>
      </c>
      <c r="D49" s="64">
        <f>BG!J54</f>
        <v>-1007.3523</v>
      </c>
      <c r="E49" s="64">
        <f>BG!P54</f>
        <v>-3119.7289999999998</v>
      </c>
      <c r="F49" s="64">
        <f>BG!V54</f>
        <v>-1610.70093</v>
      </c>
      <c r="G49" s="64">
        <f>BG!AB54</f>
        <v>2671.0353999999998</v>
      </c>
      <c r="H49" s="64">
        <f>BG!AH54</f>
        <v>18.91009</v>
      </c>
      <c r="I49" s="64">
        <f t="shared" si="11"/>
        <v>-11481.49648</v>
      </c>
    </row>
    <row r="50" spans="2:9" x14ac:dyDescent="0.25">
      <c r="B50" s="10" t="s">
        <v>53</v>
      </c>
      <c r="C50" s="64">
        <f>BG!D55</f>
        <v>154.37834000000001</v>
      </c>
      <c r="D50" s="64">
        <f>BG!J55</f>
        <v>-17.519650000000002</v>
      </c>
      <c r="E50" s="64">
        <f>BG!P55</f>
        <v>-71.060839999999999</v>
      </c>
      <c r="F50" s="64">
        <f>BG!V55</f>
        <v>-140.155</v>
      </c>
      <c r="G50" s="64">
        <f>BG!AB55</f>
        <v>305.07292999999999</v>
      </c>
      <c r="H50" s="64">
        <f>BG!AH55</f>
        <v>-82.031490000000005</v>
      </c>
      <c r="I50" s="64">
        <f t="shared" si="11"/>
        <v>148.68428999999998</v>
      </c>
    </row>
    <row r="51" spans="2:9" x14ac:dyDescent="0.25">
      <c r="B51" s="84" t="s">
        <v>79</v>
      </c>
      <c r="C51" s="64">
        <f>BG!D56</f>
        <v>3594.7475299999996</v>
      </c>
      <c r="D51" s="64">
        <f>BG!J56</f>
        <v>0</v>
      </c>
      <c r="E51" s="64">
        <f>BG!P56</f>
        <v>0</v>
      </c>
      <c r="F51" s="64">
        <f>BG!V56</f>
        <v>399.5</v>
      </c>
      <c r="G51" s="64">
        <f>BG!AB56</f>
        <v>50</v>
      </c>
      <c r="H51" s="64">
        <f>BG!AH56</f>
        <v>4</v>
      </c>
      <c r="I51" s="64">
        <f t="shared" si="11"/>
        <v>4048.2475299999996</v>
      </c>
    </row>
    <row r="52" spans="2:9" hidden="1" x14ac:dyDescent="0.25">
      <c r="B52" s="70"/>
      <c r="C52" s="65">
        <f>BG!D57</f>
        <v>0</v>
      </c>
      <c r="D52" s="65">
        <f>BG!J57</f>
        <v>0</v>
      </c>
      <c r="E52" s="65">
        <f>BG!P57</f>
        <v>0</v>
      </c>
      <c r="F52" s="65">
        <f>BG!V57</f>
        <v>0</v>
      </c>
      <c r="G52" s="65">
        <f>BG!AB57</f>
        <v>0</v>
      </c>
      <c r="H52" s="65">
        <f>BG!AH57</f>
        <v>0</v>
      </c>
      <c r="I52" s="65">
        <f t="shared" si="11"/>
        <v>0</v>
      </c>
    </row>
    <row r="53" spans="2:9" ht="13" x14ac:dyDescent="0.3">
      <c r="B53" s="83" t="s">
        <v>82</v>
      </c>
      <c r="C53" s="86">
        <f t="shared" ref="C53:H53" si="12">SUM(C47:C52)</f>
        <v>-4682.533870000002</v>
      </c>
      <c r="D53" s="86">
        <f t="shared" si="12"/>
        <v>-1023.87195</v>
      </c>
      <c r="E53" s="86">
        <f t="shared" si="12"/>
        <v>-3189.7898399999999</v>
      </c>
      <c r="F53" s="86">
        <f t="shared" si="12"/>
        <v>-1350.3559299999999</v>
      </c>
      <c r="G53" s="86">
        <f>SUM(G47:G52)</f>
        <v>5740.4508500000002</v>
      </c>
      <c r="H53" s="86">
        <f t="shared" si="12"/>
        <v>-58.121400000000008</v>
      </c>
      <c r="I53" s="86">
        <f t="shared" si="11"/>
        <v>-4564.2221400000008</v>
      </c>
    </row>
    <row r="54" spans="2:9" ht="13" x14ac:dyDescent="0.3">
      <c r="B54" s="83" t="s">
        <v>83</v>
      </c>
      <c r="C54" s="86">
        <f t="shared" ref="C54:I54" si="13">C37+C53+C45+C42</f>
        <v>561.30516999999691</v>
      </c>
      <c r="D54" s="86">
        <f t="shared" si="13"/>
        <v>590.21783000000005</v>
      </c>
      <c r="E54" s="86">
        <f t="shared" si="13"/>
        <v>3871.4754700000003</v>
      </c>
      <c r="F54" s="86">
        <f t="shared" si="13"/>
        <v>393.27864999999997</v>
      </c>
      <c r="G54" s="86">
        <f t="shared" si="13"/>
        <v>11399.346409999998</v>
      </c>
      <c r="H54" s="86">
        <f t="shared" si="13"/>
        <v>348.52323000000001</v>
      </c>
      <c r="I54" s="86">
        <f t="shared" si="13"/>
        <v>17164.14676</v>
      </c>
    </row>
    <row r="55" spans="2:9" x14ac:dyDescent="0.25">
      <c r="B55" s="1" t="s">
        <v>14</v>
      </c>
      <c r="C55" s="61">
        <f t="shared" ref="C55:H55" si="14">C30-C54</f>
        <v>1.8189894035458565E-12</v>
      </c>
      <c r="D55" s="61">
        <f t="shared" si="14"/>
        <v>0</v>
      </c>
      <c r="E55" s="61">
        <f t="shared" si="14"/>
        <v>0</v>
      </c>
      <c r="F55" s="61">
        <f t="shared" si="14"/>
        <v>0</v>
      </c>
      <c r="G55" s="61">
        <f t="shared" si="14"/>
        <v>-9.999999999998181</v>
      </c>
      <c r="H55" s="61">
        <f t="shared" si="14"/>
        <v>0</v>
      </c>
      <c r="I55" s="61">
        <f>SUM(C55:H55)</f>
        <v>-9.999999999996362</v>
      </c>
    </row>
    <row r="56" spans="2:9" x14ac:dyDescent="0.25">
      <c r="D56" s="75"/>
      <c r="E56" s="75"/>
      <c r="F56" s="75"/>
      <c r="G56" s="75"/>
      <c r="H56" s="75"/>
    </row>
    <row r="57" spans="2:9" x14ac:dyDescent="0.25">
      <c r="D57" s="75"/>
      <c r="E57" s="75"/>
      <c r="F57" s="75"/>
      <c r="G57" s="75"/>
      <c r="H57" s="75"/>
    </row>
    <row r="58" spans="2:9" x14ac:dyDescent="0.25">
      <c r="F58" s="75"/>
      <c r="G58" s="75"/>
      <c r="H58" s="75"/>
    </row>
  </sheetData>
  <phoneticPr fontId="0" type="noConversion"/>
  <pageMargins left="0.62" right="0.59" top="0.77" bottom="0.45" header="0" footer="0"/>
  <pageSetup paperSize="9" scale="7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CH328"/>
  <sheetViews>
    <sheetView showGridLines="0" topLeftCell="A30" zoomScale="66" zoomScaleNormal="66" workbookViewId="0">
      <selection activeCell="D47" sqref="D47"/>
    </sheetView>
  </sheetViews>
  <sheetFormatPr baseColWidth="10" defaultColWidth="8.81640625" defaultRowHeight="12.5" customHeight="1" x14ac:dyDescent="0.25"/>
  <cols>
    <col min="1" max="1" width="0.81640625" style="1" customWidth="1"/>
    <col min="2" max="2" width="23.1796875" bestFit="1" customWidth="1"/>
    <col min="3" max="3" width="10.6328125" style="347" customWidth="1"/>
    <col min="4" max="4" width="9.1796875" style="463" customWidth="1"/>
    <col min="5" max="5" width="10.6328125" style="347" customWidth="1"/>
    <col min="6" max="6" width="9.1796875" style="463" customWidth="1"/>
    <col min="7" max="7" width="10.6328125" style="347" customWidth="1"/>
    <col min="8" max="8" width="9.1796875" style="463" customWidth="1"/>
    <col min="9" max="9" width="10.6328125" style="347" customWidth="1"/>
    <col min="10" max="10" width="9.1796875" style="348" customWidth="1"/>
    <col min="11" max="11" width="10.6328125" style="347" customWidth="1"/>
    <col min="12" max="12" width="11.90625" style="348" customWidth="1"/>
    <col min="13" max="13" width="4.453125" style="1" customWidth="1"/>
    <col min="14" max="14" width="22.26953125" style="1" customWidth="1"/>
    <col min="15" max="15" width="8.7265625" style="347" customWidth="1"/>
    <col min="16" max="16" width="7.81640625" style="347" customWidth="1"/>
    <col min="17" max="17" width="8.7265625" style="463" customWidth="1"/>
    <col min="18" max="18" width="7.81640625" style="347" customWidth="1"/>
    <col min="19" max="19" width="8.7265625" style="347" customWidth="1"/>
    <col min="20" max="20" width="7.81640625" style="347" customWidth="1"/>
    <col min="21" max="21" width="8.7265625" style="347" customWidth="1"/>
    <col min="22" max="22" width="7.81640625" style="347" customWidth="1"/>
    <col min="23" max="23" width="8.7265625" style="347" customWidth="1"/>
    <col min="24" max="24" width="7.81640625" style="347" customWidth="1"/>
    <col min="25" max="25" width="8.7265625" style="347" customWidth="1"/>
    <col min="26" max="26" width="7.81640625" style="347" customWidth="1"/>
    <col min="27" max="27" width="8.7265625" style="463" customWidth="1"/>
    <col min="28" max="28" width="7.81640625" style="347" customWidth="1"/>
    <col min="29" max="29" width="2.54296875" style="22" customWidth="1"/>
    <col min="30" max="30" width="23.1796875" customWidth="1"/>
    <col min="31" max="31" width="10.6328125" style="347" customWidth="1"/>
    <col min="32" max="32" width="9.1796875" style="463" customWidth="1"/>
    <col min="33" max="33" width="10.6328125" style="347" customWidth="1"/>
    <col min="34" max="34" width="9.1796875" style="463" customWidth="1"/>
    <col min="35" max="35" width="10.6328125" style="347" customWidth="1"/>
    <col min="36" max="36" width="9.1796875" style="463" customWidth="1"/>
    <col min="37" max="37" width="10.6328125" style="347" customWidth="1"/>
    <col min="38" max="38" width="9.1796875" style="348" customWidth="1"/>
    <col min="39" max="39" width="10.6328125" style="347" customWidth="1"/>
    <col min="40" max="40" width="9.1796875" style="348" customWidth="1"/>
    <col min="41" max="41" width="4.453125" style="1" customWidth="1"/>
    <col min="42" max="42" width="22.26953125" style="22" customWidth="1"/>
    <col min="43" max="43" width="8.7265625" style="347" customWidth="1"/>
    <col min="44" max="44" width="7.81640625" style="347" customWidth="1"/>
    <col min="45" max="45" width="8.7265625" style="347" customWidth="1"/>
    <col min="46" max="46" width="7.81640625" style="347" customWidth="1"/>
    <col min="47" max="47" width="8.7265625" style="347" customWidth="1"/>
    <col min="48" max="48" width="7.81640625" style="347" customWidth="1"/>
    <col min="49" max="49" width="8.7265625" style="347" customWidth="1"/>
    <col min="50" max="50" width="7.81640625" style="347" customWidth="1"/>
    <col min="51" max="51" width="8.7265625" style="347" customWidth="1"/>
    <col min="52" max="52" width="7.81640625" style="347" customWidth="1"/>
    <col min="53" max="53" width="8.7265625" style="347" customWidth="1"/>
    <col min="54" max="54" width="7.81640625" style="347" customWidth="1"/>
    <col min="55" max="55" width="8.7265625" style="347" customWidth="1"/>
    <col min="56" max="56" width="7.81640625" style="1" customWidth="1"/>
    <col min="57" max="57" width="8.81640625" style="1"/>
    <col min="58" max="58" width="23.1796875" style="290" bestFit="1" customWidth="1"/>
    <col min="59" max="59" width="10.6328125" style="347" customWidth="1"/>
    <col min="60" max="60" width="9.1796875" style="463" customWidth="1"/>
    <col min="61" max="61" width="10.6328125" style="347" customWidth="1"/>
    <col min="62" max="62" width="9.1796875" style="463" customWidth="1"/>
    <col min="63" max="63" width="10.6328125" style="347" customWidth="1"/>
    <col min="64" max="64" width="9.1796875" style="463" customWidth="1"/>
    <col min="65" max="65" width="10.6328125" style="347" customWidth="1"/>
    <col min="66" max="66" width="9.1796875" style="348" customWidth="1"/>
    <col min="67" max="67" width="10.6328125" style="347" customWidth="1"/>
    <col min="68" max="69" width="9.1796875" style="348" customWidth="1"/>
    <col min="70" max="70" width="3.453125" style="1" customWidth="1"/>
    <col min="71" max="71" width="16.54296875" style="1" bestFit="1" customWidth="1"/>
    <col min="72" max="72" width="10" style="1" customWidth="1"/>
    <col min="73" max="73" width="7.90625" style="1" customWidth="1"/>
    <col min="74" max="74" width="10" style="1" customWidth="1"/>
    <col min="75" max="75" width="7.90625" style="1" customWidth="1"/>
    <col min="76" max="76" width="10" style="1" customWidth="1"/>
    <col min="77" max="77" width="7.90625" style="1" customWidth="1"/>
    <col min="78" max="78" width="10" style="1" customWidth="1"/>
    <col min="79" max="79" width="7.90625" style="1" customWidth="1"/>
    <col min="80" max="80" width="10" style="1" customWidth="1"/>
    <col min="81" max="81" width="7.90625" style="1" customWidth="1"/>
    <col min="82" max="82" width="10" style="1" customWidth="1"/>
    <col min="83" max="83" width="7.90625" style="1" customWidth="1"/>
    <col min="84" max="84" width="10" style="1" customWidth="1"/>
    <col min="85" max="85" width="7.90625" style="1" customWidth="1"/>
    <col min="86" max="86" width="8.81640625" style="347"/>
    <col min="87" max="16384" width="8.81640625" style="1"/>
  </cols>
  <sheetData>
    <row r="1" spans="1:85" ht="5" customHeight="1" x14ac:dyDescent="0.25">
      <c r="B1" s="238"/>
      <c r="C1" s="426"/>
      <c r="D1" s="462"/>
      <c r="E1" s="426"/>
      <c r="F1" s="462"/>
      <c r="G1" s="426"/>
      <c r="H1" s="462"/>
      <c r="I1" s="426"/>
      <c r="J1" s="346"/>
      <c r="AD1" s="238"/>
      <c r="AF1" s="347"/>
      <c r="AH1" s="347"/>
      <c r="AI1" s="426"/>
      <c r="AJ1" s="462"/>
      <c r="AL1" s="346"/>
      <c r="AM1" s="426"/>
      <c r="AN1" s="346"/>
      <c r="BF1" s="238"/>
      <c r="BH1" s="347"/>
      <c r="BJ1" s="347"/>
      <c r="BK1" s="426"/>
      <c r="BL1" s="462"/>
      <c r="BN1" s="346"/>
      <c r="BO1" s="426"/>
      <c r="BP1" s="346"/>
      <c r="BQ1" s="346"/>
    </row>
    <row r="2" spans="1:85" ht="12.5" customHeight="1" x14ac:dyDescent="0.25">
      <c r="D2" s="347"/>
      <c r="F2" s="347"/>
      <c r="H2" s="347"/>
      <c r="J2" s="347"/>
      <c r="L2" s="347"/>
      <c r="M2"/>
      <c r="N2"/>
      <c r="AF2" s="347"/>
      <c r="AH2" s="347"/>
      <c r="AJ2" s="347"/>
      <c r="AL2" s="347"/>
      <c r="AN2" s="347"/>
      <c r="AO2" s="290"/>
      <c r="BG2" s="556"/>
      <c r="BH2" s="556"/>
      <c r="BI2" s="556"/>
      <c r="BJ2" s="347"/>
      <c r="BL2" s="347"/>
      <c r="BN2" s="347"/>
      <c r="BP2" s="347"/>
      <c r="BQ2" s="347"/>
      <c r="BR2"/>
    </row>
    <row r="3" spans="1:85" ht="12.5" customHeight="1" x14ac:dyDescent="0.25">
      <c r="E3" s="426"/>
      <c r="F3" s="462"/>
    </row>
    <row r="4" spans="1:85" ht="12.5" customHeight="1" x14ac:dyDescent="0.3">
      <c r="C4" s="739" t="s">
        <v>37</v>
      </c>
      <c r="D4" s="743"/>
      <c r="E4" s="743"/>
      <c r="F4" s="743"/>
      <c r="G4" s="743"/>
      <c r="H4" s="743"/>
      <c r="I4" s="743"/>
      <c r="J4" s="744"/>
      <c r="K4" s="743"/>
      <c r="L4" s="744"/>
      <c r="M4" s="175"/>
      <c r="O4" s="739" t="str">
        <f>AE4</f>
        <v>División Alimentos EU</v>
      </c>
      <c r="P4" s="743"/>
      <c r="Q4" s="743"/>
      <c r="R4" s="743"/>
      <c r="S4" s="743"/>
      <c r="T4" s="743"/>
      <c r="U4" s="743"/>
      <c r="V4" s="743"/>
      <c r="W4" s="743"/>
      <c r="X4" s="743"/>
      <c r="Y4" s="743"/>
      <c r="Z4" s="743"/>
      <c r="AA4" s="743"/>
      <c r="AB4" s="743"/>
      <c r="AC4" s="28"/>
      <c r="AE4" s="739" t="str">
        <f>C4</f>
        <v>División Alimentos EU</v>
      </c>
      <c r="AF4" s="739"/>
      <c r="AG4" s="739"/>
      <c r="AH4" s="739"/>
      <c r="AI4" s="739"/>
      <c r="AJ4" s="739"/>
      <c r="AK4" s="739"/>
      <c r="AL4" s="739"/>
      <c r="AM4" s="739"/>
      <c r="AN4" s="739"/>
      <c r="AO4" s="175"/>
      <c r="AP4" s="28"/>
      <c r="AQ4" s="735" t="str">
        <f>O4</f>
        <v>División Alimentos EU</v>
      </c>
      <c r="AR4" s="737"/>
      <c r="AS4" s="737"/>
      <c r="AT4" s="737"/>
      <c r="AU4" s="737"/>
      <c r="AV4" s="737"/>
      <c r="AW4" s="737"/>
      <c r="AX4" s="737"/>
      <c r="AY4" s="737"/>
      <c r="AZ4" s="737"/>
      <c r="BA4" s="737"/>
      <c r="BB4" s="737"/>
      <c r="BC4" s="737"/>
      <c r="BD4" s="737"/>
      <c r="BF4" s="175"/>
      <c r="BG4" s="748" t="str">
        <f>AE4</f>
        <v>División Alimentos EU</v>
      </c>
      <c r="BH4" s="748"/>
      <c r="BI4" s="748"/>
      <c r="BJ4" s="748"/>
      <c r="BK4" s="748"/>
      <c r="BL4" s="748"/>
      <c r="BM4" s="748"/>
      <c r="BN4" s="748"/>
      <c r="BO4" s="748"/>
      <c r="BP4" s="748"/>
      <c r="BQ4" s="349"/>
      <c r="BS4" s="312"/>
      <c r="BT4" s="735" t="str">
        <f>AQ4</f>
        <v>División Alimentos EU</v>
      </c>
      <c r="BU4" s="737"/>
      <c r="BV4" s="737"/>
      <c r="BW4" s="737"/>
      <c r="BX4" s="737"/>
      <c r="BY4" s="737"/>
      <c r="BZ4" s="737"/>
      <c r="CA4" s="737"/>
      <c r="CB4" s="737"/>
      <c r="CC4" s="737"/>
      <c r="CD4" s="737"/>
      <c r="CE4" s="737"/>
      <c r="CF4" s="737"/>
      <c r="CG4" s="737"/>
    </row>
    <row r="5" spans="1:85" ht="12.5" customHeight="1" x14ac:dyDescent="0.3">
      <c r="C5" s="739" t="s">
        <v>18</v>
      </c>
      <c r="D5" s="743"/>
      <c r="E5" s="743"/>
      <c r="F5" s="743"/>
      <c r="G5" s="743"/>
      <c r="H5" s="743"/>
      <c r="I5" s="743"/>
      <c r="J5" s="744"/>
      <c r="K5" s="743"/>
      <c r="L5" s="744"/>
      <c r="M5" s="175"/>
      <c r="O5" s="739" t="s">
        <v>18</v>
      </c>
      <c r="P5" s="743"/>
      <c r="Q5" s="743"/>
      <c r="R5" s="743"/>
      <c r="S5" s="743"/>
      <c r="T5" s="743"/>
      <c r="U5" s="743"/>
      <c r="V5" s="743"/>
      <c r="W5" s="743"/>
      <c r="X5" s="743"/>
      <c r="Y5" s="743"/>
      <c r="Z5" s="743"/>
      <c r="AA5" s="743"/>
      <c r="AB5" s="743"/>
      <c r="AC5" s="28"/>
      <c r="AE5" s="739" t="s">
        <v>18</v>
      </c>
      <c r="AF5" s="739"/>
      <c r="AG5" s="739"/>
      <c r="AH5" s="739"/>
      <c r="AI5" s="739"/>
      <c r="AJ5" s="739"/>
      <c r="AK5" s="739"/>
      <c r="AL5" s="739"/>
      <c r="AM5" s="739"/>
      <c r="AN5" s="739"/>
      <c r="AO5" s="175"/>
      <c r="AP5" s="28"/>
      <c r="AQ5" s="735" t="s">
        <v>18</v>
      </c>
      <c r="AR5" s="737"/>
      <c r="AS5" s="737"/>
      <c r="AT5" s="737"/>
      <c r="AU5" s="737"/>
      <c r="AV5" s="737"/>
      <c r="AW5" s="737"/>
      <c r="AX5" s="737"/>
      <c r="AY5" s="737"/>
      <c r="AZ5" s="737"/>
      <c r="BA5" s="737"/>
      <c r="BB5" s="737"/>
      <c r="BC5" s="737"/>
      <c r="BD5" s="737"/>
      <c r="BF5" s="175"/>
      <c r="BG5" s="748" t="s">
        <v>18</v>
      </c>
      <c r="BH5" s="748"/>
      <c r="BI5" s="748"/>
      <c r="BJ5" s="748"/>
      <c r="BK5" s="748"/>
      <c r="BL5" s="748"/>
      <c r="BM5" s="748"/>
      <c r="BN5" s="748"/>
      <c r="BO5" s="748"/>
      <c r="BP5" s="748"/>
      <c r="BQ5" s="349"/>
      <c r="BS5" s="312"/>
      <c r="BT5" s="735" t="s">
        <v>18</v>
      </c>
      <c r="BU5" s="737"/>
      <c r="BV5" s="737"/>
      <c r="BW5" s="737"/>
      <c r="BX5" s="737"/>
      <c r="BY5" s="737"/>
      <c r="BZ5" s="737"/>
      <c r="CA5" s="737"/>
      <c r="CB5" s="737"/>
      <c r="CC5" s="737"/>
      <c r="CD5" s="737"/>
      <c r="CE5" s="737"/>
      <c r="CF5" s="737"/>
      <c r="CG5" s="737"/>
    </row>
    <row r="6" spans="1:85" ht="12.5" customHeight="1" x14ac:dyDescent="0.3">
      <c r="B6" s="281" t="s">
        <v>37</v>
      </c>
      <c r="C6" s="739" t="str">
        <f>PROPER(TEXT(MES_CIERRE,"MMMM "))&amp;YEAR(MES_CIERRE)</f>
        <v>Junio 2019</v>
      </c>
      <c r="D6" s="739"/>
      <c r="E6" s="739"/>
      <c r="F6" s="739"/>
      <c r="G6" s="739"/>
      <c r="H6" s="739"/>
      <c r="I6" s="739"/>
      <c r="J6" s="739"/>
      <c r="K6" s="739"/>
      <c r="L6" s="739"/>
      <c r="M6" s="175"/>
      <c r="O6" s="745" t="str">
        <f>PROPER(TEXT(MES_CIERRE,"MMMM "))&amp;YEAR(MES_CIERRE)</f>
        <v>Junio 2019</v>
      </c>
      <c r="P6" s="743"/>
      <c r="Q6" s="743"/>
      <c r="R6" s="743"/>
      <c r="S6" s="743"/>
      <c r="T6" s="743"/>
      <c r="U6" s="743"/>
      <c r="V6" s="743"/>
      <c r="W6" s="743"/>
      <c r="X6" s="743"/>
      <c r="Y6" s="743"/>
      <c r="Z6" s="743"/>
      <c r="AA6" s="743"/>
      <c r="AB6" s="743"/>
      <c r="AC6" s="28"/>
      <c r="AD6" s="281" t="s">
        <v>37</v>
      </c>
      <c r="AE6" s="740" t="str">
        <f>"Accum to "&amp;PROPER(TEXT(MES_CIERRE,"MMMM "))&amp;YEAR(MES_CIERRE)</f>
        <v>Accum to Junio 2019</v>
      </c>
      <c r="AF6" s="740"/>
      <c r="AG6" s="740"/>
      <c r="AH6" s="740"/>
      <c r="AI6" s="740"/>
      <c r="AJ6" s="740"/>
      <c r="AK6" s="740"/>
      <c r="AL6" s="740"/>
      <c r="AM6" s="740"/>
      <c r="AN6" s="740"/>
      <c r="AO6" s="175"/>
      <c r="AP6" s="28"/>
      <c r="AQ6" s="738" t="str">
        <f>"Accum to "&amp;PROPER(TEXT(MES_CIERRE,"MMMM "))&amp;YEAR(MES_CIERRE)</f>
        <v>Accum to Junio 2019</v>
      </c>
      <c r="AR6" s="734"/>
      <c r="AS6" s="734"/>
      <c r="AT6" s="734"/>
      <c r="AU6" s="734"/>
      <c r="AV6" s="734"/>
      <c r="AW6" s="734"/>
      <c r="AX6" s="734"/>
      <c r="AY6" s="734"/>
      <c r="AZ6" s="734"/>
      <c r="BA6" s="734"/>
      <c r="BB6" s="734"/>
      <c r="BC6" s="734"/>
      <c r="BD6" s="734"/>
      <c r="BF6" s="557" t="s">
        <v>37</v>
      </c>
      <c r="BG6" s="749" t="str">
        <f>$BG$41</f>
        <v>Projection- Julio 2019</v>
      </c>
      <c r="BH6" s="749"/>
      <c r="BI6" s="749"/>
      <c r="BJ6" s="749"/>
      <c r="BK6" s="749"/>
      <c r="BL6" s="749"/>
      <c r="BM6" s="749"/>
      <c r="BN6" s="749"/>
      <c r="BO6" s="749"/>
      <c r="BP6" s="749"/>
      <c r="BQ6" s="350"/>
      <c r="BS6" s="312"/>
      <c r="BT6" s="738" t="str">
        <f>BG6</f>
        <v>Projection- Julio 2019</v>
      </c>
      <c r="BU6" s="734"/>
      <c r="BV6" s="734"/>
      <c r="BW6" s="734"/>
      <c r="BX6" s="734"/>
      <c r="BY6" s="734"/>
      <c r="BZ6" s="734"/>
      <c r="CA6" s="734"/>
      <c r="CB6" s="734"/>
      <c r="CC6" s="734"/>
      <c r="CD6" s="734"/>
      <c r="CE6" s="734"/>
      <c r="CF6" s="734"/>
      <c r="CG6" s="734"/>
    </row>
    <row r="7" spans="1:85" ht="12.5" customHeight="1" x14ac:dyDescent="0.3">
      <c r="A7" s="238"/>
      <c r="C7" s="394" t="s">
        <v>0</v>
      </c>
      <c r="D7" s="395"/>
      <c r="E7" s="394" t="s">
        <v>4</v>
      </c>
      <c r="F7" s="395"/>
      <c r="G7" s="394" t="s">
        <v>5</v>
      </c>
      <c r="H7" s="464"/>
      <c r="I7" s="349" t="s">
        <v>6</v>
      </c>
      <c r="J7" s="351"/>
      <c r="K7" s="349" t="s">
        <v>7</v>
      </c>
      <c r="L7" s="351"/>
      <c r="M7" s="174"/>
      <c r="N7" s="35"/>
      <c r="O7" s="349" t="s">
        <v>121</v>
      </c>
      <c r="P7" s="494"/>
      <c r="Q7" s="349" t="s">
        <v>120</v>
      </c>
      <c r="R7" s="494"/>
      <c r="S7" s="494" t="s">
        <v>119</v>
      </c>
      <c r="T7" s="494"/>
      <c r="U7" s="494" t="s">
        <v>432</v>
      </c>
      <c r="V7" s="494"/>
      <c r="W7" s="494" t="s">
        <v>433</v>
      </c>
      <c r="X7" s="494"/>
      <c r="Y7" s="494" t="s">
        <v>434</v>
      </c>
      <c r="Z7" s="494"/>
      <c r="AA7" s="349" t="s">
        <v>435</v>
      </c>
      <c r="AB7" s="465"/>
      <c r="AE7" s="394" t="s">
        <v>8</v>
      </c>
      <c r="AF7" s="464"/>
      <c r="AG7" s="394" t="s">
        <v>4</v>
      </c>
      <c r="AH7" s="464"/>
      <c r="AI7" s="394" t="s">
        <v>9</v>
      </c>
      <c r="AJ7" s="465"/>
      <c r="AK7" s="349" t="s">
        <v>6</v>
      </c>
      <c r="AL7" s="351"/>
      <c r="AM7" s="349" t="s">
        <v>7</v>
      </c>
      <c r="AN7" s="351"/>
      <c r="AO7" s="291"/>
      <c r="AP7" s="1"/>
      <c r="AQ7" s="349" t="s">
        <v>121</v>
      </c>
      <c r="AR7" s="494"/>
      <c r="AS7" s="349" t="s">
        <v>120</v>
      </c>
      <c r="AT7" s="494"/>
      <c r="AU7" s="494" t="s">
        <v>119</v>
      </c>
      <c r="AV7" s="494"/>
      <c r="AW7" s="494" t="s">
        <v>432</v>
      </c>
      <c r="AX7" s="494"/>
      <c r="AY7" s="494" t="s">
        <v>433</v>
      </c>
      <c r="AZ7" s="494"/>
      <c r="BA7" s="494" t="s">
        <v>434</v>
      </c>
      <c r="BB7" s="494"/>
      <c r="BC7" s="349" t="s">
        <v>435</v>
      </c>
      <c r="BD7" s="31"/>
      <c r="BF7" s="175"/>
      <c r="BG7" s="558" t="s">
        <v>502</v>
      </c>
      <c r="BH7" s="559"/>
      <c r="BI7" s="558" t="s">
        <v>4</v>
      </c>
      <c r="BJ7" s="559"/>
      <c r="BK7" s="558" t="s">
        <v>9</v>
      </c>
      <c r="BL7" s="560"/>
      <c r="BM7" s="561" t="s">
        <v>6</v>
      </c>
      <c r="BN7" s="562"/>
      <c r="BO7" s="561" t="s">
        <v>7</v>
      </c>
      <c r="BP7" s="562"/>
      <c r="BQ7" s="351"/>
      <c r="BT7" s="313" t="s">
        <v>121</v>
      </c>
      <c r="BU7" s="88"/>
      <c r="BV7" s="313" t="s">
        <v>120</v>
      </c>
      <c r="BW7" s="88"/>
      <c r="BX7" s="88" t="s">
        <v>119</v>
      </c>
      <c r="BY7" s="88"/>
      <c r="BZ7" s="88" t="s">
        <v>432</v>
      </c>
      <c r="CA7" s="88"/>
      <c r="CB7" s="88" t="s">
        <v>433</v>
      </c>
      <c r="CC7" s="88"/>
      <c r="CD7" s="88" t="s">
        <v>434</v>
      </c>
      <c r="CE7" s="88"/>
      <c r="CF7" s="313" t="s">
        <v>435</v>
      </c>
      <c r="CG7" s="31"/>
    </row>
    <row r="8" spans="1:85" ht="12.5" customHeight="1" x14ac:dyDescent="0.25">
      <c r="A8" s="238"/>
      <c r="C8" s="469"/>
      <c r="D8" s="500"/>
      <c r="E8" s="468"/>
      <c r="F8" s="500"/>
      <c r="G8" s="469"/>
      <c r="H8" s="467"/>
      <c r="I8" s="419"/>
      <c r="J8" s="352"/>
      <c r="K8" s="419"/>
      <c r="L8" s="352"/>
      <c r="M8" s="175"/>
      <c r="O8" s="466"/>
      <c r="P8" s="467"/>
      <c r="Q8" s="466"/>
      <c r="R8" s="467"/>
      <c r="S8" s="419"/>
      <c r="T8" s="467"/>
      <c r="U8" s="419"/>
      <c r="V8" s="467"/>
      <c r="W8" s="419"/>
      <c r="X8" s="467"/>
      <c r="Y8" s="419"/>
      <c r="Z8" s="467"/>
      <c r="AA8" s="419"/>
      <c r="AB8" s="467"/>
      <c r="AE8" s="466"/>
      <c r="AF8" s="467"/>
      <c r="AG8" s="468"/>
      <c r="AH8" s="467"/>
      <c r="AI8" s="469"/>
      <c r="AJ8" s="470"/>
      <c r="AK8" s="419"/>
      <c r="AL8" s="352"/>
      <c r="AM8" s="419"/>
      <c r="AN8" s="352"/>
      <c r="AO8" s="175"/>
      <c r="AP8" s="1"/>
      <c r="AQ8" s="466"/>
      <c r="AR8" s="467"/>
      <c r="AS8" s="466"/>
      <c r="AT8" s="467"/>
      <c r="AU8" s="466"/>
      <c r="AV8" s="467"/>
      <c r="AW8" s="466"/>
      <c r="AX8" s="467"/>
      <c r="AY8" s="419"/>
      <c r="AZ8" s="467"/>
      <c r="BA8" s="419"/>
      <c r="BB8" s="467"/>
      <c r="BC8" s="419"/>
      <c r="BD8" s="38"/>
      <c r="BF8" s="175"/>
      <c r="BG8" s="563"/>
      <c r="BH8" s="564"/>
      <c r="BI8" s="565"/>
      <c r="BJ8" s="564"/>
      <c r="BK8" s="566"/>
      <c r="BL8" s="567"/>
      <c r="BM8" s="568"/>
      <c r="BN8" s="181"/>
      <c r="BO8" s="568"/>
      <c r="BP8" s="181"/>
      <c r="BQ8" s="352"/>
      <c r="BT8" s="37"/>
      <c r="BU8" s="38"/>
      <c r="BV8" s="37"/>
      <c r="BW8" s="38"/>
      <c r="BX8" s="37"/>
      <c r="BY8" s="38"/>
      <c r="BZ8" s="37"/>
      <c r="CA8" s="38"/>
      <c r="CB8" s="6"/>
      <c r="CC8" s="38"/>
      <c r="CD8" s="6"/>
      <c r="CE8" s="38"/>
      <c r="CF8" s="6"/>
      <c r="CG8" s="38"/>
    </row>
    <row r="9" spans="1:85" ht="12.5" customHeight="1" x14ac:dyDescent="0.25">
      <c r="A9" s="238"/>
      <c r="B9" t="s">
        <v>38</v>
      </c>
      <c r="C9" s="418">
        <f>+C44+C79+C114+C149+C223+C187</f>
        <v>1560.11716</v>
      </c>
      <c r="D9" s="471">
        <f>IF(C$9=0,"N.D.",C9/C$9)</f>
        <v>1</v>
      </c>
      <c r="E9" s="569">
        <f>+E44+E79+E114+E149+E223+E187</f>
        <v>1702.1899999999998</v>
      </c>
      <c r="F9" s="471">
        <f>IF(E$9=0,"N.D.",E9/E$9)</f>
        <v>1</v>
      </c>
      <c r="G9" s="418">
        <f>+G44+G79+G114+G149+G223+G187+G258</f>
        <v>1650.8427799999999</v>
      </c>
      <c r="H9" s="471">
        <f>IF(G$9=0,"N.D.",G9/G$9)</f>
        <v>1</v>
      </c>
      <c r="I9" s="418">
        <f>C9-E9</f>
        <v>-142.07283999999981</v>
      </c>
      <c r="J9" s="471">
        <f>IF(E9=0,"N.D.",C9/E9-1)</f>
        <v>-8.3464736604021761E-2</v>
      </c>
      <c r="K9" s="418">
        <f>C9-G9</f>
        <v>-90.725619999999935</v>
      </c>
      <c r="L9" s="471">
        <f>IF(G9=0,"N.D.",C9/G9-1)</f>
        <v>-5.4957153460731045E-2</v>
      </c>
      <c r="M9" s="175"/>
      <c r="N9" s="9" t="s">
        <v>38</v>
      </c>
      <c r="O9" s="418">
        <f t="shared" ref="O9:P12" si="0">C44</f>
        <v>0</v>
      </c>
      <c r="P9" s="417" t="str">
        <f t="shared" si="0"/>
        <v>N.D.</v>
      </c>
      <c r="Q9" s="418">
        <f t="shared" ref="Q9:R12" si="1">C79</f>
        <v>290.98833000000002</v>
      </c>
      <c r="R9" s="417">
        <f t="shared" si="1"/>
        <v>1</v>
      </c>
      <c r="S9" s="418">
        <f>C114</f>
        <v>617.27277000000004</v>
      </c>
      <c r="T9" s="417">
        <f>+D114</f>
        <v>1</v>
      </c>
      <c r="U9" s="418">
        <f>C149</f>
        <v>219.20205999999999</v>
      </c>
      <c r="V9" s="417">
        <f>+D149</f>
        <v>1</v>
      </c>
      <c r="W9" s="418">
        <f>C187</f>
        <v>302.41525000000001</v>
      </c>
      <c r="X9" s="417">
        <f>+D187</f>
        <v>1</v>
      </c>
      <c r="Y9" s="418">
        <f>C223</f>
        <v>130.23875000000001</v>
      </c>
      <c r="Z9" s="417">
        <f>+D223</f>
        <v>1</v>
      </c>
      <c r="AA9" s="418">
        <f>+O9+Q9+S9+U9+W9+Y9</f>
        <v>1560.11716</v>
      </c>
      <c r="AB9" s="417">
        <f>IF(AA$9=0,"N.D.",AA9/AA$9)</f>
        <v>1</v>
      </c>
      <c r="AD9" t="s">
        <v>38</v>
      </c>
      <c r="AE9" s="418">
        <f>+AE44+AE79+AE114+AE149+AE223+AE187</f>
        <v>15611.194969999999</v>
      </c>
      <c r="AF9" s="471">
        <f>IF(AE$9=0,"N.D.",AE9/AE$9)</f>
        <v>1</v>
      </c>
      <c r="AG9" s="418">
        <f>+AG44+AG79+AG114+AG149+AG223+AG187</f>
        <v>21051.936999999998</v>
      </c>
      <c r="AH9" s="471">
        <f>IF(AG$9=0,"N.D.",AG9/AG$9)</f>
        <v>1</v>
      </c>
      <c r="AI9" s="418">
        <f>+AI44+AI79+AI114+AI149+AI223+AI187+AI258</f>
        <v>20498.061269999998</v>
      </c>
      <c r="AJ9" s="471">
        <f>IF(AI$9=0,"N.D.",AI9/AI$9)</f>
        <v>1</v>
      </c>
      <c r="AK9" s="418">
        <f>AE9-AG9</f>
        <v>-5440.7420299999994</v>
      </c>
      <c r="AL9" s="471">
        <f>IF(AG9=0,"N.D.",AE9/AG9-1)</f>
        <v>-0.25844377313118505</v>
      </c>
      <c r="AM9" s="418">
        <f>AE9-AI9</f>
        <v>-4886.8662999999997</v>
      </c>
      <c r="AN9" s="471">
        <f>IF(AI9=0,"N.D.",AE9/AI9-1)</f>
        <v>-0.23840626855536762</v>
      </c>
      <c r="AO9" s="175"/>
      <c r="AP9" s="9" t="s">
        <v>38</v>
      </c>
      <c r="AQ9" s="418">
        <f t="shared" ref="AQ9:AR12" si="2">AE44</f>
        <v>6195.01955</v>
      </c>
      <c r="AR9" s="417">
        <f t="shared" si="2"/>
        <v>1</v>
      </c>
      <c r="AS9" s="418">
        <f t="shared" ref="AS9:AT12" si="3">AE79</f>
        <v>1780.6632199999999</v>
      </c>
      <c r="AT9" s="417">
        <f t="shared" si="3"/>
        <v>1</v>
      </c>
      <c r="AU9" s="418">
        <f t="shared" ref="AU9:AV12" si="4">AE114</f>
        <v>3681.9625799999999</v>
      </c>
      <c r="AV9" s="417">
        <f t="shared" si="4"/>
        <v>1</v>
      </c>
      <c r="AW9" s="418">
        <f t="shared" ref="AW9:AX12" si="5">AE149</f>
        <v>1407.9315900000001</v>
      </c>
      <c r="AX9" s="417">
        <f t="shared" si="5"/>
        <v>1</v>
      </c>
      <c r="AY9" s="418">
        <f>AE187</f>
        <v>1822.6221699999999</v>
      </c>
      <c r="AZ9" s="417">
        <f>+AF187</f>
        <v>1</v>
      </c>
      <c r="BA9" s="418">
        <f t="shared" ref="BA9:BB12" si="6">AE223</f>
        <v>722.99585999999999</v>
      </c>
      <c r="BB9" s="417">
        <f t="shared" si="6"/>
        <v>1</v>
      </c>
      <c r="BC9" s="418">
        <f>+AQ9+AS9+AU9+AW9+AY9+BA9</f>
        <v>15611.19497</v>
      </c>
      <c r="BD9" s="24">
        <f>IF(BC$9=0,"N.D.",BC9/BC$9)</f>
        <v>1</v>
      </c>
      <c r="BF9" s="175" t="s">
        <v>38</v>
      </c>
      <c r="BG9" s="569">
        <f>+BG79+BG114+BG149+BG223+BG187</f>
        <v>1549</v>
      </c>
      <c r="BH9" s="183">
        <f>IF(BG$9=0,"N.D.",BG9/BG$9)</f>
        <v>1</v>
      </c>
      <c r="BI9" s="569">
        <f ca="1">+BI79+BI114+BI149+BI223+BI187</f>
        <v>1660.672</v>
      </c>
      <c r="BJ9" s="183">
        <f ca="1">IF(BI$9=0,"N.D.",BI9/BI$9)</f>
        <v>1</v>
      </c>
      <c r="BK9" s="569">
        <f ca="1">+BK44+BK79+BK114+BK149+BK223+BK187</f>
        <v>1650.8427799999999</v>
      </c>
      <c r="BL9" s="183">
        <f ca="1">IF(BK$9=0,"N.D.",BK9/BK$9)</f>
        <v>1</v>
      </c>
      <c r="BM9" s="569">
        <f ca="1">BG9-BI9</f>
        <v>-111.67200000000003</v>
      </c>
      <c r="BN9" s="183">
        <f ca="1">IF(BI9=0,"N.D.",BG9/BI9-1)</f>
        <v>-6.7245067057191354E-2</v>
      </c>
      <c r="BO9" s="569">
        <f ca="1">BG9-BK9</f>
        <v>-101.84277999999995</v>
      </c>
      <c r="BP9" s="183">
        <f ca="1">IF(BK9=0,"N.D.",BG9/BK9-1)</f>
        <v>-6.169138650501893E-2</v>
      </c>
      <c r="BQ9" s="353"/>
      <c r="BS9" s="9" t="s">
        <v>38</v>
      </c>
      <c r="BT9" s="3"/>
      <c r="BU9" s="183" t="str">
        <f>IF(BT$9=0,"N.D.",BT9/BT$9)</f>
        <v>N.D.</v>
      </c>
      <c r="BV9" s="3">
        <f>BG79</f>
        <v>301</v>
      </c>
      <c r="BW9" s="183">
        <f>IF(BV$9=0,"N.D.",BV9/BV$9)</f>
        <v>1</v>
      </c>
      <c r="BX9" s="3">
        <f>BG114</f>
        <v>605</v>
      </c>
      <c r="BY9" s="183">
        <f>IF(BX$9=0,"N.D.",BX9/BX$9)</f>
        <v>1</v>
      </c>
      <c r="BZ9" s="3">
        <f>BG149</f>
        <v>216</v>
      </c>
      <c r="CA9" s="183">
        <f>IF(BZ$9=0,"N.D.",BZ9/BZ$9)</f>
        <v>1</v>
      </c>
      <c r="CB9" s="3">
        <f>BG187</f>
        <v>291</v>
      </c>
      <c r="CC9" s="183">
        <f>IF(CB$9=0,"N.D.",CB9/CB$9)</f>
        <v>1</v>
      </c>
      <c r="CD9" s="3">
        <f>BG223</f>
        <v>136</v>
      </c>
      <c r="CE9" s="183">
        <f>IF(CD$9=0,"N.D.",CD9/CD$9)</f>
        <v>1</v>
      </c>
      <c r="CF9" s="3">
        <f>+BT9+BV9+BX9+BZ9+CB9+CD9</f>
        <v>1549</v>
      </c>
      <c r="CG9" s="183">
        <f>IF(CF$9=0,"N.D.",CF9/CF$9)</f>
        <v>1</v>
      </c>
    </row>
    <row r="10" spans="1:85" ht="12.5" customHeight="1" x14ac:dyDescent="0.25">
      <c r="A10" s="238"/>
      <c r="B10" t="s">
        <v>39</v>
      </c>
      <c r="C10" s="314">
        <f>+C45+C80+C115+C150+C224+C188</f>
        <v>472.18195000000003</v>
      </c>
      <c r="D10" s="472">
        <f>IF(C$9=0,"N.D.",C10/C$9)</f>
        <v>0.30265800678713128</v>
      </c>
      <c r="E10" s="314">
        <f>+E45+E80+E115+E150+E224+E188</f>
        <v>557.5</v>
      </c>
      <c r="F10" s="472">
        <f>IF(E$9=0,"N.D.",E10/E$9)</f>
        <v>0.32751925460730003</v>
      </c>
      <c r="G10" s="314">
        <f>+G45+G80+G115+G150+G224+G188+G259</f>
        <v>537.65418</v>
      </c>
      <c r="H10" s="472">
        <f>IF(G$9=0,"N.D.",G10/G$9)</f>
        <v>0.32568466634963267</v>
      </c>
      <c r="I10" s="314">
        <f>C10-E10</f>
        <v>-85.318049999999971</v>
      </c>
      <c r="J10" s="472">
        <f>IF(E10=0,"N.D.",C10/E10-1)</f>
        <v>-0.15303686098654701</v>
      </c>
      <c r="K10" s="314">
        <f>C10-G10</f>
        <v>-65.472229999999968</v>
      </c>
      <c r="L10" s="472">
        <f>IF(G10=0,"N.D.",C10/G10-1)</f>
        <v>-0.12177386959030057</v>
      </c>
      <c r="M10" s="175"/>
      <c r="N10" s="9" t="s">
        <v>39</v>
      </c>
      <c r="O10" s="314">
        <f t="shared" si="0"/>
        <v>0</v>
      </c>
      <c r="P10" s="414" t="str">
        <f t="shared" si="0"/>
        <v>N.D.</v>
      </c>
      <c r="Q10" s="314">
        <f t="shared" si="1"/>
        <v>95.113590000000002</v>
      </c>
      <c r="R10" s="414">
        <f t="shared" si="1"/>
        <v>0.32686393299690059</v>
      </c>
      <c r="S10" s="314">
        <f>C115</f>
        <v>199.33366000000001</v>
      </c>
      <c r="T10" s="414">
        <f>+D115</f>
        <v>0.32292637823631842</v>
      </c>
      <c r="U10" s="314">
        <f>C150</f>
        <v>77.319210000000012</v>
      </c>
      <c r="V10" s="414">
        <f>+D150</f>
        <v>0.35273030737028666</v>
      </c>
      <c r="W10" s="314">
        <f>C188</f>
        <v>100.41549000000001</v>
      </c>
      <c r="X10" s="414">
        <f>+D188</f>
        <v>0.33204506055828864</v>
      </c>
      <c r="Y10" s="314">
        <f>C224</f>
        <v>0</v>
      </c>
      <c r="Z10" s="414">
        <f>+D224</f>
        <v>0</v>
      </c>
      <c r="AA10" s="314">
        <f t="shared" ref="AA10:AA25" si="7">+O10+Q10+S10+U10+W10+Y10</f>
        <v>472.18195000000003</v>
      </c>
      <c r="AB10" s="414">
        <f>IF(AA$9=0,"N.D.",AA10/AA$9)</f>
        <v>0.30265800678713128</v>
      </c>
      <c r="AD10" t="s">
        <v>39</v>
      </c>
      <c r="AE10" s="314">
        <f>+AE45+AE80+AE115+AE150+AE224+AE188</f>
        <v>5208.5476800000006</v>
      </c>
      <c r="AF10" s="472">
        <f>IF(AE$9=0,"N.D.",AE10/AE$9)</f>
        <v>0.33364183139146336</v>
      </c>
      <c r="AG10" s="314">
        <f>+AG45+AG80+AG115+AG150+AG224+AG188</f>
        <v>7444.6650000000009</v>
      </c>
      <c r="AH10" s="472">
        <f>IF(AG$9=0,"N.D.",AG10/AG$9)</f>
        <v>0.35363325474515728</v>
      </c>
      <c r="AI10" s="314">
        <f>+AI45+AI80+AI115+AI150+AI224+AI188+AI259</f>
        <v>7225.6993499999999</v>
      </c>
      <c r="AJ10" s="472">
        <f>IF(AI$9=0,"N.D.",AI10/AI$9)</f>
        <v>0.35250647633565202</v>
      </c>
      <c r="AK10" s="314">
        <f>AE10-AG10</f>
        <v>-2236.1173200000003</v>
      </c>
      <c r="AL10" s="472">
        <f>IF(AG10=0,"N.D.",AE10/AG10-1)</f>
        <v>-0.30036506948264297</v>
      </c>
      <c r="AM10" s="314">
        <f>AE10-AI10</f>
        <v>-2017.1516699999993</v>
      </c>
      <c r="AN10" s="472">
        <f>IF(AI10=0,"N.D.",AE10/AI10-1)</f>
        <v>-0.27916352069090711</v>
      </c>
      <c r="AO10" s="175"/>
      <c r="AP10" s="9" t="s">
        <v>39</v>
      </c>
      <c r="AQ10" s="314">
        <f t="shared" si="2"/>
        <v>2292.9579399999998</v>
      </c>
      <c r="AR10" s="414">
        <f t="shared" si="2"/>
        <v>0.37012925003602287</v>
      </c>
      <c r="AS10" s="314">
        <f t="shared" si="3"/>
        <v>594.14412000000004</v>
      </c>
      <c r="AT10" s="414">
        <f t="shared" si="3"/>
        <v>0.33366450956402643</v>
      </c>
      <c r="AU10" s="314">
        <f t="shared" si="4"/>
        <v>1247.1598100000001</v>
      </c>
      <c r="AV10" s="414">
        <f t="shared" si="4"/>
        <v>0.33872147880438269</v>
      </c>
      <c r="AW10" s="314">
        <f t="shared" si="5"/>
        <v>487.76193999999998</v>
      </c>
      <c r="AX10" s="414">
        <f t="shared" si="5"/>
        <v>0.34643866467972351</v>
      </c>
      <c r="AY10" s="314">
        <f>AE188</f>
        <v>586.52386999999999</v>
      </c>
      <c r="AZ10" s="414">
        <f>+AF188</f>
        <v>0.32180222519733753</v>
      </c>
      <c r="BA10" s="314">
        <f t="shared" si="6"/>
        <v>0</v>
      </c>
      <c r="BB10" s="414">
        <f t="shared" si="6"/>
        <v>0</v>
      </c>
      <c r="BC10" s="314">
        <f t="shared" ref="BC10:BC23" si="8">+AQ10+AS10+AU10+AW10+AY10+BA10</f>
        <v>5208.5476800000006</v>
      </c>
      <c r="BD10" s="25">
        <f>IF(BC$9=0,"N.D.",BC10/BC$9)</f>
        <v>0.33364183139146331</v>
      </c>
      <c r="BF10" s="175" t="s">
        <v>39</v>
      </c>
      <c r="BG10" s="570">
        <f>+BG45+BG80+BG115+BG150+BG224+BG188</f>
        <v>466.57136167948363</v>
      </c>
      <c r="BH10" s="177">
        <f>IF(BG$9=0,"N.D.",BG10/BG$9)</f>
        <v>0.30120810954130639</v>
      </c>
      <c r="BI10" s="570">
        <f ca="1">+BI45+BI80+BI115+BI150+BI224+BI188</f>
        <v>542.971</v>
      </c>
      <c r="BJ10" s="177">
        <f ca="1">IF(BI$9=0,"N.D.",BI10/BI$9)</f>
        <v>0.32695860470941884</v>
      </c>
      <c r="BK10" s="570">
        <f ca="1">+BK45+BK80+BK115+BK150+BK224+BK188</f>
        <v>537.65418</v>
      </c>
      <c r="BL10" s="177">
        <f ca="1">IF(BK$9=0,"N.D.",BK10/BK$9)</f>
        <v>0.32568466634963267</v>
      </c>
      <c r="BM10" s="570">
        <f ca="1">BG10-BI10</f>
        <v>-76.399638320516374</v>
      </c>
      <c r="BN10" s="177">
        <f ca="1">IF(BI10=0,"N.D.",BG10/BI10-1)</f>
        <v>-0.14070666448211111</v>
      </c>
      <c r="BO10" s="570">
        <f ca="1">BG10-BK10</f>
        <v>-71.082818320516367</v>
      </c>
      <c r="BP10" s="177">
        <f ca="1">IF(BK10=0,"N.D.",BG10/BK10-1)</f>
        <v>-0.13220918011000371</v>
      </c>
      <c r="BQ10" s="353"/>
      <c r="BS10" s="9" t="s">
        <v>39</v>
      </c>
      <c r="BT10" s="4"/>
      <c r="BU10" s="177" t="str">
        <f>IF(BT$9=0,"N.D.",BT10/BT$9)</f>
        <v>N.D.</v>
      </c>
      <c r="BV10" s="4">
        <f>BG80</f>
        <v>98.386043832067074</v>
      </c>
      <c r="BW10" s="177">
        <f>IF(BV$9=0,"N.D.",BV10/BV$9)</f>
        <v>0.32686393299690059</v>
      </c>
      <c r="BX10" s="4">
        <f>BG115</f>
        <v>195.37045883297264</v>
      </c>
      <c r="BY10" s="177">
        <f>IF(BX$9=0,"N.D.",BX10/BX$9)</f>
        <v>0.32292637823631842</v>
      </c>
      <c r="BZ10" s="4">
        <f>BG150</f>
        <v>76.189746391981913</v>
      </c>
      <c r="CA10" s="177">
        <f>IF(BZ$9=0,"N.D.",BZ10/BZ$9)</f>
        <v>0.35273030737028666</v>
      </c>
      <c r="CB10" s="4">
        <f>BG188</f>
        <v>96.625112622461998</v>
      </c>
      <c r="CC10" s="177">
        <f>IF(CB$9=0,"N.D.",CB10/CB$9)</f>
        <v>0.33204506055828864</v>
      </c>
      <c r="CD10" s="4">
        <f>BG224</f>
        <v>0</v>
      </c>
      <c r="CE10" s="177">
        <f>IF(CD$9=0,"N.D.",CD10/CD$9)</f>
        <v>0</v>
      </c>
      <c r="CF10" s="4">
        <f>+BT10+BV10+BX10+BZ10+CB10+CD10</f>
        <v>466.57136167948363</v>
      </c>
      <c r="CG10" s="177">
        <f>IF(CF$9=0,"N.D.",CF10/CF$9)</f>
        <v>0.30120810954130639</v>
      </c>
    </row>
    <row r="11" spans="1:85" ht="12.5" hidden="1" customHeight="1" x14ac:dyDescent="0.25">
      <c r="A11" s="238"/>
      <c r="B11" t="s">
        <v>219</v>
      </c>
      <c r="C11" s="314">
        <f>+C46+C81+C116+C151+C225+C189</f>
        <v>0</v>
      </c>
      <c r="D11" s="472">
        <f>IF(C$9=0,"N.D.",C11/C$9)</f>
        <v>0</v>
      </c>
      <c r="E11" s="314">
        <f>+E46+E81+E116+E151+E225+E189</f>
        <v>0</v>
      </c>
      <c r="F11" s="472">
        <f>IF(E$9=0,"N.D.",E11/E$9)</f>
        <v>0</v>
      </c>
      <c r="G11" s="314">
        <f>+G46+G81+G116+G151+G225+G189+G260</f>
        <v>0</v>
      </c>
      <c r="H11" s="472">
        <f>IF(G$9=0,"N.D.",G11/G$9)</f>
        <v>0</v>
      </c>
      <c r="I11" s="314">
        <f>C11-E11</f>
        <v>0</v>
      </c>
      <c r="J11" s="472" t="str">
        <f>IF(E11=0,"N.D.",C11/E11-1)</f>
        <v>N.D.</v>
      </c>
      <c r="K11" s="314">
        <f>C11-G11</f>
        <v>0</v>
      </c>
      <c r="L11" s="472" t="str">
        <f>IF(G11=0,"N.D.",C11/G11-1)</f>
        <v>N.D.</v>
      </c>
      <c r="M11" s="175"/>
      <c r="N11" s="9" t="s">
        <v>219</v>
      </c>
      <c r="O11" s="314">
        <f t="shared" si="0"/>
        <v>0</v>
      </c>
      <c r="P11" s="414" t="str">
        <f t="shared" si="0"/>
        <v>N.D.</v>
      </c>
      <c r="Q11" s="314">
        <f t="shared" si="1"/>
        <v>0</v>
      </c>
      <c r="R11" s="414">
        <f t="shared" si="1"/>
        <v>0</v>
      </c>
      <c r="S11" s="314">
        <f>C116</f>
        <v>0</v>
      </c>
      <c r="T11" s="414">
        <f>+D116</f>
        <v>0</v>
      </c>
      <c r="U11" s="314">
        <f>C151</f>
        <v>0</v>
      </c>
      <c r="V11" s="414">
        <f>+D151</f>
        <v>0</v>
      </c>
      <c r="W11" s="314">
        <f>C189</f>
        <v>0</v>
      </c>
      <c r="X11" s="414">
        <f>+D189</f>
        <v>0</v>
      </c>
      <c r="Y11" s="314">
        <f>C225</f>
        <v>0</v>
      </c>
      <c r="Z11" s="414">
        <f>+D225</f>
        <v>0</v>
      </c>
      <c r="AA11" s="314">
        <f t="shared" si="7"/>
        <v>0</v>
      </c>
      <c r="AB11" s="414">
        <f>IF(AA$9=0,"N.D.",AA11/AA$9)</f>
        <v>0</v>
      </c>
      <c r="AD11" t="s">
        <v>219</v>
      </c>
      <c r="AE11" s="314">
        <f>+AE46+AE81+AE116+AE151+AE225+AE189</f>
        <v>0</v>
      </c>
      <c r="AF11" s="472">
        <f>IF(AE$9=0,"N.D.",AE11/AE$9)</f>
        <v>0</v>
      </c>
      <c r="AG11" s="314">
        <f>+AG46+AG81+AG116+AG151+AG225+AG189</f>
        <v>0</v>
      </c>
      <c r="AH11" s="472">
        <f>IF(AG$9=0,"N.D.",AG11/AG$9)</f>
        <v>0</v>
      </c>
      <c r="AI11" s="314">
        <f>+AI46+AI81+AI116+AI151+AI225+AI189+AI260</f>
        <v>0</v>
      </c>
      <c r="AJ11" s="472">
        <f>IF(AI$9=0,"N.D.",AI11/AI$9)</f>
        <v>0</v>
      </c>
      <c r="AK11" s="314">
        <f>AE11-AG11</f>
        <v>0</v>
      </c>
      <c r="AL11" s="472" t="str">
        <f>IF(AG11=0,"N.D.",AE11/AG11-1)</f>
        <v>N.D.</v>
      </c>
      <c r="AM11" s="314">
        <f>AE11-AI11</f>
        <v>0</v>
      </c>
      <c r="AN11" s="472" t="str">
        <f>IF(AI11=0,"N.D.",AE11/AI11-1)</f>
        <v>N.D.</v>
      </c>
      <c r="AO11" s="175"/>
      <c r="AP11" s="9" t="s">
        <v>219</v>
      </c>
      <c r="AQ11" s="314">
        <f t="shared" si="2"/>
        <v>0</v>
      </c>
      <c r="AR11" s="414">
        <f t="shared" si="2"/>
        <v>0</v>
      </c>
      <c r="AS11" s="314">
        <f t="shared" si="3"/>
        <v>0</v>
      </c>
      <c r="AT11" s="414">
        <f t="shared" si="3"/>
        <v>0</v>
      </c>
      <c r="AU11" s="314">
        <f t="shared" si="4"/>
        <v>0</v>
      </c>
      <c r="AV11" s="414">
        <f t="shared" si="4"/>
        <v>0</v>
      </c>
      <c r="AW11" s="314">
        <f t="shared" si="5"/>
        <v>0</v>
      </c>
      <c r="AX11" s="414">
        <f t="shared" si="5"/>
        <v>0</v>
      </c>
      <c r="AY11" s="314">
        <f>AE189</f>
        <v>0</v>
      </c>
      <c r="AZ11" s="414">
        <f>+AF189</f>
        <v>0</v>
      </c>
      <c r="BA11" s="314">
        <f t="shared" si="6"/>
        <v>0</v>
      </c>
      <c r="BB11" s="414">
        <f t="shared" si="6"/>
        <v>0</v>
      </c>
      <c r="BC11" s="314">
        <f t="shared" si="8"/>
        <v>0</v>
      </c>
      <c r="BD11" s="25">
        <f>IF(BC$9=0,"N.D.",BC11/BC$9)</f>
        <v>0</v>
      </c>
      <c r="BF11" s="175" t="s">
        <v>219</v>
      </c>
      <c r="BG11" s="570">
        <f>+BG46+BG81+BG116+BG151+BG225+BG189</f>
        <v>0</v>
      </c>
      <c r="BH11" s="177">
        <f>IF(BG$9=0,"N.D.",BG11/BG$9)</f>
        <v>0</v>
      </c>
      <c r="BI11" s="570">
        <f>+BI46+BI81+BI116+BI151+BI225+BI189</f>
        <v>0</v>
      </c>
      <c r="BJ11" s="177">
        <f ca="1">IF(BI$9=0,"N.D.",BI11/BI$9)</f>
        <v>0</v>
      </c>
      <c r="BK11" s="570">
        <f>+BK46+BK81+BK116+BK151+BK225+BK189</f>
        <v>0</v>
      </c>
      <c r="BL11" s="177">
        <f ca="1">IF(BK$9=0,"N.D.",BK11/BK$9)</f>
        <v>0</v>
      </c>
      <c r="BM11" s="570">
        <f>BG11-BI11</f>
        <v>0</v>
      </c>
      <c r="BN11" s="177" t="str">
        <f>IF(BI11=0,"N.D.",BG11/BI11-1)</f>
        <v>N.D.</v>
      </c>
      <c r="BO11" s="570">
        <f>BG11-BK11</f>
        <v>0</v>
      </c>
      <c r="BP11" s="177" t="str">
        <f>IF(BK11=0,"N.D.",BG11/BK11-1)</f>
        <v>N.D.</v>
      </c>
      <c r="BQ11" s="353"/>
      <c r="BS11" s="9" t="s">
        <v>219</v>
      </c>
      <c r="BT11" s="4"/>
      <c r="BU11" s="177" t="str">
        <f>IF(BT$9=0,"N.D.",BT11/BT$9)</f>
        <v>N.D.</v>
      </c>
      <c r="BV11" s="4">
        <f>BG81</f>
        <v>0</v>
      </c>
      <c r="BW11" s="177">
        <f>IF(BV$9=0,"N.D.",BV11/BV$9)</f>
        <v>0</v>
      </c>
      <c r="BX11" s="4">
        <f>BG116</f>
        <v>0</v>
      </c>
      <c r="BY11" s="177">
        <f>IF(BX$9=0,"N.D.",BX11/BX$9)</f>
        <v>0</v>
      </c>
      <c r="BZ11" s="4">
        <f>BG151</f>
        <v>0</v>
      </c>
      <c r="CA11" s="177">
        <f>IF(BZ$9=0,"N.D.",BZ11/BZ$9)</f>
        <v>0</v>
      </c>
      <c r="CB11" s="4">
        <f>BG189</f>
        <v>0</v>
      </c>
      <c r="CC11" s="177">
        <f>IF(CB$9=0,"N.D.",CB11/CB$9)</f>
        <v>0</v>
      </c>
      <c r="CD11" s="4">
        <f>BG225</f>
        <v>0</v>
      </c>
      <c r="CE11" s="177">
        <f>IF(CD$9=0,"N.D.",CD11/CD$9)</f>
        <v>0</v>
      </c>
      <c r="CF11" s="4">
        <f>+BT11+BV11+BX11+BZ11+CB11+CD11</f>
        <v>0</v>
      </c>
      <c r="CG11" s="177">
        <f>IF(CF$9=0,"N.D.",CF11/CF$9)</f>
        <v>0</v>
      </c>
    </row>
    <row r="12" spans="1:85" ht="12.5" customHeight="1" x14ac:dyDescent="0.3">
      <c r="A12" s="238"/>
      <c r="B12" t="s">
        <v>40</v>
      </c>
      <c r="C12" s="381">
        <f>+C47+C82+C117+C152+C226+C190</f>
        <v>1087.9352099999999</v>
      </c>
      <c r="D12" s="402">
        <f>IF(C$9=0,"N.D.",C12/C$9)</f>
        <v>0.6973419932128686</v>
      </c>
      <c r="E12" s="381">
        <f>+E47+E82+E117+E152+E226+E190</f>
        <v>1144.69</v>
      </c>
      <c r="F12" s="402">
        <f>IF(E$9=0,"N.D.",E12/E$9)</f>
        <v>0.67248074539270009</v>
      </c>
      <c r="G12" s="381">
        <f>+G47+G82+G117+G152+G226+G190+G260</f>
        <v>1113.1886</v>
      </c>
      <c r="H12" s="402">
        <f>IF(G$9=0,"N.D.",G12/G$9)</f>
        <v>0.67431533365036733</v>
      </c>
      <c r="I12" s="381">
        <f>C12-E12</f>
        <v>-56.754790000000185</v>
      </c>
      <c r="J12" s="402">
        <f>IF(E12=0,"N.D.",C12/E12-1)</f>
        <v>-4.958092584018392E-2</v>
      </c>
      <c r="K12" s="381">
        <f>C12-G12</f>
        <v>-25.253390000000081</v>
      </c>
      <c r="L12" s="402">
        <f>IF(G12=0,"N.D.",C12/G12-1)</f>
        <v>-2.2685634761261508E-2</v>
      </c>
      <c r="M12" s="175"/>
      <c r="N12" s="9" t="s">
        <v>40</v>
      </c>
      <c r="O12" s="381">
        <f t="shared" si="0"/>
        <v>0</v>
      </c>
      <c r="P12" s="415" t="str">
        <f t="shared" si="0"/>
        <v>N.D.</v>
      </c>
      <c r="Q12" s="381">
        <f t="shared" si="1"/>
        <v>195.87474000000003</v>
      </c>
      <c r="R12" s="415">
        <f t="shared" si="1"/>
        <v>0.67313606700309947</v>
      </c>
      <c r="S12" s="381">
        <f>C117</f>
        <v>417.93911000000003</v>
      </c>
      <c r="T12" s="415">
        <f>+D117</f>
        <v>0.67707362176368158</v>
      </c>
      <c r="U12" s="381">
        <f>C152</f>
        <v>141.88284999999996</v>
      </c>
      <c r="V12" s="415">
        <f>+D152</f>
        <v>0.64726969262971323</v>
      </c>
      <c r="W12" s="381">
        <f>C190</f>
        <v>201.99976000000001</v>
      </c>
      <c r="X12" s="415">
        <f>+D190</f>
        <v>0.66795493944171136</v>
      </c>
      <c r="Y12" s="381">
        <f>C226</f>
        <v>130.23875000000001</v>
      </c>
      <c r="Z12" s="415">
        <f>+D226</f>
        <v>1</v>
      </c>
      <c r="AA12" s="381">
        <f t="shared" si="7"/>
        <v>1087.9352100000001</v>
      </c>
      <c r="AB12" s="415">
        <f>IF(AA$9=0,"N.D.",AA12/AA$9)</f>
        <v>0.69734199321286872</v>
      </c>
      <c r="AD12" t="s">
        <v>40</v>
      </c>
      <c r="AE12" s="381">
        <f>+AE47+AE82+AE117+AE152+AE226+AE190</f>
        <v>10402.647289999999</v>
      </c>
      <c r="AF12" s="402">
        <f>IF(AE$9=0,"N.D.",AE12/AE$9)</f>
        <v>0.66635816860853669</v>
      </c>
      <c r="AG12" s="381">
        <f>+AG47+AG82+AG117+AG152+AG226+AG190</f>
        <v>13607.271999999999</v>
      </c>
      <c r="AH12" s="402">
        <f>IF(AG$9=0,"N.D.",AG12/AG$9)</f>
        <v>0.64636674525484283</v>
      </c>
      <c r="AI12" s="381">
        <f>+AI47+AI82+AI117+AI152+AI226+AI190+AI260</f>
        <v>13272.361919999999</v>
      </c>
      <c r="AJ12" s="402">
        <f>IF(AI$9=0,"N.D.",AI12/AI$9)</f>
        <v>0.64749352366434798</v>
      </c>
      <c r="AK12" s="381">
        <f>AE12-AG12</f>
        <v>-3204.6247100000001</v>
      </c>
      <c r="AL12" s="402">
        <f>IF(AG12=0,"N.D.",AE12/AG12-1)</f>
        <v>-0.23550824221048861</v>
      </c>
      <c r="AM12" s="381">
        <f>AE12-AI12</f>
        <v>-2869.7146300000004</v>
      </c>
      <c r="AN12" s="402">
        <f>IF(AI12=0,"N.D.",AE12/AI12-1)</f>
        <v>-0.21621732795544502</v>
      </c>
      <c r="AO12" s="175"/>
      <c r="AP12" s="9" t="s">
        <v>40</v>
      </c>
      <c r="AQ12" s="381">
        <f t="shared" si="2"/>
        <v>3902.0616100000002</v>
      </c>
      <c r="AR12" s="415">
        <f t="shared" si="2"/>
        <v>0.62987074996397718</v>
      </c>
      <c r="AS12" s="381">
        <f t="shared" si="3"/>
        <v>1186.5191</v>
      </c>
      <c r="AT12" s="415">
        <f t="shared" si="3"/>
        <v>0.66633549043597362</v>
      </c>
      <c r="AU12" s="381">
        <f t="shared" si="4"/>
        <v>2434.8027699999998</v>
      </c>
      <c r="AV12" s="415">
        <f t="shared" si="4"/>
        <v>0.66127852119561736</v>
      </c>
      <c r="AW12" s="381">
        <f t="shared" si="5"/>
        <v>920.16965000000016</v>
      </c>
      <c r="AX12" s="415">
        <f t="shared" si="5"/>
        <v>0.65356133532027649</v>
      </c>
      <c r="AY12" s="381">
        <f>AE190</f>
        <v>1236.0982999999999</v>
      </c>
      <c r="AZ12" s="415">
        <f>+AF190</f>
        <v>0.67819777480266241</v>
      </c>
      <c r="BA12" s="381">
        <f t="shared" si="6"/>
        <v>722.99585999999999</v>
      </c>
      <c r="BB12" s="415">
        <f t="shared" si="6"/>
        <v>1</v>
      </c>
      <c r="BC12" s="381">
        <f t="shared" si="8"/>
        <v>10402.647290000001</v>
      </c>
      <c r="BD12" s="26">
        <f>IF(BC$9=0,"N.D.",BC12/BC$9)</f>
        <v>0.66635816860853669</v>
      </c>
      <c r="BF12" s="175" t="s">
        <v>40</v>
      </c>
      <c r="BG12" s="106">
        <f>+BG47+BG82+BG117+BG152+BG226+BG190</f>
        <v>1082.4286383205163</v>
      </c>
      <c r="BH12" s="179">
        <f>IF(BG$9=0,"N.D.",BG12/BG$9)</f>
        <v>0.6987918904586935</v>
      </c>
      <c r="BI12" s="106">
        <f ca="1">+BI47+BI82+BI117+BI152+BI226+BI190</f>
        <v>1117.7009999999998</v>
      </c>
      <c r="BJ12" s="179">
        <f ca="1">IF(BI$9=0,"N.D.",BI12/BI$9)</f>
        <v>0.67304139529058105</v>
      </c>
      <c r="BK12" s="106">
        <f ca="1">+BK47+BK82+BK117+BK152+BK226+BK190</f>
        <v>1113.1886</v>
      </c>
      <c r="BL12" s="179">
        <f ca="1">IF(BK$9=0,"N.D.",BK12/BK$9)</f>
        <v>0.67431533365036733</v>
      </c>
      <c r="BM12" s="106">
        <f ca="1">BG12-BI12</f>
        <v>-35.272361679483538</v>
      </c>
      <c r="BN12" s="179">
        <f ca="1">IF(BI12=0,"N.D.",BG12/BI12-1)</f>
        <v>-3.1557958415965981E-2</v>
      </c>
      <c r="BO12" s="106">
        <f ca="1">BG12-BK12</f>
        <v>-30.759961679483695</v>
      </c>
      <c r="BP12" s="179">
        <f ca="1">IF(BK12=0,"N.D.",BG12/BK12-1)</f>
        <v>-2.7632300294382905E-2</v>
      </c>
      <c r="BQ12" s="354"/>
      <c r="BS12" s="9" t="s">
        <v>40</v>
      </c>
      <c r="BT12" s="5"/>
      <c r="BU12" s="179" t="str">
        <f>IF(BT$9=0,"N.D.",BT12/BT$9)</f>
        <v>N.D.</v>
      </c>
      <c r="BV12" s="5">
        <f>BG82</f>
        <v>202.61395616793294</v>
      </c>
      <c r="BW12" s="179">
        <f>IF(BV$9=0,"N.D.",BV12/BV$9)</f>
        <v>0.67313606700309947</v>
      </c>
      <c r="BX12" s="5">
        <f>BG117</f>
        <v>409.62954116702736</v>
      </c>
      <c r="BY12" s="179">
        <f>IF(BX$9=0,"N.D.",BX12/BX$9)</f>
        <v>0.67707362176368158</v>
      </c>
      <c r="BZ12" s="5">
        <f>BG152</f>
        <v>139.81025360801809</v>
      </c>
      <c r="CA12" s="179">
        <f>IF(BZ$9=0,"N.D.",BZ12/BZ$9)</f>
        <v>0.64726969262971334</v>
      </c>
      <c r="CB12" s="5">
        <f>BG190</f>
        <v>194.37488737753802</v>
      </c>
      <c r="CC12" s="179">
        <f>IF(CB$9=0,"N.D.",CB12/CB$9)</f>
        <v>0.66795493944171136</v>
      </c>
      <c r="CD12" s="5">
        <f>BG226</f>
        <v>136</v>
      </c>
      <c r="CE12" s="179">
        <f>IF(CD$9=0,"N.D.",CD12/CD$9)</f>
        <v>1</v>
      </c>
      <c r="CF12" s="5">
        <f>+BT12+BV12+BX12+BZ12+CB12+CD12</f>
        <v>1082.4286383205163</v>
      </c>
      <c r="CG12" s="179">
        <f>IF(CF$9=0,"N.D.",CF12/CF$9)</f>
        <v>0.6987918904586935</v>
      </c>
    </row>
    <row r="13" spans="1:85" ht="12.5" customHeight="1" x14ac:dyDescent="0.25">
      <c r="A13" s="238"/>
      <c r="C13" s="419"/>
      <c r="D13" s="352"/>
      <c r="E13" s="419"/>
      <c r="F13" s="352"/>
      <c r="G13" s="419"/>
      <c r="H13" s="352"/>
      <c r="I13" s="419"/>
      <c r="J13" s="352"/>
      <c r="K13" s="419"/>
      <c r="L13" s="352"/>
      <c r="M13" s="175"/>
      <c r="N13" s="9"/>
      <c r="O13" s="419"/>
      <c r="P13" s="416"/>
      <c r="Q13" s="419"/>
      <c r="R13" s="416"/>
      <c r="S13" s="419"/>
      <c r="T13" s="416"/>
      <c r="U13" s="419"/>
      <c r="V13" s="416"/>
      <c r="W13" s="419"/>
      <c r="X13" s="416"/>
      <c r="Y13" s="419"/>
      <c r="Z13" s="416"/>
      <c r="AA13" s="419"/>
      <c r="AB13" s="416"/>
      <c r="AE13" s="419"/>
      <c r="AF13" s="352"/>
      <c r="AG13" s="419"/>
      <c r="AH13" s="352"/>
      <c r="AI13" s="419"/>
      <c r="AJ13" s="352"/>
      <c r="AK13" s="419"/>
      <c r="AL13" s="352"/>
      <c r="AM13" s="419"/>
      <c r="AN13" s="352"/>
      <c r="AO13" s="175"/>
      <c r="AP13" s="9"/>
      <c r="AQ13" s="419"/>
      <c r="AR13" s="416"/>
      <c r="AS13" s="419"/>
      <c r="AT13" s="416"/>
      <c r="AU13" s="419"/>
      <c r="AV13" s="416"/>
      <c r="AW13" s="419"/>
      <c r="AX13" s="416"/>
      <c r="AY13" s="419"/>
      <c r="AZ13" s="416"/>
      <c r="BA13" s="419"/>
      <c r="BB13" s="416"/>
      <c r="BC13" s="419"/>
      <c r="BD13" s="27"/>
      <c r="BF13" s="175"/>
      <c r="BG13" s="568"/>
      <c r="BH13" s="181"/>
      <c r="BI13" s="568"/>
      <c r="BJ13" s="181"/>
      <c r="BK13" s="568"/>
      <c r="BL13" s="181"/>
      <c r="BM13" s="568"/>
      <c r="BN13" s="181"/>
      <c r="BO13" s="568"/>
      <c r="BP13" s="181"/>
      <c r="BQ13" s="352"/>
      <c r="BS13" s="9"/>
      <c r="BT13" s="6"/>
      <c r="BU13" s="181"/>
      <c r="BV13" s="6"/>
      <c r="BW13" s="181"/>
      <c r="BX13" s="6"/>
      <c r="BY13" s="181"/>
      <c r="BZ13" s="6"/>
      <c r="CA13" s="181"/>
      <c r="CB13" s="6"/>
      <c r="CC13" s="181"/>
      <c r="CD13" s="6"/>
      <c r="CE13" s="181"/>
      <c r="CF13" s="6"/>
      <c r="CG13" s="181"/>
    </row>
    <row r="14" spans="1:85" ht="12.5" customHeight="1" x14ac:dyDescent="0.25">
      <c r="A14" s="238"/>
      <c r="B14" t="s">
        <v>41</v>
      </c>
      <c r="C14" s="418">
        <f>+C49+C84+C119+C154+C228+C192</f>
        <v>941.43778999999995</v>
      </c>
      <c r="D14" s="471">
        <f>IF(C$9=0,"N.D.",C14/C$9)</f>
        <v>0.6034404428959681</v>
      </c>
      <c r="E14" s="418">
        <f>+E49+E84+E119+E154+E228+E192</f>
        <v>988.37456999999995</v>
      </c>
      <c r="F14" s="471">
        <f>IF(E$9=0,"N.D.",E14/E$9)</f>
        <v>0.58064879361293398</v>
      </c>
      <c r="G14" s="418">
        <f>+G49+G84+G119+G154+G228+G192+G262</f>
        <v>985.85439999999994</v>
      </c>
      <c r="H14" s="471">
        <f>IF(G$9=0,"N.D.",G14/G$9)</f>
        <v>0.59718248881338054</v>
      </c>
      <c r="I14" s="418">
        <f>C14-E14</f>
        <v>-46.936779999999999</v>
      </c>
      <c r="J14" s="471">
        <f>IF(E14=0,"N.D.",C14/E14-1)</f>
        <v>-4.7488858399098666E-2</v>
      </c>
      <c r="K14" s="418">
        <f>C14-G14</f>
        <v>-44.416609999999991</v>
      </c>
      <c r="L14" s="471">
        <f>IF(G14=0,"N.D.",C14/G14-1)</f>
        <v>-4.5053924798631462E-2</v>
      </c>
      <c r="M14" s="175"/>
      <c r="N14" s="9" t="s">
        <v>41</v>
      </c>
      <c r="O14" s="418">
        <f t="shared" ref="O14:P18" si="9">C49</f>
        <v>0.36657000000000001</v>
      </c>
      <c r="P14" s="417" t="str">
        <f t="shared" si="9"/>
        <v>N.D.</v>
      </c>
      <c r="Q14" s="418">
        <f t="shared" ref="Q14:R18" si="10">C84</f>
        <v>190.69368</v>
      </c>
      <c r="R14" s="417">
        <f t="shared" si="10"/>
        <v>0.65533102306886326</v>
      </c>
      <c r="S14" s="418">
        <f>C119</f>
        <v>381.94327000000004</v>
      </c>
      <c r="T14" s="417">
        <f>+D119</f>
        <v>0.61875930473978302</v>
      </c>
      <c r="U14" s="418">
        <f>C154</f>
        <v>154.68935000000002</v>
      </c>
      <c r="V14" s="417">
        <f>+D154</f>
        <v>0.70569295744757154</v>
      </c>
      <c r="W14" s="418">
        <f>C192</f>
        <v>192.15586999999999</v>
      </c>
      <c r="X14" s="417">
        <f>+D192</f>
        <v>0.63540403468409734</v>
      </c>
      <c r="Y14" s="418">
        <f>C228</f>
        <v>21.58905</v>
      </c>
      <c r="Z14" s="417">
        <f>+D228</f>
        <v>0.16576518125365913</v>
      </c>
      <c r="AA14" s="418">
        <f t="shared" si="7"/>
        <v>941.43778999999995</v>
      </c>
      <c r="AB14" s="417">
        <f>IF(AA$9=0,"N.D.",AA14/AA$9)</f>
        <v>0.6034404428959681</v>
      </c>
      <c r="AD14" t="s">
        <v>41</v>
      </c>
      <c r="AE14" s="418">
        <f>+AE49+AE84+AE119+AE154+AE228+AE192</f>
        <v>8878.228790000001</v>
      </c>
      <c r="AF14" s="471">
        <f>IF(AE$9=0,"N.D.",AE14/AE$9)</f>
        <v>0.56870910952436859</v>
      </c>
      <c r="AG14" s="418">
        <f>+AG49+AG84+AG119+AG154+AG228+AG192</f>
        <v>11896.816000000001</v>
      </c>
      <c r="AH14" s="471">
        <f>IF(AG$9=0,"N.D.",AG14/AG$9)</f>
        <v>0.56511740463597249</v>
      </c>
      <c r="AI14" s="418">
        <f>+AI49+AI84+AI119+AI154+AI228+AI192+AI262</f>
        <v>11659.232959999999</v>
      </c>
      <c r="AJ14" s="471">
        <f>IF(AI$9=0,"N.D.",AI14/AI$9)</f>
        <v>0.56879686358748016</v>
      </c>
      <c r="AK14" s="418">
        <f>AE14-AG14</f>
        <v>-3018.5872099999997</v>
      </c>
      <c r="AL14" s="471">
        <f>IF(AG14=0,"N.D.",AE14/AG14-1)</f>
        <v>-0.25373067970455288</v>
      </c>
      <c r="AM14" s="418">
        <f>AE14-AI14</f>
        <v>-2781.0041699999983</v>
      </c>
      <c r="AN14" s="471">
        <f>IF(AI14=0,"N.D.",AE14/AI14-1)</f>
        <v>-0.23852376734738456</v>
      </c>
      <c r="AO14" s="175"/>
      <c r="AP14" s="9" t="s">
        <v>41</v>
      </c>
      <c r="AQ14" s="418">
        <f t="shared" ref="AQ14:AR18" si="11">AE49</f>
        <v>3280.5073399999997</v>
      </c>
      <c r="AR14" s="417">
        <f t="shared" si="11"/>
        <v>0.52953946529514984</v>
      </c>
      <c r="AS14" s="418">
        <f t="shared" ref="AS14:AT18" si="12">AE84</f>
        <v>1131.3700200000001</v>
      </c>
      <c r="AT14" s="417">
        <f t="shared" si="12"/>
        <v>0.63536440091125157</v>
      </c>
      <c r="AU14" s="418">
        <f t="shared" ref="AU14:AV18" si="13">AE119</f>
        <v>2304.3234600000001</v>
      </c>
      <c r="AV14" s="417">
        <f t="shared" si="13"/>
        <v>0.62584108608730082</v>
      </c>
      <c r="AW14" s="418">
        <f t="shared" ref="AW14:AX18" si="14">AE154</f>
        <v>936.05881000000011</v>
      </c>
      <c r="AX14" s="417">
        <f t="shared" si="14"/>
        <v>0.66484679841582361</v>
      </c>
      <c r="AY14" s="418">
        <f>AE192</f>
        <v>1158.9355700000001</v>
      </c>
      <c r="AZ14" s="417">
        <f>+AF192</f>
        <v>0.63586166627173213</v>
      </c>
      <c r="BA14" s="418">
        <f t="shared" ref="BA14:BB18" si="15">AE228</f>
        <v>67.03358999999999</v>
      </c>
      <c r="BB14" s="417">
        <f t="shared" si="15"/>
        <v>9.271642302350111E-2</v>
      </c>
      <c r="BC14" s="418">
        <f t="shared" si="8"/>
        <v>8878.2287899999992</v>
      </c>
      <c r="BD14" s="24">
        <f>IF(BC$9=0,"N.D.",BC14/BC$9)</f>
        <v>0.56870910952436837</v>
      </c>
      <c r="BF14" s="175" t="s">
        <v>41</v>
      </c>
      <c r="BG14" s="569">
        <f>+BG49+BG84+BG119+BG154+BG228+BG192</f>
        <v>914.93627021304428</v>
      </c>
      <c r="BH14" s="183">
        <f>IF(BG$9=0,"N.D.",BG14/BG$9)</f>
        <v>0.59066253725825968</v>
      </c>
      <c r="BI14" s="569">
        <f ca="1">+BI49+BI84+BI119+BI154+BI228+BI192</f>
        <v>981.60500000000002</v>
      </c>
      <c r="BJ14" s="183">
        <f ca="1">IF(BI$9=0,"N.D.",BI14/BI$9)</f>
        <v>0.59108902901957761</v>
      </c>
      <c r="BK14" s="569">
        <f ca="1">+BK49+BK84+BK119+BK154+BK228+BK192</f>
        <v>985.48783000000003</v>
      </c>
      <c r="BL14" s="183">
        <f ca="1">IF(BK$9=0,"N.D.",BK14/BK$9)</f>
        <v>0.59696043859488546</v>
      </c>
      <c r="BM14" s="569">
        <f ca="1">BG14-BI14</f>
        <v>-66.668729786955737</v>
      </c>
      <c r="BN14" s="183">
        <f ca="1">IF(BI14=0,"N.D.",BG14/BI14-1)</f>
        <v>-6.7918082922311607E-2</v>
      </c>
      <c r="BO14" s="569">
        <f ca="1">BG14-BK14</f>
        <v>-70.55155978695575</v>
      </c>
      <c r="BP14" s="183">
        <f ca="1">IF(BK14=0,"N.D.",BG14/BK14-1)</f>
        <v>-7.159049319457933E-2</v>
      </c>
      <c r="BQ14" s="353"/>
      <c r="BS14" s="9" t="s">
        <v>41</v>
      </c>
      <c r="BT14" s="3"/>
      <c r="BU14" s="183" t="str">
        <f>IF(BT$9=0,"N.D.",BT14/BT$9)</f>
        <v>N.D.</v>
      </c>
      <c r="BV14" s="3">
        <f>BG84</f>
        <v>197.25463794372783</v>
      </c>
      <c r="BW14" s="183">
        <f>IF(BV$9=0,"N.D.",BV14/BV$9)</f>
        <v>0.65533102306886326</v>
      </c>
      <c r="BX14" s="3">
        <f>BG119</f>
        <v>374.3493793675687</v>
      </c>
      <c r="BY14" s="183">
        <f>IF(BX$9=0,"N.D.",BX14/BX$9)</f>
        <v>0.61875930473978302</v>
      </c>
      <c r="BZ14" s="3">
        <f>BG154</f>
        <v>152.42967880867545</v>
      </c>
      <c r="CA14" s="183">
        <f>IF(BZ$9=0,"N.D.",BZ14/BZ$9)</f>
        <v>0.70569295744757154</v>
      </c>
      <c r="CB14" s="3">
        <f>BG192</f>
        <v>184.90257409307233</v>
      </c>
      <c r="CC14" s="183">
        <f>IF(CB$9=0,"N.D.",CB14/CB$9)</f>
        <v>0.63540403468409734</v>
      </c>
      <c r="CD14" s="3">
        <f>BG228</f>
        <v>6</v>
      </c>
      <c r="CE14" s="183">
        <f>IF(CD$9=0,"N.D.",CD14/CD$9)</f>
        <v>4.4117647058823532E-2</v>
      </c>
      <c r="CF14" s="3">
        <f>+BT14+BV14+BX14+BZ14+CB14+CD14</f>
        <v>914.93627021304428</v>
      </c>
      <c r="CG14" s="183">
        <f>IF(CF$9=0,"N.D.",CF14/CF$9)</f>
        <v>0.59066253725825968</v>
      </c>
    </row>
    <row r="15" spans="1:85" ht="12.5" customHeight="1" x14ac:dyDescent="0.25">
      <c r="A15" s="238"/>
      <c r="B15" t="s">
        <v>42</v>
      </c>
      <c r="C15" s="314">
        <f>+C50+C85+C120+C155+C229+C193</f>
        <v>52.597770000000004</v>
      </c>
      <c r="D15" s="472">
        <f>IF(C$9=0,"N.D.",C15/C$9)</f>
        <v>3.3713987223882601E-2</v>
      </c>
      <c r="E15" s="314">
        <f>+E50+E85+E120+E155+E229+E193</f>
        <v>81.876139999999992</v>
      </c>
      <c r="F15" s="472">
        <f>IF(E$9=0,"N.D.",E15/E$9)</f>
        <v>4.8100470570265362E-2</v>
      </c>
      <c r="G15" s="314">
        <f>+G50+G85+G120+G155+G229+G193+G263</f>
        <v>83.025369999999981</v>
      </c>
      <c r="H15" s="472">
        <f>IF(G$9=0,"N.D.",G15/G$9)</f>
        <v>5.0292717759591848E-2</v>
      </c>
      <c r="I15" s="314">
        <f>C15-E15</f>
        <v>-29.278369999999988</v>
      </c>
      <c r="J15" s="472">
        <f>IF(E15=0,"N.D.",C15/E15-1)</f>
        <v>-0.35759343320288417</v>
      </c>
      <c r="K15" s="314">
        <f>C15-G15</f>
        <v>-30.427599999999977</v>
      </c>
      <c r="L15" s="472">
        <f>IF(G15=0,"N.D.",C15/G15-1)</f>
        <v>-0.36648556941089194</v>
      </c>
      <c r="M15" s="175"/>
      <c r="N15" s="9" t="s">
        <v>42</v>
      </c>
      <c r="O15" s="314">
        <f t="shared" si="9"/>
        <v>8.5841399999999997</v>
      </c>
      <c r="P15" s="414" t="str">
        <f t="shared" si="9"/>
        <v>N.D.</v>
      </c>
      <c r="Q15" s="314">
        <f t="shared" si="10"/>
        <v>8.8756500000000003</v>
      </c>
      <c r="R15" s="414">
        <f t="shared" si="10"/>
        <v>3.0501738677973785E-2</v>
      </c>
      <c r="S15" s="314">
        <f>C120</f>
        <v>10.742090000000001</v>
      </c>
      <c r="T15" s="414">
        <f>+D120</f>
        <v>1.7402501004539696E-2</v>
      </c>
      <c r="U15" s="314">
        <f>C155</f>
        <v>10.80691</v>
      </c>
      <c r="V15" s="414">
        <f>+D155</f>
        <v>4.9301133392633263E-2</v>
      </c>
      <c r="W15" s="314">
        <f>C193</f>
        <v>13.566360000000001</v>
      </c>
      <c r="X15" s="414">
        <f>+D193</f>
        <v>4.4860039300266774E-2</v>
      </c>
      <c r="Y15" s="314">
        <f>C229</f>
        <v>2.2620000000000001E-2</v>
      </c>
      <c r="Z15" s="414">
        <f>+D229</f>
        <v>1.7368102811183306E-4</v>
      </c>
      <c r="AA15" s="314">
        <f t="shared" si="7"/>
        <v>52.597770000000004</v>
      </c>
      <c r="AB15" s="414">
        <f>IF(AA$9=0,"N.D.",AA15/AA$9)</f>
        <v>3.3713987223882601E-2</v>
      </c>
      <c r="AD15" t="s">
        <v>42</v>
      </c>
      <c r="AE15" s="314">
        <f>+AE50+AE85+AE120+AE155+AE229+AE193</f>
        <v>767.74806000000001</v>
      </c>
      <c r="AF15" s="472">
        <f>IF(AE$9=0,"N.D.",AE15/AE$9)</f>
        <v>4.9179326853285729E-2</v>
      </c>
      <c r="AG15" s="314">
        <f>+AG50+AG85+AG120+AG155+AG229+AG193</f>
        <v>1115.72</v>
      </c>
      <c r="AH15" s="472">
        <f>IF(AG$9=0,"N.D.",AG15/AG$9)</f>
        <v>5.2998448551313838E-2</v>
      </c>
      <c r="AI15" s="314">
        <f>+AI50+AI85+AI120+AI155+AI229+AI193+AI263</f>
        <v>1101.8662400000001</v>
      </c>
      <c r="AJ15" s="472">
        <f>IF(AI$9=0,"N.D.",AI15/AI$9)</f>
        <v>5.3754656378778604E-2</v>
      </c>
      <c r="AK15" s="314">
        <f>AE15-AG15</f>
        <v>-347.97194000000002</v>
      </c>
      <c r="AL15" s="472">
        <f>IF(AG15=0,"N.D.",AE15/AG15-1)</f>
        <v>-0.31188106334922738</v>
      </c>
      <c r="AM15" s="314">
        <f>AE15-AI15</f>
        <v>-334.11818000000005</v>
      </c>
      <c r="AN15" s="472">
        <f>IF(AI15=0,"N.D.",AE15/AI15-1)</f>
        <v>-0.30322934660381284</v>
      </c>
      <c r="AO15" s="175"/>
      <c r="AP15" s="9" t="s">
        <v>42</v>
      </c>
      <c r="AQ15" s="314">
        <f t="shared" si="11"/>
        <v>425.40971999999999</v>
      </c>
      <c r="AR15" s="414">
        <f t="shared" si="11"/>
        <v>6.866963317331258E-2</v>
      </c>
      <c r="AS15" s="314">
        <f t="shared" si="12"/>
        <v>67.55104</v>
      </c>
      <c r="AT15" s="414">
        <f t="shared" si="12"/>
        <v>3.793588773064005E-2</v>
      </c>
      <c r="AU15" s="314">
        <f t="shared" si="13"/>
        <v>86.014899999999997</v>
      </c>
      <c r="AV15" s="414">
        <f t="shared" si="13"/>
        <v>2.3361155397728133E-2</v>
      </c>
      <c r="AW15" s="314">
        <f t="shared" si="14"/>
        <v>82.873140000000006</v>
      </c>
      <c r="AX15" s="414">
        <f t="shared" si="14"/>
        <v>5.8861624093539941E-2</v>
      </c>
      <c r="AY15" s="314">
        <f>AE193</f>
        <v>105.79178999999999</v>
      </c>
      <c r="AZ15" s="414">
        <f>+AF193</f>
        <v>5.8043730478709143E-2</v>
      </c>
      <c r="BA15" s="314">
        <f t="shared" si="15"/>
        <v>0.10747</v>
      </c>
      <c r="BB15" s="414">
        <f t="shared" si="15"/>
        <v>1.4864538781729676E-4</v>
      </c>
      <c r="BC15" s="314">
        <f t="shared" si="8"/>
        <v>767.74806000000001</v>
      </c>
      <c r="BD15" s="25">
        <f>IF(BC$9=0,"N.D.",BC15/BC$9)</f>
        <v>4.9179326853285722E-2</v>
      </c>
      <c r="BF15" s="175" t="s">
        <v>42</v>
      </c>
      <c r="BG15" s="570">
        <f>+BG50+BG85+BG120+BG155+BG229+BG193</f>
        <v>71</v>
      </c>
      <c r="BH15" s="177">
        <f>IF(BG$9=0,"N.D.",BG15/BG$9)</f>
        <v>4.5836023240800515E-2</v>
      </c>
      <c r="BI15" s="570">
        <f ca="1">+BI50+BI85+BI120+BI155+BI229+BI193</f>
        <v>64.022999999999996</v>
      </c>
      <c r="BJ15" s="177">
        <f ca="1">IF(BI$9=0,"N.D.",BI15/BI$9)</f>
        <v>3.8552465507938949E-2</v>
      </c>
      <c r="BK15" s="570">
        <f ca="1">+BK50+BK85+BK120+BK155+BK229+BK193</f>
        <v>74.44122999999999</v>
      </c>
      <c r="BL15" s="177">
        <f ca="1">IF(BK$9=0,"N.D.",BK15/BK$9)</f>
        <v>4.509286462760554E-2</v>
      </c>
      <c r="BM15" s="570">
        <f ca="1">BG15-BI15</f>
        <v>6.9770000000000039</v>
      </c>
      <c r="BN15" s="177">
        <f ca="1">IF(BI15=0,"N.D.",BG15/BI15-1)</f>
        <v>0.10897646158411822</v>
      </c>
      <c r="BO15" s="570">
        <f ca="1">BG15-BK15</f>
        <v>-3.4412299999999902</v>
      </c>
      <c r="BP15" s="177">
        <f ca="1">IF(BK15=0,"N.D.",BG15/BK15-1)</f>
        <v>-4.6227473672855623E-2</v>
      </c>
      <c r="BQ15" s="353"/>
      <c r="BS15" s="9" t="s">
        <v>42</v>
      </c>
      <c r="BT15" s="4"/>
      <c r="BU15" s="177" t="str">
        <f>IF(BT$9=0,"N.D.",BT15/BT$9)</f>
        <v>N.D.</v>
      </c>
      <c r="BV15" s="4">
        <f>BG85</f>
        <v>12</v>
      </c>
      <c r="BW15" s="177">
        <f>IF(BV$9=0,"N.D.",BV15/BV$9)</f>
        <v>3.9867109634551492E-2</v>
      </c>
      <c r="BX15" s="4">
        <f>BG120</f>
        <v>15</v>
      </c>
      <c r="BY15" s="177">
        <f>IF(BX$9=0,"N.D.",BX15/BX$9)</f>
        <v>2.4793388429752067E-2</v>
      </c>
      <c r="BZ15" s="4">
        <f>BG155</f>
        <v>16</v>
      </c>
      <c r="CA15" s="177">
        <f>IF(BZ$9=0,"N.D.",BZ15/BZ$9)</f>
        <v>7.407407407407407E-2</v>
      </c>
      <c r="CB15" s="4">
        <f>BG193</f>
        <v>18</v>
      </c>
      <c r="CC15" s="177">
        <f>IF(CB$9=0,"N.D.",CB15/CB$9)</f>
        <v>6.1855670103092786E-2</v>
      </c>
      <c r="CD15" s="4">
        <f>BG229</f>
        <v>10</v>
      </c>
      <c r="CE15" s="177">
        <f>IF(CD$9=0,"N.D.",CD15/CD$9)</f>
        <v>7.3529411764705885E-2</v>
      </c>
      <c r="CF15" s="4">
        <f>+BT15+BV15+BX15+BZ15+CB15+CD15</f>
        <v>71</v>
      </c>
      <c r="CG15" s="177">
        <f>IF(CF$9=0,"N.D.",CF15/CF$9)</f>
        <v>4.5836023240800515E-2</v>
      </c>
    </row>
    <row r="16" spans="1:85" ht="12.5" customHeight="1" x14ac:dyDescent="0.25">
      <c r="A16" s="238"/>
      <c r="B16" t="s">
        <v>43</v>
      </c>
      <c r="C16" s="314">
        <f>+C51+C86+C121+C156+C230+C194</f>
        <v>40.315820000000002</v>
      </c>
      <c r="D16" s="472">
        <f>IF(C$9=0,"N.D.",C16/C$9)</f>
        <v>2.5841533593541143E-2</v>
      </c>
      <c r="E16" s="314">
        <f>+E51+E86+E121+E156+E230+E194</f>
        <v>47.904000000000011</v>
      </c>
      <c r="F16" s="472">
        <f>IF(E$9=0,"N.D.",E16/E$9)</f>
        <v>2.8142569278400188E-2</v>
      </c>
      <c r="G16" s="314">
        <f>+G51+G86+G121+G156+G230+G194+G264</f>
        <v>73.341419999999999</v>
      </c>
      <c r="H16" s="472">
        <f>IF(G$9=0,"N.D.",G16/G$9)</f>
        <v>4.4426653397000047E-2</v>
      </c>
      <c r="I16" s="314">
        <f>C16-E16</f>
        <v>-7.5881800000000084</v>
      </c>
      <c r="J16" s="472">
        <f>IF(E16=0,"N.D.",C16/E16-1)</f>
        <v>-0.15840389111556463</v>
      </c>
      <c r="K16" s="314">
        <f>C16-G16</f>
        <v>-33.025599999999997</v>
      </c>
      <c r="L16" s="472">
        <f>IF(G16=0,"N.D.",C16/G16-1)</f>
        <v>-0.45029943516228621</v>
      </c>
      <c r="M16" s="175"/>
      <c r="N16" s="9" t="s">
        <v>43</v>
      </c>
      <c r="O16" s="314">
        <f t="shared" si="9"/>
        <v>0</v>
      </c>
      <c r="P16" s="414" t="str">
        <f t="shared" si="9"/>
        <v>N.D.</v>
      </c>
      <c r="Q16" s="314">
        <f t="shared" si="10"/>
        <v>1.8633199999999999</v>
      </c>
      <c r="R16" s="414">
        <f t="shared" si="10"/>
        <v>6.4034183089060641E-3</v>
      </c>
      <c r="S16" s="314">
        <f>C121</f>
        <v>3.0893099999999998</v>
      </c>
      <c r="T16" s="414">
        <f>+D121</f>
        <v>5.0047728494487121E-3</v>
      </c>
      <c r="U16" s="314">
        <f>C156</f>
        <v>9.2417600000000011</v>
      </c>
      <c r="V16" s="414">
        <f>+D156</f>
        <v>4.2160917648310432E-2</v>
      </c>
      <c r="W16" s="314">
        <f>C194</f>
        <v>5.1190200000000008</v>
      </c>
      <c r="X16" s="414">
        <f>+D194</f>
        <v>1.6927122557476849E-2</v>
      </c>
      <c r="Y16" s="314">
        <f>C230</f>
        <v>21.002410000000001</v>
      </c>
      <c r="Z16" s="414">
        <f>+D230</f>
        <v>0.16126083826818055</v>
      </c>
      <c r="AA16" s="314">
        <f t="shared" si="7"/>
        <v>40.315820000000002</v>
      </c>
      <c r="AB16" s="414">
        <f>IF(AA$9=0,"N.D.",AA16/AA$9)</f>
        <v>2.5841533593541143E-2</v>
      </c>
      <c r="AD16" t="s">
        <v>43</v>
      </c>
      <c r="AE16" s="314">
        <f>+AE51+AE86+AE121+AE156+AE230+AE194</f>
        <v>339.83177999999998</v>
      </c>
      <c r="AF16" s="472">
        <f>IF(AE$9=0,"N.D.",AE16/AE$9)</f>
        <v>2.1768466837615828E-2</v>
      </c>
      <c r="AG16" s="314">
        <f>+AG51+AG86+AG121+AG156+AG230+AG194</f>
        <v>373.26600000000002</v>
      </c>
      <c r="AH16" s="472">
        <f>IF(AG$9=0,"N.D.",AG16/AG$9)</f>
        <v>1.7730719980778967E-2</v>
      </c>
      <c r="AI16" s="314">
        <f>+AI51+AI86+AI121+AI156+AI230+AI194+AI264</f>
        <v>532.34231999999997</v>
      </c>
      <c r="AJ16" s="472">
        <f>IF(AI$9=0,"N.D.",AI16/AI$9)</f>
        <v>2.597037412406954E-2</v>
      </c>
      <c r="AK16" s="314">
        <f>AE16-AG16</f>
        <v>-33.434220000000039</v>
      </c>
      <c r="AL16" s="472">
        <f>IF(AG16=0,"N.D.",AE16/AG16-1)</f>
        <v>-8.9572101396859227E-2</v>
      </c>
      <c r="AM16" s="314">
        <f>AE16-AI16</f>
        <v>-192.51053999999999</v>
      </c>
      <c r="AN16" s="472">
        <f>IF(AI16=0,"N.D.",AE16/AI16-1)</f>
        <v>-0.36162922384228258</v>
      </c>
      <c r="AO16" s="175"/>
      <c r="AP16" s="9" t="s">
        <v>43</v>
      </c>
      <c r="AQ16" s="314">
        <f t="shared" si="11"/>
        <v>61.529199999999996</v>
      </c>
      <c r="AR16" s="414">
        <f t="shared" si="11"/>
        <v>9.9320429101793541E-3</v>
      </c>
      <c r="AS16" s="314">
        <f t="shared" si="12"/>
        <v>10.423639999999999</v>
      </c>
      <c r="AT16" s="414">
        <f t="shared" si="12"/>
        <v>5.8537964298493233E-3</v>
      </c>
      <c r="AU16" s="314">
        <f t="shared" si="13"/>
        <v>17.280360000000002</v>
      </c>
      <c r="AV16" s="414">
        <f t="shared" si="13"/>
        <v>4.6932470454384692E-3</v>
      </c>
      <c r="AW16" s="314">
        <f t="shared" si="14"/>
        <v>55.450559999999996</v>
      </c>
      <c r="AX16" s="414">
        <f t="shared" si="14"/>
        <v>3.9384413556627411E-2</v>
      </c>
      <c r="AY16" s="314">
        <f>AE194</f>
        <v>69.133560000000003</v>
      </c>
      <c r="AZ16" s="414">
        <f>+AF194</f>
        <v>3.7930823589180859E-2</v>
      </c>
      <c r="BA16" s="314">
        <f t="shared" si="15"/>
        <v>126.01446</v>
      </c>
      <c r="BB16" s="491">
        <f t="shared" si="15"/>
        <v>0.1742948569581021</v>
      </c>
      <c r="BC16" s="314">
        <f t="shared" si="8"/>
        <v>339.83177999999998</v>
      </c>
      <c r="BD16" s="25">
        <f>IF(BC$9=0,"N.D.",BC16/BC$9)</f>
        <v>2.1768466837615824E-2</v>
      </c>
      <c r="BF16" s="175" t="s">
        <v>43</v>
      </c>
      <c r="BG16" s="570">
        <f>+BG51+BG86+BG121+BG156+BG230+BG194</f>
        <v>48</v>
      </c>
      <c r="BH16" s="177">
        <f>IF(BG$9=0,"N.D.",BG16/BG$9)</f>
        <v>3.0987734021949646E-2</v>
      </c>
      <c r="BI16" s="570">
        <f ca="1">+BI51+BI86+BI121+BI156+BI230+BI194</f>
        <v>47.904000000000011</v>
      </c>
      <c r="BJ16" s="177">
        <f ca="1">IF(BI$9=0,"N.D.",BI16/BI$9)</f>
        <v>2.8846153846153851E-2</v>
      </c>
      <c r="BK16" s="570">
        <f ca="1">+BK51+BK86+BK121+BK156+BK230+BK194</f>
        <v>73.341419999999999</v>
      </c>
      <c r="BL16" s="177">
        <f ca="1">IF(BK$9=0,"N.D.",BK16/BK$9)</f>
        <v>4.4426653397000047E-2</v>
      </c>
      <c r="BM16" s="570">
        <f ca="1">BG16-BI16</f>
        <v>9.5999999999989427E-2</v>
      </c>
      <c r="BN16" s="177">
        <f ca="1">IF(BI16=0,"N.D.",BG16/BI16-1)</f>
        <v>2.0040080160317331E-3</v>
      </c>
      <c r="BO16" s="570">
        <f ca="1">BG16-BK16</f>
        <v>-25.341419999999999</v>
      </c>
      <c r="BP16" s="177">
        <f ca="1">IF(BK16=0,"N.D.",BG16/BK16-1)</f>
        <v>-0.34552671600849838</v>
      </c>
      <c r="BQ16" s="353"/>
      <c r="BS16" s="9" t="s">
        <v>43</v>
      </c>
      <c r="BT16" s="4"/>
      <c r="BU16" s="177" t="str">
        <f>IF(BT$9=0,"N.D.",BT16/BT$9)</f>
        <v>N.D.</v>
      </c>
      <c r="BV16" s="4">
        <f>BG86</f>
        <v>0</v>
      </c>
      <c r="BW16" s="177">
        <f>IF(BV$9=0,"N.D.",BV16/BV$9)</f>
        <v>0</v>
      </c>
      <c r="BX16" s="4">
        <f>BG121</f>
        <v>3</v>
      </c>
      <c r="BY16" s="177">
        <f>IF(BX$9=0,"N.D.",BX16/BX$9)</f>
        <v>4.9586776859504135E-3</v>
      </c>
      <c r="BZ16" s="4">
        <f>BG156</f>
        <v>9</v>
      </c>
      <c r="CA16" s="177">
        <f>IF(BZ$9=0,"N.D.",BZ16/BZ$9)</f>
        <v>4.1666666666666664E-2</v>
      </c>
      <c r="CB16" s="4">
        <f>BG194</f>
        <v>15</v>
      </c>
      <c r="CC16" s="177">
        <f>IF(CB$9=0,"N.D.",CB16/CB$9)</f>
        <v>5.1546391752577317E-2</v>
      </c>
      <c r="CD16" s="4">
        <f>BG230</f>
        <v>21</v>
      </c>
      <c r="CE16" s="177">
        <f>IF(CD$9=0,"N.D.",CD16/CD$9)</f>
        <v>0.15441176470588236</v>
      </c>
      <c r="CF16" s="4">
        <f>+BT16+BV16+BX16+BZ16+CB16+CD16</f>
        <v>48</v>
      </c>
      <c r="CG16" s="177">
        <f>IF(CF$9=0,"N.D.",CF16/CF$9)</f>
        <v>3.0987734021949646E-2</v>
      </c>
    </row>
    <row r="17" spans="1:85" ht="12.5" customHeight="1" x14ac:dyDescent="0.3">
      <c r="A17" s="238"/>
      <c r="B17" t="s">
        <v>44</v>
      </c>
      <c r="C17" s="381">
        <f>+C52+C87+C122+C157+C231+C195</f>
        <v>1034.3513800000001</v>
      </c>
      <c r="D17" s="402">
        <f>IF(C$9=0,"N.D.",C17/C$9)</f>
        <v>0.66299596371339187</v>
      </c>
      <c r="E17" s="381">
        <f>+E52+E87+E122+E157+E231+E195</f>
        <v>1118.15471</v>
      </c>
      <c r="F17" s="402">
        <f>IF(E$9=0,"N.D.",E17/E$9)</f>
        <v>0.65689183346159952</v>
      </c>
      <c r="G17" s="381">
        <f>+G52+G87+G122+G157+G231+G195+G265</f>
        <v>1142.22119</v>
      </c>
      <c r="H17" s="402">
        <f>IF(G$9=0,"N.D.",G17/G$9)</f>
        <v>0.69190185996997244</v>
      </c>
      <c r="I17" s="381">
        <f>C17-E17</f>
        <v>-83.80332999999996</v>
      </c>
      <c r="J17" s="402">
        <f>IF(E17=0,"N.D.",C17/E17-1)</f>
        <v>-7.4947884447940094E-2</v>
      </c>
      <c r="K17" s="381">
        <f>C17-G17</f>
        <v>-107.86980999999992</v>
      </c>
      <c r="L17" s="402">
        <f>IF(G17=0,"N.D.",C17/G17-1)</f>
        <v>-9.4438634954758571E-2</v>
      </c>
      <c r="M17" s="175"/>
      <c r="N17" s="9" t="s">
        <v>44</v>
      </c>
      <c r="O17" s="381">
        <f t="shared" si="9"/>
        <v>8.9507099999999991</v>
      </c>
      <c r="P17" s="415" t="str">
        <f t="shared" si="9"/>
        <v>N.D.</v>
      </c>
      <c r="Q17" s="381">
        <f t="shared" si="10"/>
        <v>201.43265</v>
      </c>
      <c r="R17" s="415">
        <f t="shared" si="10"/>
        <v>0.69223618005574306</v>
      </c>
      <c r="S17" s="381">
        <f>C122</f>
        <v>395.77467000000007</v>
      </c>
      <c r="T17" s="415">
        <f>+D122</f>
        <v>0.64116657859377146</v>
      </c>
      <c r="U17" s="381">
        <f>C157</f>
        <v>174.73802000000001</v>
      </c>
      <c r="V17" s="415">
        <f>+D157</f>
        <v>0.79715500848851517</v>
      </c>
      <c r="W17" s="381">
        <f>C195</f>
        <v>210.84125</v>
      </c>
      <c r="X17" s="415">
        <f>+D195</f>
        <v>0.69719119654184103</v>
      </c>
      <c r="Y17" s="381">
        <f>C231</f>
        <v>42.614080000000001</v>
      </c>
      <c r="Z17" s="415">
        <f>+D231</f>
        <v>0.32719970054995151</v>
      </c>
      <c r="AA17" s="381">
        <f t="shared" si="7"/>
        <v>1034.3513800000001</v>
      </c>
      <c r="AB17" s="415">
        <f>IF(AA$9=0,"N.D.",AA17/AA$9)</f>
        <v>0.66299596371339187</v>
      </c>
      <c r="AD17" t="s">
        <v>44</v>
      </c>
      <c r="AE17" s="381">
        <f>+AE52+AE87+AE122+AE157+AE231+AE195</f>
        <v>9985.8086299999995</v>
      </c>
      <c r="AF17" s="402">
        <f>IF(AE$9=0,"N.D.",AE17/AE$9)</f>
        <v>0.63965690321527002</v>
      </c>
      <c r="AG17" s="381">
        <f>+AG52+AG87+AG122+AG157+AG231+AG195</f>
        <v>13385.802</v>
      </c>
      <c r="AH17" s="402">
        <f>IF(AG$9=0,"N.D.",AG17/AG$9)</f>
        <v>0.63584657316806525</v>
      </c>
      <c r="AI17" s="381">
        <f>+AI52+AI87+AI122+AI157+AI231+AI195+AI265</f>
        <v>13293.44152</v>
      </c>
      <c r="AJ17" s="402">
        <f>IF(AI$9=0,"N.D.",AI17/AI$9)</f>
        <v>0.64852189409032834</v>
      </c>
      <c r="AK17" s="381">
        <f>AE17-AG17</f>
        <v>-3399.9933700000001</v>
      </c>
      <c r="AL17" s="402">
        <f>IF(AG17=0,"N.D.",AE17/AG17-1)</f>
        <v>-0.25399997474936509</v>
      </c>
      <c r="AM17" s="381">
        <f>AE17-AI17</f>
        <v>-3307.6328900000008</v>
      </c>
      <c r="AN17" s="402">
        <f>IF(AI17=0,"N.D.",AE17/AI17-1)</f>
        <v>-0.24881689854532119</v>
      </c>
      <c r="AO17" s="175"/>
      <c r="AP17" s="9" t="s">
        <v>44</v>
      </c>
      <c r="AQ17" s="381">
        <f t="shared" si="11"/>
        <v>3767.4462599999997</v>
      </c>
      <c r="AR17" s="415">
        <f t="shared" si="11"/>
        <v>0.60814114137864173</v>
      </c>
      <c r="AS17" s="381">
        <f t="shared" si="12"/>
        <v>1209.3447000000001</v>
      </c>
      <c r="AT17" s="415">
        <f t="shared" si="12"/>
        <v>0.67915408507174091</v>
      </c>
      <c r="AU17" s="381">
        <f t="shared" si="13"/>
        <v>2407.6187200000004</v>
      </c>
      <c r="AV17" s="415">
        <f t="shared" si="13"/>
        <v>0.65389548853046753</v>
      </c>
      <c r="AW17" s="381">
        <f t="shared" si="14"/>
        <v>1074.3825100000001</v>
      </c>
      <c r="AX17" s="415">
        <f t="shared" si="14"/>
        <v>0.76309283606599099</v>
      </c>
      <c r="AY17" s="381">
        <f>AE195</f>
        <v>1333.8609200000001</v>
      </c>
      <c r="AZ17" s="415">
        <f>+AF195</f>
        <v>0.73183622033962215</v>
      </c>
      <c r="BA17" s="381">
        <f t="shared" si="15"/>
        <v>193.15552</v>
      </c>
      <c r="BB17" s="415">
        <f t="shared" si="15"/>
        <v>0.26715992536942051</v>
      </c>
      <c r="BC17" s="381">
        <f t="shared" si="8"/>
        <v>9985.8086299999995</v>
      </c>
      <c r="BD17" s="26">
        <f>IF(BC$9=0,"N.D.",BC17/BC$9)</f>
        <v>0.63965690321526991</v>
      </c>
      <c r="BF17" s="175" t="s">
        <v>44</v>
      </c>
      <c r="BG17" s="106">
        <f>+BG52+BG87+BG122+BG157+BG231+BG195</f>
        <v>1033.9362702130443</v>
      </c>
      <c r="BH17" s="179">
        <f>IF(BG$9=0,"N.D.",BG17/BG$9)</f>
        <v>0.66748629452100983</v>
      </c>
      <c r="BI17" s="106">
        <f ca="1">+BI52+BI87+BI122+BI157+BI231+BI195</f>
        <v>1093.5319999999999</v>
      </c>
      <c r="BJ17" s="179">
        <f ca="1">IF(BI$9=0,"N.D.",BI17/BI$9)</f>
        <v>0.65848764837367035</v>
      </c>
      <c r="BK17" s="106">
        <f ca="1">+BK52+BK87+BK122+BK157+BK231+BK195</f>
        <v>1133.2704799999999</v>
      </c>
      <c r="BL17" s="179">
        <f ca="1">IF(BK$9=0,"N.D.",BK17/BK$9)</f>
        <v>0.68647995661949102</v>
      </c>
      <c r="BM17" s="106">
        <f ca="1">BG17-BI17</f>
        <v>-59.595729786955644</v>
      </c>
      <c r="BN17" s="179">
        <f ca="1">IF(BI17=0,"N.D.",BG17/BI17-1)</f>
        <v>-5.4498386683659583E-2</v>
      </c>
      <c r="BO17" s="106">
        <f ca="1">BG17-BK17</f>
        <v>-99.334209786955626</v>
      </c>
      <c r="BP17" s="179">
        <f ca="1">IF(BK17=0,"N.D.",BG17/BK17-1)</f>
        <v>-8.7652693280209304E-2</v>
      </c>
      <c r="BQ17" s="354"/>
      <c r="BS17" s="9" t="s">
        <v>44</v>
      </c>
      <c r="BT17" s="5"/>
      <c r="BU17" s="179" t="str">
        <f>IF(BT$9=0,"N.D.",BT17/BT$9)</f>
        <v>N.D.</v>
      </c>
      <c r="BV17" s="5">
        <f>BG87</f>
        <v>209.25463794372783</v>
      </c>
      <c r="BW17" s="179">
        <f>IF(BV$9=0,"N.D.",BV17/BV$9)</f>
        <v>0.69519813270341468</v>
      </c>
      <c r="BX17" s="5">
        <f>BG122</f>
        <v>392.3493793675687</v>
      </c>
      <c r="BY17" s="179">
        <f>IF(BX$9=0,"N.D.",BX17/BX$9)</f>
        <v>0.64851137085548549</v>
      </c>
      <c r="BZ17" s="5">
        <f>BG157</f>
        <v>177.42967880867545</v>
      </c>
      <c r="CA17" s="179">
        <f>IF(BZ$9=0,"N.D.",BZ17/BZ$9)</f>
        <v>0.82143369818831224</v>
      </c>
      <c r="CB17" s="5">
        <f>BG195</f>
        <v>217.90257409307233</v>
      </c>
      <c r="CC17" s="179">
        <f>IF(CB$9=0,"N.D.",CB17/CB$9)</f>
        <v>0.74880609653976749</v>
      </c>
      <c r="CD17" s="5">
        <f>BG231</f>
        <v>37</v>
      </c>
      <c r="CE17" s="179">
        <f>IF(CD$9=0,"N.D.",CD17/CD$9)</f>
        <v>0.27205882352941174</v>
      </c>
      <c r="CF17" s="5">
        <f>+BT17+BV17+BX17+BZ17+CB17+CD17</f>
        <v>1033.9362702130443</v>
      </c>
      <c r="CG17" s="179">
        <f>IF(CF$9=0,"N.D.",CF17/CF$9)</f>
        <v>0.66748629452100983</v>
      </c>
    </row>
    <row r="18" spans="1:85" ht="12.5" customHeight="1" x14ac:dyDescent="0.3">
      <c r="A18" s="238"/>
      <c r="B18" t="s">
        <v>45</v>
      </c>
      <c r="C18" s="381">
        <f>+C53+C88+C123+C158+C232+C196</f>
        <v>53.583829999999963</v>
      </c>
      <c r="D18" s="402">
        <f>IF(C$9=0,"N.D.",C18/C$9)</f>
        <v>3.43460294994768E-2</v>
      </c>
      <c r="E18" s="381">
        <f>+E53+E88+E123+E158+E232+E196</f>
        <v>26.535289999999961</v>
      </c>
      <c r="F18" s="402">
        <f>IF(E$9=0,"N.D.",E18/E$9)</f>
        <v>1.5588911931100503E-2</v>
      </c>
      <c r="G18" s="381">
        <f>+G53+G88+G123+G158+G232+G196+G266</f>
        <v>-29.032590000000084</v>
      </c>
      <c r="H18" s="402">
        <f>IF(G$9=0,"N.D.",G18/G$9)</f>
        <v>-1.7586526319605122E-2</v>
      </c>
      <c r="I18" s="381">
        <f>C18-E18</f>
        <v>27.048540000000003</v>
      </c>
      <c r="J18" s="402">
        <f>IF(E18=0,"N.D.",C18/E18-1)</f>
        <v>1.0193421666015348</v>
      </c>
      <c r="K18" s="381">
        <f>C18-G18</f>
        <v>82.616420000000048</v>
      </c>
      <c r="L18" s="402">
        <f>IF(G18=0,"N.D.",C18/G18-1)</f>
        <v>-2.8456441536907251</v>
      </c>
      <c r="M18" s="175"/>
      <c r="N18" s="9" t="s">
        <v>45</v>
      </c>
      <c r="O18" s="381">
        <f t="shared" si="9"/>
        <v>-8.9507099999999991</v>
      </c>
      <c r="P18" s="402" t="str">
        <f t="shared" si="9"/>
        <v>N.D.</v>
      </c>
      <c r="Q18" s="381">
        <f t="shared" si="10"/>
        <v>-5.5579099999999642</v>
      </c>
      <c r="R18" s="402">
        <f t="shared" si="10"/>
        <v>-1.9100113052643603E-2</v>
      </c>
      <c r="S18" s="381">
        <f>C123</f>
        <v>22.164439999999956</v>
      </c>
      <c r="T18" s="415">
        <f>+D123</f>
        <v>3.5907043169910044E-2</v>
      </c>
      <c r="U18" s="381">
        <f>C158</f>
        <v>-32.855170000000044</v>
      </c>
      <c r="V18" s="402">
        <f>+D158</f>
        <v>-0.14988531585880191</v>
      </c>
      <c r="W18" s="381">
        <f>C196</f>
        <v>-8.8414899999999932</v>
      </c>
      <c r="X18" s="415">
        <f>+D196</f>
        <v>-2.923625710012968E-2</v>
      </c>
      <c r="Y18" s="381">
        <f>C232</f>
        <v>87.624670000000009</v>
      </c>
      <c r="Z18" s="402">
        <f>+D232</f>
        <v>0.67280029945004849</v>
      </c>
      <c r="AA18" s="381">
        <f t="shared" si="7"/>
        <v>53.583829999999963</v>
      </c>
      <c r="AB18" s="402">
        <f>IF(AA$9=0,"N.D.",AA18/AA$9)</f>
        <v>3.43460294994768E-2</v>
      </c>
      <c r="AD18" t="s">
        <v>45</v>
      </c>
      <c r="AE18" s="381">
        <f>+AE53+AE88+AE123+AE158+AE232+AE196</f>
        <v>416.83865999999955</v>
      </c>
      <c r="AF18" s="402">
        <f>IF(AE$9=0,"N.D.",AE18/AE$9)</f>
        <v>2.6701265393266661E-2</v>
      </c>
      <c r="AG18" s="381">
        <f>+AG53+AG88+AG123+AG158+AG232+AG196</f>
        <v>221.46999999999952</v>
      </c>
      <c r="AH18" s="402">
        <f>IF(AG$9=0,"N.D.",AG18/AG$9)</f>
        <v>1.0520172086777552E-2</v>
      </c>
      <c r="AI18" s="381">
        <f>+AI53+AI88+AI123+AI158+AI232+AI196+AI266</f>
        <v>-21.079600000000255</v>
      </c>
      <c r="AJ18" s="402">
        <f>IF(AI$9=0,"N.D.",AI18/AI$9)</f>
        <v>-1.0283704259803034E-3</v>
      </c>
      <c r="AK18" s="381">
        <f>AE18-AG18</f>
        <v>195.36866000000003</v>
      </c>
      <c r="AL18" s="402">
        <f>IF(AG18=0,"N.D.",AE18/AG18-1)</f>
        <v>0.8821450309296992</v>
      </c>
      <c r="AM18" s="381">
        <f>AE18-AI18</f>
        <v>437.9182599999998</v>
      </c>
      <c r="AN18" s="402">
        <f>IF(AI18=0,"N.D.",AE18/AI18-1)</f>
        <v>-20.774505208827232</v>
      </c>
      <c r="AO18" s="175"/>
      <c r="AP18" s="9" t="s">
        <v>45</v>
      </c>
      <c r="AQ18" s="381">
        <f t="shared" si="11"/>
        <v>134.61535000000049</v>
      </c>
      <c r="AR18" s="402">
        <f t="shared" si="11"/>
        <v>2.1729608585335375E-2</v>
      </c>
      <c r="AS18" s="381">
        <f t="shared" si="12"/>
        <v>-22.825600000000122</v>
      </c>
      <c r="AT18" s="402">
        <f t="shared" si="12"/>
        <v>-1.2818594635767297E-2</v>
      </c>
      <c r="AU18" s="381">
        <f t="shared" si="13"/>
        <v>27.184049999999388</v>
      </c>
      <c r="AV18" s="402">
        <f t="shared" si="13"/>
        <v>7.3830326651498418E-3</v>
      </c>
      <c r="AW18" s="381">
        <f t="shared" si="14"/>
        <v>-154.21285999999998</v>
      </c>
      <c r="AX18" s="402">
        <f t="shared" si="14"/>
        <v>-0.10953150074571447</v>
      </c>
      <c r="AY18" s="381">
        <f>AE196</f>
        <v>-97.762620000000197</v>
      </c>
      <c r="AZ18" s="402">
        <f>+AF196</f>
        <v>-5.3638445536959643E-2</v>
      </c>
      <c r="BA18" s="381">
        <f t="shared" si="15"/>
        <v>529.84033999999997</v>
      </c>
      <c r="BB18" s="402">
        <f t="shared" si="15"/>
        <v>0.73284007463057943</v>
      </c>
      <c r="BC18" s="381">
        <f t="shared" si="8"/>
        <v>416.83865999999955</v>
      </c>
      <c r="BD18" s="30">
        <f>IF(BC$9=0,"N.D.",BC18/BC$9)</f>
        <v>2.6701265393266661E-2</v>
      </c>
      <c r="BF18" s="175" t="s">
        <v>45</v>
      </c>
      <c r="BG18" s="106">
        <f>+BG53+BG88+BG123+BG158+BG232+BG196</f>
        <v>48.492368107472089</v>
      </c>
      <c r="BH18" s="179">
        <f>IF(BG$9=0,"N.D.",BG18/BG$9)</f>
        <v>3.1305595937683721E-2</v>
      </c>
      <c r="BI18" s="106">
        <f ca="1">+BI53+BI88+BI123+BI158+BI232+BI196</f>
        <v>24.168999999999912</v>
      </c>
      <c r="BJ18" s="179">
        <f ca="1">IF(BI$9=0,"N.D.",BI18/BI$9)</f>
        <v>1.4553746916910691E-2</v>
      </c>
      <c r="BK18" s="106">
        <f ca="1">+BK53+BK88+BK123+BK158+BK232+BK196</f>
        <v>-20.081880000000083</v>
      </c>
      <c r="BL18" s="179">
        <f ca="1">IF(BK$9=0,"N.D.",BK18/BK$9)</f>
        <v>-1.2164622969123738E-2</v>
      </c>
      <c r="BM18" s="106">
        <f ca="1">BG18-BI18</f>
        <v>24.323368107472177</v>
      </c>
      <c r="BN18" s="179">
        <f ca="1">IF(BI18=0,"N.D.",BG18/BI18-1)</f>
        <v>1.0063870291477621</v>
      </c>
      <c r="BO18" s="106">
        <f ca="1">BG18-BK18</f>
        <v>68.574248107472172</v>
      </c>
      <c r="BP18" s="179">
        <f ca="1">IF(BK18=0,"N.D.",BG18/BK18-1)</f>
        <v>-3.4147324905572529</v>
      </c>
      <c r="BQ18" s="354"/>
      <c r="BS18" s="9" t="s">
        <v>45</v>
      </c>
      <c r="BT18" s="5"/>
      <c r="BU18" s="179" t="str">
        <f>IF(BT$9=0,"N.D.",BT18/BT$9)</f>
        <v>N.D.</v>
      </c>
      <c r="BV18" s="5">
        <f>BG88</f>
        <v>-6.6406817757948886</v>
      </c>
      <c r="BW18" s="179">
        <f>IF(BV$9=0,"N.D.",BV18/BV$9)</f>
        <v>-2.2062065700315246E-2</v>
      </c>
      <c r="BX18" s="5">
        <f>BG123</f>
        <v>17.280161799458654</v>
      </c>
      <c r="BY18" s="179">
        <f>IF(BX$9=0,"N.D.",BX18/BX$9)</f>
        <v>2.8562250908196123E-2</v>
      </c>
      <c r="BZ18" s="5">
        <f>BG158</f>
        <v>-37.619425200657361</v>
      </c>
      <c r="CA18" s="179">
        <f>IF(BZ$9=0,"N.D.",BZ18/BZ$9)</f>
        <v>-0.1741640055585989</v>
      </c>
      <c r="CB18" s="5">
        <f>BG196</f>
        <v>-23.527686715534315</v>
      </c>
      <c r="CC18" s="179">
        <f>IF(CB$9=0,"N.D.",CB18/CB$9)</f>
        <v>-8.085115709805607E-2</v>
      </c>
      <c r="CD18" s="5">
        <f>BG232</f>
        <v>99</v>
      </c>
      <c r="CE18" s="179">
        <f>IF(CD$9=0,"N.D.",CD18/CD$9)</f>
        <v>0.7279411764705882</v>
      </c>
      <c r="CF18" s="5">
        <f>+BT18+BV18+BX18+BZ18+CB18+CD18</f>
        <v>48.492368107472089</v>
      </c>
      <c r="CG18" s="179">
        <f>IF(CF$9=0,"N.D.",CF18/CF$9)</f>
        <v>3.1305595937683721E-2</v>
      </c>
    </row>
    <row r="19" spans="1:85" ht="12.5" customHeight="1" x14ac:dyDescent="0.25">
      <c r="A19" s="238"/>
      <c r="C19" s="437"/>
      <c r="D19" s="473"/>
      <c r="E19" s="437"/>
      <c r="F19" s="473"/>
      <c r="G19" s="437"/>
      <c r="H19" s="473"/>
      <c r="I19" s="437"/>
      <c r="J19" s="473"/>
      <c r="K19" s="437"/>
      <c r="L19" s="473"/>
      <c r="M19" s="175"/>
      <c r="O19" s="437"/>
      <c r="P19" s="487"/>
      <c r="Q19" s="437"/>
      <c r="R19" s="487"/>
      <c r="S19" s="437"/>
      <c r="T19" s="487"/>
      <c r="U19" s="437"/>
      <c r="V19" s="487"/>
      <c r="W19" s="437"/>
      <c r="X19" s="487"/>
      <c r="Y19" s="437"/>
      <c r="Z19" s="487"/>
      <c r="AA19" s="437"/>
      <c r="AB19" s="487"/>
      <c r="AE19" s="437"/>
      <c r="AF19" s="473"/>
      <c r="AG19" s="437"/>
      <c r="AH19" s="473"/>
      <c r="AI19" s="437"/>
      <c r="AJ19" s="473"/>
      <c r="AK19" s="437"/>
      <c r="AL19" s="473"/>
      <c r="AM19" s="437"/>
      <c r="AN19" s="473"/>
      <c r="AO19" s="175"/>
      <c r="AP19" s="1"/>
      <c r="AQ19" s="437"/>
      <c r="AR19" s="487"/>
      <c r="AS19" s="437"/>
      <c r="AT19" s="487"/>
      <c r="AU19" s="437"/>
      <c r="AV19" s="487"/>
      <c r="AW19" s="437"/>
      <c r="AX19" s="487"/>
      <c r="AY19" s="437"/>
      <c r="AZ19" s="487"/>
      <c r="BA19" s="437"/>
      <c r="BB19" s="487"/>
      <c r="BC19" s="437"/>
      <c r="BD19" s="110"/>
      <c r="BF19" s="175"/>
      <c r="BG19" s="571"/>
      <c r="BH19" s="185"/>
      <c r="BI19" s="571"/>
      <c r="BJ19" s="185"/>
      <c r="BK19" s="571"/>
      <c r="BL19" s="185"/>
      <c r="BM19" s="571"/>
      <c r="BN19" s="185"/>
      <c r="BO19" s="571"/>
      <c r="BP19" s="185"/>
      <c r="BQ19" s="353"/>
      <c r="BT19" s="109"/>
      <c r="BU19" s="185"/>
      <c r="BV19" s="109"/>
      <c r="BW19" s="185"/>
      <c r="BX19" s="109"/>
      <c r="BY19" s="185"/>
      <c r="BZ19" s="109"/>
      <c r="CA19" s="185"/>
      <c r="CB19" s="109"/>
      <c r="CC19" s="185"/>
      <c r="CD19" s="109"/>
      <c r="CE19" s="185"/>
      <c r="CF19" s="109"/>
      <c r="CG19" s="185"/>
    </row>
    <row r="20" spans="1:85" ht="12.5" hidden="1" customHeight="1" x14ac:dyDescent="0.25">
      <c r="A20" s="238"/>
      <c r="C20" s="418">
        <f>+C55+C90+C125+C160+C234+C198</f>
        <v>0</v>
      </c>
      <c r="D20" s="471">
        <f>IF(C$9=0,"N.D.",C20/C$9)</f>
        <v>0</v>
      </c>
      <c r="E20" s="418">
        <f>+E55+E90+E125+E160+E234+E198</f>
        <v>0</v>
      </c>
      <c r="F20" s="471">
        <f>IF(E$9=0,"N.D.",E20/E$9)</f>
        <v>0</v>
      </c>
      <c r="G20" s="418">
        <f>+G55+G90+G125+G160+G234+G198+G268</f>
        <v>0</v>
      </c>
      <c r="H20" s="471">
        <f>IF(G$9=0,"N.D.",G20/G$9)</f>
        <v>0</v>
      </c>
      <c r="I20" s="418">
        <f t="shared" ref="I20:I26" si="16">C20-E20</f>
        <v>0</v>
      </c>
      <c r="J20" s="471" t="str">
        <f t="shared" ref="J20:J26" si="17">IF(E20=0,"N.D.",C20/E20-1)</f>
        <v>N.D.</v>
      </c>
      <c r="K20" s="418">
        <f t="shared" ref="K20:K26" si="18">C20-G20</f>
        <v>0</v>
      </c>
      <c r="L20" s="471" t="str">
        <f t="shared" ref="L20:L26" si="19">IF(G20=0,"N.D.",C20/G20-1)</f>
        <v>N.D.</v>
      </c>
      <c r="M20" s="175"/>
      <c r="N20" s="9"/>
      <c r="O20" s="418"/>
      <c r="P20" s="417"/>
      <c r="Q20" s="418"/>
      <c r="R20" s="417"/>
      <c r="S20" s="418"/>
      <c r="T20" s="417"/>
      <c r="U20" s="418"/>
      <c r="V20" s="417"/>
      <c r="W20" s="418"/>
      <c r="X20" s="417"/>
      <c r="Y20" s="418">
        <f>C198</f>
        <v>0</v>
      </c>
      <c r="Z20" s="417">
        <f>+D198</f>
        <v>0</v>
      </c>
      <c r="AA20" s="418">
        <f t="shared" si="7"/>
        <v>0</v>
      </c>
      <c r="AB20" s="417"/>
      <c r="AE20" s="418">
        <f>+AE55+AE90+AE125+AE160+AE234+AE198</f>
        <v>0</v>
      </c>
      <c r="AF20" s="471"/>
      <c r="AG20" s="418">
        <f>+AG55+AG90+AG125+AG160+AG234+AG198</f>
        <v>0</v>
      </c>
      <c r="AH20" s="471"/>
      <c r="AI20" s="418">
        <f>+AI55+AI90+AI125+AI160+AI234+AI198+AI268</f>
        <v>0</v>
      </c>
      <c r="AJ20" s="471"/>
      <c r="AK20" s="418"/>
      <c r="AL20" s="471"/>
      <c r="AM20" s="418"/>
      <c r="AN20" s="471"/>
      <c r="AO20" s="175"/>
      <c r="AP20" s="9"/>
      <c r="AQ20" s="418"/>
      <c r="AR20" s="417"/>
      <c r="AS20" s="418"/>
      <c r="AT20" s="417"/>
      <c r="AU20" s="418"/>
      <c r="AV20" s="417"/>
      <c r="AW20" s="418"/>
      <c r="AX20" s="417"/>
      <c r="AY20" s="418"/>
      <c r="AZ20" s="417"/>
      <c r="BA20" s="418">
        <f>AE198</f>
        <v>0</v>
      </c>
      <c r="BB20" s="417">
        <f>AF198</f>
        <v>0</v>
      </c>
      <c r="BC20" s="418">
        <f t="shared" si="8"/>
        <v>0</v>
      </c>
      <c r="BD20" s="24"/>
      <c r="BF20" s="175"/>
      <c r="BG20" s="569">
        <f>+BG55+BG90+BG125+BG160+BG234+BG198</f>
        <v>0</v>
      </c>
      <c r="BH20" s="183"/>
      <c r="BI20" s="569">
        <f ca="1">+BI55+BI90+BI125+BI160+BI234+BI198</f>
        <v>0</v>
      </c>
      <c r="BJ20" s="183"/>
      <c r="BK20" s="569">
        <f ca="1">+BK55+BK90+BK125+BK160+BK234+BK198</f>
        <v>0</v>
      </c>
      <c r="BL20" s="183"/>
      <c r="BM20" s="569"/>
      <c r="BN20" s="183"/>
      <c r="BO20" s="569"/>
      <c r="BP20" s="183"/>
      <c r="BQ20" s="353"/>
      <c r="BS20" s="9"/>
      <c r="BT20" s="3"/>
      <c r="BU20" s="183"/>
      <c r="BV20" s="3">
        <f t="shared" ref="BV20:BV26" si="20">BG90</f>
        <v>0</v>
      </c>
      <c r="BW20" s="183"/>
      <c r="BX20" s="3">
        <f t="shared" ref="BX20:BX26" si="21">BG125</f>
        <v>0</v>
      </c>
      <c r="BY20" s="183"/>
      <c r="BZ20" s="3">
        <f t="shared" ref="BZ20:BZ26" si="22">BG160</f>
        <v>0</v>
      </c>
      <c r="CA20" s="183"/>
      <c r="CB20" s="3">
        <f t="shared" ref="CB20:CB26" si="23">BG198</f>
        <v>0</v>
      </c>
      <c r="CC20" s="183"/>
      <c r="CD20" s="3">
        <f t="shared" ref="CD20:CD26" si="24">BG234</f>
        <v>0</v>
      </c>
      <c r="CE20" s="183"/>
      <c r="CF20" s="3">
        <f>+BT20+BV20+BX20+BZ20+CB20+CD20</f>
        <v>0</v>
      </c>
      <c r="CG20" s="183"/>
    </row>
    <row r="21" spans="1:85" ht="12.5" customHeight="1" x14ac:dyDescent="0.25">
      <c r="A21" s="238"/>
      <c r="B21" t="s">
        <v>52</v>
      </c>
      <c r="C21" s="314">
        <f>+C56+C91+C126+C161+C235+C199</f>
        <v>-19.715910000000001</v>
      </c>
      <c r="D21" s="472">
        <f>IF(C$9=0,"N.D.",C21/C$9)</f>
        <v>-1.2637454740899076E-2</v>
      </c>
      <c r="E21" s="314">
        <f>+E56+E91+E126+E161+E235+E199</f>
        <v>-41.723140000000001</v>
      </c>
      <c r="F21" s="472">
        <f>IF(E$9=0,"N.D.",E21/E$9)</f>
        <v>-2.451144701825296E-2</v>
      </c>
      <c r="G21" s="314">
        <f>+G56+G91+G126+G161+G235+G199+G269</f>
        <v>-10.03059</v>
      </c>
      <c r="H21" s="472">
        <f>IF(G$9=0,"N.D.",G21/G$9)</f>
        <v>-6.0760419596104726E-3</v>
      </c>
      <c r="I21" s="314">
        <f t="shared" si="16"/>
        <v>22.00723</v>
      </c>
      <c r="J21" s="472">
        <f t="shared" si="17"/>
        <v>-0.52745862367980934</v>
      </c>
      <c r="K21" s="314">
        <f t="shared" si="18"/>
        <v>-9.6853200000000008</v>
      </c>
      <c r="L21" s="472">
        <f t="shared" si="19"/>
        <v>0.96557829599255873</v>
      </c>
      <c r="M21" s="175"/>
      <c r="N21" s="9" t="s">
        <v>52</v>
      </c>
      <c r="O21" s="314">
        <f t="shared" ref="O21:P23" si="25">C56</f>
        <v>-4.2791399999999999</v>
      </c>
      <c r="P21" s="472" t="str">
        <f t="shared" si="25"/>
        <v>N.D.</v>
      </c>
      <c r="Q21" s="314">
        <f t="shared" ref="Q21:R23" si="26">C91</f>
        <v>-1.7802100000000001</v>
      </c>
      <c r="R21" s="472">
        <f t="shared" si="26"/>
        <v>-6.1178054803778551E-3</v>
      </c>
      <c r="S21" s="314">
        <f>C126</f>
        <v>-2.7489400000000002</v>
      </c>
      <c r="T21" s="472">
        <f>+D126</f>
        <v>-4.4533634619910419E-3</v>
      </c>
      <c r="U21" s="314">
        <f>C161</f>
        <v>-4.7894700000000006</v>
      </c>
      <c r="V21" s="472">
        <f>+D161</f>
        <v>-2.1849566559730329E-2</v>
      </c>
      <c r="W21" s="314">
        <f>C199</f>
        <v>-6.4923799999999998</v>
      </c>
      <c r="X21" s="414">
        <f>+D199</f>
        <v>-2.1468427931461788E-2</v>
      </c>
      <c r="Y21" s="314">
        <f>C235</f>
        <v>0.37423000000000001</v>
      </c>
      <c r="Z21" s="472">
        <f>+D235</f>
        <v>2.8734151702162372E-3</v>
      </c>
      <c r="AA21" s="314">
        <f t="shared" si="7"/>
        <v>-19.715910000000001</v>
      </c>
      <c r="AB21" s="472">
        <f>IF(AA$9=0,"N.D.",AA21/AA$9)</f>
        <v>-1.2637454740899076E-2</v>
      </c>
      <c r="AD21" t="s">
        <v>52</v>
      </c>
      <c r="AE21" s="314">
        <f>+AE56+AE91+AE126+AE161+AE235+AE199</f>
        <v>-206.37445000000002</v>
      </c>
      <c r="AF21" s="472">
        <f>IF(AE$9=0,"N.D.",AE21/AE$9)</f>
        <v>-1.3219644645819194E-2</v>
      </c>
      <c r="AG21" s="314">
        <f>+AG56+AG91+AG126+AG161+AG235+AG199</f>
        <v>-412.94399999999996</v>
      </c>
      <c r="AH21" s="472">
        <f>IF(AG$9=0,"N.D.",AG21/AG$9)</f>
        <v>-1.9615487163960256E-2</v>
      </c>
      <c r="AI21" s="314">
        <f>+AI56+AI91+AI126+AI161+AI235+AI199+AI269</f>
        <v>-331.77011000000005</v>
      </c>
      <c r="AJ21" s="472">
        <f>IF(AI$9=0,"N.D.",AI21/AI$9)</f>
        <v>-1.6185438497325757E-2</v>
      </c>
      <c r="AK21" s="314">
        <f>AE21-AG21</f>
        <v>206.56954999999994</v>
      </c>
      <c r="AL21" s="472">
        <f>IF(AG21=0,"N.D.",AE21/AG21-1)</f>
        <v>-0.50023623057848021</v>
      </c>
      <c r="AM21" s="314">
        <f>AE21-AI21</f>
        <v>125.39566000000002</v>
      </c>
      <c r="AN21" s="472">
        <f>IF(AI21=0,"N.D.",AE21/AI21-1)</f>
        <v>-0.37795948525923573</v>
      </c>
      <c r="AO21" s="175"/>
      <c r="AP21" s="9" t="s">
        <v>52</v>
      </c>
      <c r="AQ21" s="314">
        <f t="shared" ref="AQ21:AR23" si="27">AE56</f>
        <v>-150.84214</v>
      </c>
      <c r="AR21" s="472">
        <f t="shared" si="27"/>
        <v>-2.434893688107893E-2</v>
      </c>
      <c r="AS21" s="314">
        <f t="shared" ref="AS21:AT23" si="28">AE91</f>
        <v>-9.3946200000000015</v>
      </c>
      <c r="AT21" s="472">
        <f t="shared" si="28"/>
        <v>-5.2759106239078733E-3</v>
      </c>
      <c r="AU21" s="314">
        <f t="shared" ref="AU21:AV23" si="29">AE126</f>
        <v>-18.278939999999999</v>
      </c>
      <c r="AV21" s="472">
        <f t="shared" si="29"/>
        <v>-4.9644556680964423E-3</v>
      </c>
      <c r="AW21" s="314">
        <f t="shared" ref="AW21:AX23" si="30">AE161</f>
        <v>-14.05786</v>
      </c>
      <c r="AX21" s="472">
        <f t="shared" si="30"/>
        <v>-9.9847606942323093E-3</v>
      </c>
      <c r="AY21" s="314">
        <f>AE199</f>
        <v>-15.731129999999999</v>
      </c>
      <c r="AZ21" s="472">
        <f>+AF199</f>
        <v>-8.6310428233186687E-3</v>
      </c>
      <c r="BA21" s="314">
        <f t="shared" ref="BA21:BB23" si="31">AE235</f>
        <v>1.93024</v>
      </c>
      <c r="BB21" s="472">
        <f t="shared" si="31"/>
        <v>2.6697801561408664E-3</v>
      </c>
      <c r="BC21" s="314">
        <f t="shared" si="8"/>
        <v>-206.37445000000002</v>
      </c>
      <c r="BD21" s="29">
        <f>IF(BC$9=0,"N.D.",BC21/BC$9)</f>
        <v>-1.3219644645819192E-2</v>
      </c>
      <c r="BF21" s="175" t="s">
        <v>52</v>
      </c>
      <c r="BG21" s="570">
        <f>+BG56+BG91+BG126+BG161+BG235+BG199</f>
        <v>-8</v>
      </c>
      <c r="BH21" s="177">
        <f>IF(BG$9=0,"N.D.",BG21/BG$9)</f>
        <v>-5.1646223369916072E-3</v>
      </c>
      <c r="BI21" s="570">
        <f ca="1">+BI56+BI91+BI126+BI161+BI235+BI199</f>
        <v>-7.444</v>
      </c>
      <c r="BJ21" s="177">
        <f ca="1">IF(BI$9=0,"N.D.",BI21/BI$9)</f>
        <v>-4.482522737783259E-3</v>
      </c>
      <c r="BK21" s="570">
        <f ca="1">+BK56+BK91+BK126+BK161+BK235+BK199</f>
        <v>-5.7514500000000002</v>
      </c>
      <c r="BL21" s="177">
        <f ca="1">IF(BK$9=0,"N.D.",BK21/BK$9)</f>
        <v>-3.483947756672504E-3</v>
      </c>
      <c r="BM21" s="570">
        <f ca="1">BG21-BI21</f>
        <v>-0.55600000000000005</v>
      </c>
      <c r="BN21" s="177">
        <f ca="1">IF(BI21=0,"N.D.",BG21/BI21-1)</f>
        <v>7.4691026329930077E-2</v>
      </c>
      <c r="BO21" s="570">
        <f ca="1">BG21-BK21</f>
        <v>-2.2485499999999998</v>
      </c>
      <c r="BP21" s="177">
        <f ca="1">IF(BK21=0,"N.D.",BG21/BK21-1)</f>
        <v>0.3909535856175399</v>
      </c>
      <c r="BQ21" s="353"/>
      <c r="BS21" s="9" t="s">
        <v>52</v>
      </c>
      <c r="BT21" s="4"/>
      <c r="BU21" s="177" t="str">
        <f>IF(BT$9=0,"N.D.",BT21/BT$9)</f>
        <v>N.D.</v>
      </c>
      <c r="BV21" s="4">
        <f t="shared" si="20"/>
        <v>-2</v>
      </c>
      <c r="BW21" s="177">
        <f>IF(BV$9=0,"N.D.",BV21/BV$9)</f>
        <v>-6.6445182724252493E-3</v>
      </c>
      <c r="BX21" s="4">
        <f t="shared" si="21"/>
        <v>-2</v>
      </c>
      <c r="BY21" s="177">
        <f>IF(BX$9=0,"N.D.",BX21/BX$9)</f>
        <v>-3.3057851239669421E-3</v>
      </c>
      <c r="BZ21" s="4">
        <f t="shared" si="22"/>
        <v>-2</v>
      </c>
      <c r="CA21" s="177">
        <f>IF(BZ$9=0,"N.D.",BZ21/BZ$9)</f>
        <v>-9.2592592592592587E-3</v>
      </c>
      <c r="CB21" s="4">
        <f t="shared" si="23"/>
        <v>-2</v>
      </c>
      <c r="CC21" s="177">
        <f>IF(CB$9=0,"N.D.",CB21/CB$9)</f>
        <v>-6.8728522336769758E-3</v>
      </c>
      <c r="CD21" s="4">
        <f t="shared" si="24"/>
        <v>0</v>
      </c>
      <c r="CE21" s="177">
        <f>IF(CD$9=0,"N.D.",CD21/CD$9)</f>
        <v>0</v>
      </c>
      <c r="CF21" s="4">
        <f>+BT21+BV21+BX21+BZ21+CB21+CD21</f>
        <v>-8</v>
      </c>
      <c r="CG21" s="177">
        <f>IF(CF$9=0,"N.D.",CF21/CF$9)</f>
        <v>-5.1646223369916072E-3</v>
      </c>
    </row>
    <row r="22" spans="1:85" ht="12.5" customHeight="1" x14ac:dyDescent="0.25">
      <c r="A22" s="238"/>
      <c r="B22" t="s">
        <v>184</v>
      </c>
      <c r="C22" s="314">
        <f>+C57+C92+C127+C162+C236+C200</f>
        <v>47.685090000000002</v>
      </c>
      <c r="D22" s="472">
        <f>IF(C$9=0,"N.D.",C22/C$9)</f>
        <v>3.0565069869496211E-2</v>
      </c>
      <c r="E22" s="314">
        <f>+E57+E92+E127+E162+E236+E200</f>
        <v>42.837999999999994</v>
      </c>
      <c r="F22" s="472">
        <f>IF(E$9=0,"N.D.",E22/E$9)</f>
        <v>2.5166403280479852E-2</v>
      </c>
      <c r="G22" s="314">
        <f>+G57+G92+G127+G162+G236+G200+G270</f>
        <v>51.158589999999997</v>
      </c>
      <c r="H22" s="472">
        <f>IF(G$9=0,"N.D.",G22/G$9)</f>
        <v>3.0989377437868431E-2</v>
      </c>
      <c r="I22" s="314">
        <f>C22-E22</f>
        <v>4.8470900000000086</v>
      </c>
      <c r="J22" s="472">
        <f>IF(E22=0,"N.D.",C22/E22-1)</f>
        <v>0.11314930669032197</v>
      </c>
      <c r="K22" s="314">
        <f>C22-G22</f>
        <v>-3.4734999999999943</v>
      </c>
      <c r="L22" s="472">
        <f>IF(G22=0,"N.D.",C22/G22-1)</f>
        <v>-6.7896710992230158E-2</v>
      </c>
      <c r="M22" s="175"/>
      <c r="N22" s="9" t="s">
        <v>184</v>
      </c>
      <c r="O22" s="314">
        <f t="shared" si="25"/>
        <v>0</v>
      </c>
      <c r="P22" s="414" t="str">
        <f t="shared" si="25"/>
        <v>N.D.</v>
      </c>
      <c r="Q22" s="314">
        <f t="shared" si="26"/>
        <v>0</v>
      </c>
      <c r="R22" s="414">
        <f t="shared" si="26"/>
        <v>0</v>
      </c>
      <c r="S22" s="570">
        <v>0</v>
      </c>
      <c r="T22" s="414">
        <f>+D127</f>
        <v>2.9523301343747917E-2</v>
      </c>
      <c r="U22" s="314">
        <f>C162</f>
        <v>0</v>
      </c>
      <c r="V22" s="414">
        <f>+D162</f>
        <v>0</v>
      </c>
      <c r="W22" s="314">
        <f>C200</f>
        <v>0</v>
      </c>
      <c r="X22" s="414">
        <f>+D200</f>
        <v>0</v>
      </c>
      <c r="Y22" s="314">
        <f>C236+18+2</f>
        <v>49.46116</v>
      </c>
      <c r="Z22" s="414">
        <f>+D236</f>
        <v>0.22620886640880689</v>
      </c>
      <c r="AA22" s="314">
        <f t="shared" si="7"/>
        <v>49.46116</v>
      </c>
      <c r="AB22" s="414">
        <f>IF(AA$9=0,"N.D.",AA22/AA$9)</f>
        <v>3.1703490781423108E-2</v>
      </c>
      <c r="AD22" t="s">
        <v>184</v>
      </c>
      <c r="AE22" s="314">
        <f>+AE57+AE92+AE127+AE162+AE236+AE200</f>
        <v>431.54742999999996</v>
      </c>
      <c r="AF22" s="472">
        <f>IF(AE$9=0,"N.D.",AE22/AE$9)</f>
        <v>2.7643459122078981E-2</v>
      </c>
      <c r="AG22" s="314">
        <f>+AG57+AG92+AG127+AG162+AG236+AG200</f>
        <v>521.41899999999998</v>
      </c>
      <c r="AH22" s="472">
        <f>IF(AG$9=0,"N.D.",AG22/AG$9)</f>
        <v>2.4768219665487316E-2</v>
      </c>
      <c r="AI22" s="314">
        <f>+AI57+AI92+AI127+AI162+AI236+AI200+AI270</f>
        <v>470.08461999999997</v>
      </c>
      <c r="AJ22" s="472">
        <f>IF(AI$9=0,"N.D.",AI22/AI$9)</f>
        <v>2.2933125909228975E-2</v>
      </c>
      <c r="AK22" s="314">
        <f>AE22-AG22</f>
        <v>-89.87157000000002</v>
      </c>
      <c r="AL22" s="472">
        <f>IF(AG22=0,"N.D.",AE22/AG22-1)</f>
        <v>-0.17235959947757951</v>
      </c>
      <c r="AM22" s="314">
        <f>AE22-AI22</f>
        <v>-38.53719000000001</v>
      </c>
      <c r="AN22" s="472">
        <f>IF(AI22=0,"N.D.",AE22/AI22-1)</f>
        <v>-8.1979261521042734E-2</v>
      </c>
      <c r="AO22" s="175"/>
      <c r="AP22" s="9" t="s">
        <v>184</v>
      </c>
      <c r="AQ22" s="314">
        <f t="shared" si="27"/>
        <v>118.64276</v>
      </c>
      <c r="AR22" s="414">
        <f t="shared" si="27"/>
        <v>1.915131325130362E-2</v>
      </c>
      <c r="AS22" s="314">
        <f t="shared" si="28"/>
        <v>4.0886700000000005</v>
      </c>
      <c r="AT22" s="414">
        <f t="shared" si="28"/>
        <v>2.2961500827764617E-3</v>
      </c>
      <c r="AU22" s="314">
        <f t="shared" si="29"/>
        <v>116.52383</v>
      </c>
      <c r="AV22" s="414">
        <f t="shared" si="29"/>
        <v>3.1647206474325444E-2</v>
      </c>
      <c r="AW22" s="314">
        <f t="shared" si="30"/>
        <v>0</v>
      </c>
      <c r="AX22" s="414">
        <f t="shared" si="30"/>
        <v>0</v>
      </c>
      <c r="AY22" s="314">
        <f>AE200</f>
        <v>0</v>
      </c>
      <c r="AZ22" s="414">
        <f>+AF200</f>
        <v>0</v>
      </c>
      <c r="BA22" s="314">
        <f t="shared" si="31"/>
        <v>192.29217</v>
      </c>
      <c r="BB22" s="414">
        <f t="shared" si="31"/>
        <v>0.26596579681659588</v>
      </c>
      <c r="BC22" s="314">
        <f t="shared" si="8"/>
        <v>431.54742999999996</v>
      </c>
      <c r="BD22" s="25">
        <f>IF(BC$9=0,"N.D.",BC22/BC$9)</f>
        <v>2.7643459122078978E-2</v>
      </c>
      <c r="BF22" s="175" t="s">
        <v>184</v>
      </c>
      <c r="BG22" s="570">
        <f>+BG57+BG92+BG127+BG162+BG236+BG200</f>
        <v>48</v>
      </c>
      <c r="BH22" s="177">
        <f>IF(BG$9=0,"N.D.",BG22/BG$9)</f>
        <v>3.0987734021949646E-2</v>
      </c>
      <c r="BI22" s="570">
        <f ca="1">+BI57+BI92+BI127+BI162+BI236+BI200</f>
        <v>46.456999999999994</v>
      </c>
      <c r="BJ22" s="177">
        <f ca="1">IF(BI$9=0,"N.D.",BI22/BI$9)</f>
        <v>2.7974819831971632E-2</v>
      </c>
      <c r="BK22" s="570">
        <f ca="1">+BK57+BK92+BK127+BK162+BK236+BK200</f>
        <v>51.158589999999997</v>
      </c>
      <c r="BL22" s="177">
        <f ca="1">IF(BK$9=0,"N.D.",BK22/BK$9)</f>
        <v>3.0989377437868431E-2</v>
      </c>
      <c r="BM22" s="570">
        <f ca="1">BG22-BI22</f>
        <v>1.5430000000000064</v>
      </c>
      <c r="BN22" s="177">
        <f ca="1">IF(BI22=0,"N.D.",BG22/BI22-1)</f>
        <v>3.3213509266633912E-2</v>
      </c>
      <c r="BO22" s="570">
        <f ca="1">BG22-BK22</f>
        <v>-3.1585899999999967</v>
      </c>
      <c r="BP22" s="177">
        <f ca="1">IF(BK22=0,"N.D.",BG22/BK22-1)</f>
        <v>-6.1741146501496535E-2</v>
      </c>
      <c r="BQ22" s="353"/>
      <c r="BR22" s="1" t="s">
        <v>21</v>
      </c>
      <c r="BS22" s="9" t="s">
        <v>184</v>
      </c>
      <c r="BT22" s="4"/>
      <c r="BU22" s="177" t="str">
        <f>IF(BT$9=0,"N.D.",BT22/BT$9)</f>
        <v>N.D.</v>
      </c>
      <c r="BV22" s="4">
        <f t="shared" si="20"/>
        <v>0</v>
      </c>
      <c r="BW22" s="177">
        <f>IF(BV$9=0,"N.D.",BV22/BV$9)</f>
        <v>0</v>
      </c>
      <c r="BX22" s="4">
        <f t="shared" si="21"/>
        <v>0</v>
      </c>
      <c r="BY22" s="177">
        <f>IF(BX$9=0,"N.D.",BX22/BX$9)</f>
        <v>0</v>
      </c>
      <c r="BZ22" s="4">
        <f t="shared" si="22"/>
        <v>0</v>
      </c>
      <c r="CA22" s="177">
        <f>IF(BZ$9=0,"N.D.",BZ22/BZ$9)</f>
        <v>0</v>
      </c>
      <c r="CB22" s="4">
        <f t="shared" si="23"/>
        <v>0</v>
      </c>
      <c r="CC22" s="177">
        <f>IF(CB$9=0,"N.D.",CB22/CB$9)</f>
        <v>0</v>
      </c>
      <c r="CD22" s="4">
        <f t="shared" si="24"/>
        <v>48</v>
      </c>
      <c r="CE22" s="177">
        <f>IF(CD$9=0,"N.D.",CD22/CD$9)</f>
        <v>0.35294117647058826</v>
      </c>
      <c r="CF22" s="4">
        <f>+BT22+BV22+BX22+BZ22+CB22+CD22</f>
        <v>48</v>
      </c>
      <c r="CG22" s="177">
        <f>IF(CF$9=0,"N.D.",CF22/CF$9)</f>
        <v>3.0987734021949646E-2</v>
      </c>
    </row>
    <row r="23" spans="1:85" ht="12.5" customHeight="1" x14ac:dyDescent="0.25">
      <c r="A23" s="238"/>
      <c r="B23" t="s">
        <v>47</v>
      </c>
      <c r="C23" s="314">
        <f>+C58+C93+C128+C163+C237+C201</f>
        <v>-30</v>
      </c>
      <c r="D23" s="472">
        <f>IF(C$9=0,"N.D.",C23/C$9)</f>
        <v>-1.9229325059151328E-2</v>
      </c>
      <c r="E23" s="314">
        <f>+E58+E93+E128+E163+E237+E201</f>
        <v>0</v>
      </c>
      <c r="F23" s="472">
        <f>IF(E$9=0,"N.D.",E23/E$9)</f>
        <v>0</v>
      </c>
      <c r="G23" s="314">
        <f>+G58+G93+G128+G163+G237+G201+G271</f>
        <v>0</v>
      </c>
      <c r="H23" s="472">
        <f>IF(G$9=0,"N.D.",G23/G$9)</f>
        <v>0</v>
      </c>
      <c r="I23" s="314">
        <f>C23-E23</f>
        <v>-30</v>
      </c>
      <c r="J23" s="472" t="str">
        <f>IF(E23=0,"N.D.",C23/E23-1)</f>
        <v>N.D.</v>
      </c>
      <c r="K23" s="314">
        <f>C23-G23</f>
        <v>-30</v>
      </c>
      <c r="L23" s="472" t="str">
        <f>IF(G23=0,"N.D.",C23/G23-1)</f>
        <v>N.D.</v>
      </c>
      <c r="M23" s="175"/>
      <c r="N23" s="9" t="s">
        <v>47</v>
      </c>
      <c r="O23" s="314">
        <f t="shared" si="25"/>
        <v>0</v>
      </c>
      <c r="P23" s="414" t="str">
        <f t="shared" si="25"/>
        <v>N.D.</v>
      </c>
      <c r="Q23" s="314">
        <f t="shared" si="26"/>
        <v>0</v>
      </c>
      <c r="R23" s="414">
        <f t="shared" si="26"/>
        <v>0</v>
      </c>
      <c r="S23" s="570">
        <v>0</v>
      </c>
      <c r="T23" s="414">
        <f>+D128</f>
        <v>-4.860088028830431E-2</v>
      </c>
      <c r="U23" s="314">
        <f>C163</f>
        <v>0</v>
      </c>
      <c r="V23" s="414">
        <f>+D163</f>
        <v>0</v>
      </c>
      <c r="W23" s="314">
        <f>C201</f>
        <v>0</v>
      </c>
      <c r="X23" s="414">
        <f>+D201</f>
        <v>0</v>
      </c>
      <c r="Y23" s="314">
        <f>C237</f>
        <v>0</v>
      </c>
      <c r="Z23" s="414">
        <f>+D237</f>
        <v>0</v>
      </c>
      <c r="AA23" s="314">
        <f t="shared" si="7"/>
        <v>0</v>
      </c>
      <c r="AB23" s="414">
        <f>IF(AA$9=0,"N.D.",AA23/AA$9)</f>
        <v>0</v>
      </c>
      <c r="AD23" t="s">
        <v>47</v>
      </c>
      <c r="AE23" s="314">
        <f>+AE58+AE93+AE128+AE163+AE237+AE201</f>
        <v>0</v>
      </c>
      <c r="AF23" s="472">
        <f>IF(AE$9=0,"N.D.",AE23/AE$9)</f>
        <v>0</v>
      </c>
      <c r="AG23" s="314">
        <f>+AG58+AG93+AG128+AG163+AG237+AG201</f>
        <v>0</v>
      </c>
      <c r="AH23" s="472">
        <f>IF(AG$9=0,"N.D.",AG23/AG$9)</f>
        <v>0</v>
      </c>
      <c r="AI23" s="314">
        <f>+AI58+AI93+AI128+AI163+AI237+AI201+AI271</f>
        <v>0</v>
      </c>
      <c r="AJ23" s="472">
        <f>IF(AI$9=0,"N.D.",AI23/AI$9)</f>
        <v>0</v>
      </c>
      <c r="AK23" s="314">
        <f>AE23-AG23</f>
        <v>0</v>
      </c>
      <c r="AL23" s="472" t="str">
        <f>IF(AG23=0,"N.D.",AE23/AG23-1)</f>
        <v>N.D.</v>
      </c>
      <c r="AM23" s="314">
        <f>AE23-AI23</f>
        <v>0</v>
      </c>
      <c r="AN23" s="472" t="str">
        <f>IF(AI23=0,"N.D.",AE23/AI23-1)</f>
        <v>N.D.</v>
      </c>
      <c r="AO23" s="175"/>
      <c r="AP23" s="9" t="s">
        <v>47</v>
      </c>
      <c r="AQ23" s="314">
        <f t="shared" si="27"/>
        <v>0</v>
      </c>
      <c r="AR23" s="414">
        <f t="shared" si="27"/>
        <v>0</v>
      </c>
      <c r="AS23" s="314">
        <f t="shared" si="28"/>
        <v>0</v>
      </c>
      <c r="AT23" s="414">
        <f t="shared" si="28"/>
        <v>0</v>
      </c>
      <c r="AU23" s="314">
        <f t="shared" si="29"/>
        <v>0</v>
      </c>
      <c r="AV23" s="414">
        <f t="shared" si="29"/>
        <v>0</v>
      </c>
      <c r="AW23" s="314">
        <f t="shared" si="30"/>
        <v>0</v>
      </c>
      <c r="AX23" s="414">
        <f t="shared" si="30"/>
        <v>0</v>
      </c>
      <c r="AY23" s="314">
        <f>AE201</f>
        <v>0</v>
      </c>
      <c r="AZ23" s="414">
        <f>+AF201</f>
        <v>0</v>
      </c>
      <c r="BA23" s="314">
        <f t="shared" si="31"/>
        <v>0</v>
      </c>
      <c r="BB23" s="414">
        <f t="shared" si="31"/>
        <v>0</v>
      </c>
      <c r="BC23" s="314">
        <f t="shared" si="8"/>
        <v>0</v>
      </c>
      <c r="BD23" s="25">
        <f>IF(BC$9=0,"N.D.",BC23/BC$9)</f>
        <v>0</v>
      </c>
      <c r="BF23" s="175" t="s">
        <v>47</v>
      </c>
      <c r="BG23" s="570">
        <f>+BG58+BG93+BG128+BG163+BG237+BG201</f>
        <v>0</v>
      </c>
      <c r="BH23" s="177">
        <f>IF(BG$9=0,"N.D.",BG23/BG$9)</f>
        <v>0</v>
      </c>
      <c r="BI23" s="570">
        <f ca="1">+BI58+BI93+BI128+BI163+BI237+BI201</f>
        <v>0</v>
      </c>
      <c r="BJ23" s="177">
        <f ca="1">IF(BI$9=0,"N.D.",BI23/BI$9)</f>
        <v>0</v>
      </c>
      <c r="BK23" s="570">
        <f ca="1">+BK58+BK93+BK128+BK163+BK237+BK201</f>
        <v>0</v>
      </c>
      <c r="BL23" s="177">
        <f ca="1">IF(BK$9=0,"N.D.",BK23/BK$9)</f>
        <v>0</v>
      </c>
      <c r="BM23" s="570">
        <f ca="1">BG23-BI23</f>
        <v>0</v>
      </c>
      <c r="BN23" s="177" t="str">
        <f ca="1">IF(BI23=0,"N.D.",BG23/BI23-1)</f>
        <v>N.D.</v>
      </c>
      <c r="BO23" s="570">
        <f ca="1">BG23-BK23</f>
        <v>0</v>
      </c>
      <c r="BP23" s="177" t="str">
        <f ca="1">IF(BK23=0,"N.D.",BG23/BK23-1)</f>
        <v>N.D.</v>
      </c>
      <c r="BQ23" s="353"/>
      <c r="BS23" s="9" t="s">
        <v>47</v>
      </c>
      <c r="BT23" s="4"/>
      <c r="BU23" s="177" t="str">
        <f>IF(BT$9=0,"N.D.",BT23/BT$9)</f>
        <v>N.D.</v>
      </c>
      <c r="BV23" s="4">
        <f t="shared" si="20"/>
        <v>0</v>
      </c>
      <c r="BW23" s="177">
        <f>IF(BV$9=0,"N.D.",BV23/BV$9)</f>
        <v>0</v>
      </c>
      <c r="BX23" s="4">
        <f t="shared" si="21"/>
        <v>0</v>
      </c>
      <c r="BY23" s="177">
        <f>IF(BX$9=0,"N.D.",BX23/BX$9)</f>
        <v>0</v>
      </c>
      <c r="BZ23" s="4">
        <f t="shared" si="22"/>
        <v>0</v>
      </c>
      <c r="CA23" s="177">
        <f>IF(BZ$9=0,"N.D.",BZ23/BZ$9)</f>
        <v>0</v>
      </c>
      <c r="CB23" s="4">
        <f t="shared" si="23"/>
        <v>0</v>
      </c>
      <c r="CC23" s="177">
        <f>IF(CB$9=0,"N.D.",CB23/CB$9)</f>
        <v>0</v>
      </c>
      <c r="CD23" s="4">
        <f t="shared" si="24"/>
        <v>0</v>
      </c>
      <c r="CE23" s="177">
        <f>IF(CD$9=0,"N.D.",CD23/CD$9)</f>
        <v>0</v>
      </c>
      <c r="CF23" s="4">
        <f>+BT23+BV23+BX23+BZ23+CB23+CD23</f>
        <v>0</v>
      </c>
      <c r="CG23" s="177">
        <f>IF(CF$9=0,"N.D.",CF23/CF$9)</f>
        <v>0</v>
      </c>
    </row>
    <row r="24" spans="1:85" ht="12.5" hidden="1" customHeight="1" x14ac:dyDescent="0.25">
      <c r="A24" s="238"/>
      <c r="C24" s="314"/>
      <c r="D24" s="472"/>
      <c r="E24" s="314"/>
      <c r="F24" s="472"/>
      <c r="G24" s="314"/>
      <c r="H24" s="472"/>
      <c r="I24" s="314"/>
      <c r="J24" s="472"/>
      <c r="K24" s="314"/>
      <c r="L24" s="472"/>
      <c r="M24" s="175"/>
      <c r="O24" s="314"/>
      <c r="P24" s="414"/>
      <c r="Q24" s="314"/>
      <c r="R24" s="414"/>
      <c r="S24" s="570"/>
      <c r="T24" s="414"/>
      <c r="U24" s="314"/>
      <c r="V24" s="414"/>
      <c r="W24" s="314"/>
      <c r="X24" s="414"/>
      <c r="Y24" s="314"/>
      <c r="Z24" s="414"/>
      <c r="AA24" s="314"/>
      <c r="AB24" s="414"/>
      <c r="AE24" s="314"/>
      <c r="AF24" s="474"/>
      <c r="AG24" s="314"/>
      <c r="AH24" s="474"/>
      <c r="AI24" s="314"/>
      <c r="AJ24" s="474"/>
      <c r="AK24" s="460"/>
      <c r="AL24" s="474"/>
      <c r="AM24" s="460"/>
      <c r="AN24" s="474"/>
      <c r="AO24" s="175"/>
      <c r="AP24" s="1"/>
      <c r="AQ24" s="314"/>
      <c r="AR24" s="414"/>
      <c r="AS24" s="314"/>
      <c r="AT24" s="414"/>
      <c r="AU24" s="314"/>
      <c r="AV24" s="414"/>
      <c r="AW24" s="314"/>
      <c r="AX24" s="414"/>
      <c r="AY24" s="314"/>
      <c r="AZ24" s="414"/>
      <c r="BA24" s="314"/>
      <c r="BB24" s="414"/>
      <c r="BC24" s="314"/>
      <c r="BD24" s="25"/>
      <c r="BF24" s="175"/>
      <c r="BG24" s="570"/>
      <c r="BH24" s="184"/>
      <c r="BI24" s="570"/>
      <c r="BJ24" s="184"/>
      <c r="BK24" s="570"/>
      <c r="BL24" s="184"/>
      <c r="BM24" s="572"/>
      <c r="BN24" s="184"/>
      <c r="BO24" s="572"/>
      <c r="BP24" s="184"/>
      <c r="BQ24" s="353"/>
      <c r="BT24" s="4"/>
      <c r="BU24" s="184"/>
      <c r="BV24" s="4">
        <f t="shared" si="20"/>
        <v>0</v>
      </c>
      <c r="BW24" s="184"/>
      <c r="BX24" s="4">
        <f t="shared" si="21"/>
        <v>0</v>
      </c>
      <c r="BY24" s="184"/>
      <c r="BZ24" s="4">
        <f t="shared" si="22"/>
        <v>0</v>
      </c>
      <c r="CA24" s="184"/>
      <c r="CB24" s="4">
        <f t="shared" si="23"/>
        <v>0</v>
      </c>
      <c r="CC24" s="184"/>
      <c r="CD24" s="4">
        <f t="shared" si="24"/>
        <v>0</v>
      </c>
      <c r="CE24" s="184"/>
      <c r="CF24" s="4"/>
      <c r="CG24" s="184"/>
    </row>
    <row r="25" spans="1:85" ht="12.5" customHeight="1" x14ac:dyDescent="0.3">
      <c r="A25" s="238"/>
      <c r="B25" t="s">
        <v>48</v>
      </c>
      <c r="C25" s="381">
        <f>+C21+C22</f>
        <v>27.969180000000001</v>
      </c>
      <c r="D25" s="402">
        <f>IF(C$9=0,"N.D.",C25/C$9)</f>
        <v>1.7927615128597137E-2</v>
      </c>
      <c r="E25" s="381">
        <f>+E21+E22</f>
        <v>1.1148599999999931</v>
      </c>
      <c r="F25" s="402">
        <f>IF(E$9=0,"N.D.",E25/E$9)</f>
        <v>6.5495626222689194E-4</v>
      </c>
      <c r="G25" s="381">
        <f>+G21+G22</f>
        <v>41.128</v>
      </c>
      <c r="H25" s="402">
        <f>IF(G$9=0,"N.D.",G25/G$9)</f>
        <v>2.4913335478257959E-2</v>
      </c>
      <c r="I25" s="381">
        <f t="shared" si="16"/>
        <v>26.854320000000008</v>
      </c>
      <c r="J25" s="402">
        <f t="shared" si="17"/>
        <v>24.087616382326189</v>
      </c>
      <c r="K25" s="381">
        <f t="shared" si="18"/>
        <v>-13.158819999999999</v>
      </c>
      <c r="L25" s="402">
        <f t="shared" si="19"/>
        <v>-0.31994796732153274</v>
      </c>
      <c r="M25" s="175"/>
      <c r="N25" s="9" t="s">
        <v>48</v>
      </c>
      <c r="O25" s="381">
        <f>+O22+O21</f>
        <v>-4.2791399999999999</v>
      </c>
      <c r="P25" s="402" t="str">
        <f>D60</f>
        <v>N.D.</v>
      </c>
      <c r="Q25" s="381">
        <f>+Q22+Q21</f>
        <v>-1.7802100000000001</v>
      </c>
      <c r="R25" s="402">
        <f>D95</f>
        <v>-6.1178054803778551E-3</v>
      </c>
      <c r="S25" s="106">
        <f>+S22+S21</f>
        <v>-2.7489400000000002</v>
      </c>
      <c r="T25" s="415">
        <f>+D130</f>
        <v>2.5069937881756873E-2</v>
      </c>
      <c r="U25" s="381">
        <f>+U22+U21</f>
        <v>-4.7894700000000006</v>
      </c>
      <c r="V25" s="402">
        <f>+D165</f>
        <v>-2.1849566559730329E-2</v>
      </c>
      <c r="W25" s="381">
        <f>+W22+W21</f>
        <v>-6.4923799999999998</v>
      </c>
      <c r="X25" s="415">
        <f>+D203</f>
        <v>-2.1468427931461788E-2</v>
      </c>
      <c r="Y25" s="381">
        <f>+Y22+Y21</f>
        <v>49.835389999999997</v>
      </c>
      <c r="Z25" s="402">
        <f>+D239</f>
        <v>0.22908228157902313</v>
      </c>
      <c r="AA25" s="381">
        <f t="shared" si="7"/>
        <v>29.745249999999995</v>
      </c>
      <c r="AB25" s="402">
        <f>IF(AA$9=0,"N.D.",AA25/AA$9)</f>
        <v>1.906603604052403E-2</v>
      </c>
      <c r="AD25" t="s">
        <v>48</v>
      </c>
      <c r="AE25" s="381">
        <f>+AE21+AE22</f>
        <v>225.17297999999994</v>
      </c>
      <c r="AF25" s="402">
        <f>IF(AE$9=0,"N.D.",AE25/AE$9)</f>
        <v>1.4423814476259787E-2</v>
      </c>
      <c r="AG25" s="381">
        <f>+AG21+AG22</f>
        <v>108.47500000000002</v>
      </c>
      <c r="AH25" s="402">
        <f>IF(AG$9=0,"N.D.",AG25/AG$9)</f>
        <v>5.1527325015270579E-3</v>
      </c>
      <c r="AI25" s="381">
        <f>+AI60+AI95+AI130+AI165+AI239+AI203+AI273</f>
        <v>138.31450999999998</v>
      </c>
      <c r="AJ25" s="402">
        <f>IF(AI$9=0,"N.D.",AI25/AI$9)</f>
        <v>6.7476874119032229E-3</v>
      </c>
      <c r="AK25" s="381">
        <f>AE25-AG25</f>
        <v>116.69797999999992</v>
      </c>
      <c r="AL25" s="402">
        <f>IF(AG25=0,"N.D.",AE25/AG25-1)</f>
        <v>1.075805300760543</v>
      </c>
      <c r="AM25" s="381">
        <f>AE25-AI25</f>
        <v>86.858469999999954</v>
      </c>
      <c r="AN25" s="402">
        <f>IF(AI25=0,"N.D.",AE25/AI25-1)</f>
        <v>0.627978004621496</v>
      </c>
      <c r="AO25" s="175"/>
      <c r="AP25" s="9" t="s">
        <v>48</v>
      </c>
      <c r="AQ25" s="381">
        <f>+AQ22+AQ21</f>
        <v>-32.199380000000005</v>
      </c>
      <c r="AR25" s="402">
        <f>AF60</f>
        <v>-5.1976236297753093E-3</v>
      </c>
      <c r="AS25" s="381">
        <f>+AS22+AS21</f>
        <v>-5.3059500000000011</v>
      </c>
      <c r="AT25" s="402">
        <f>AF95</f>
        <v>-2.9797605411314115E-3</v>
      </c>
      <c r="AU25" s="381">
        <f>+AU22+AU21</f>
        <v>98.244889999999998</v>
      </c>
      <c r="AV25" s="402">
        <f>AF130</f>
        <v>2.6682750806228998E-2</v>
      </c>
      <c r="AW25" s="381">
        <f>+AW22+AW21</f>
        <v>-14.05786</v>
      </c>
      <c r="AX25" s="402">
        <f>AF165</f>
        <v>-9.9847606942323093E-3</v>
      </c>
      <c r="AY25" s="381">
        <f>+AY22+AY21</f>
        <v>-15.731129999999999</v>
      </c>
      <c r="AZ25" s="402">
        <f>+AF203</f>
        <v>-8.6310428233186687E-3</v>
      </c>
      <c r="BA25" s="381">
        <f>+BA22+BA21</f>
        <v>194.22241</v>
      </c>
      <c r="BB25" s="402">
        <f>AF239</f>
        <v>0.26863557697273677</v>
      </c>
      <c r="BC25" s="381">
        <f>+BC22+BC21</f>
        <v>225.17297999999994</v>
      </c>
      <c r="BD25" s="30">
        <f>IF(BC$9=0,"N.D.",BC25/BC$9)</f>
        <v>1.4423814476259785E-2</v>
      </c>
      <c r="BF25" s="175" t="s">
        <v>48</v>
      </c>
      <c r="BG25" s="106">
        <f>+BG21+BG22</f>
        <v>40</v>
      </c>
      <c r="BH25" s="179">
        <f>IF(BG$9=0,"N.D.",BG25/BG$9)</f>
        <v>2.5823111684958037E-2</v>
      </c>
      <c r="BI25" s="106">
        <f ca="1">+BI21+BI22</f>
        <v>39.012999999999991</v>
      </c>
      <c r="BJ25" s="179">
        <f ca="1">IF(BI$9=0,"N.D.",BI25/BI$9)</f>
        <v>2.3492297094188371E-2</v>
      </c>
      <c r="BK25" s="106">
        <f ca="1">+BK21+BK22</f>
        <v>45.407139999999998</v>
      </c>
      <c r="BL25" s="179">
        <f ca="1">IF(BK$9=0,"N.D.",BK25/BK$9)</f>
        <v>2.7505429681195927E-2</v>
      </c>
      <c r="BM25" s="106">
        <f ca="1">BG25-BI25</f>
        <v>0.98700000000000898</v>
      </c>
      <c r="BN25" s="179">
        <f ca="1">IF(BI25=0,"N.D.",BG25/BI25-1)</f>
        <v>2.5299259221285508E-2</v>
      </c>
      <c r="BO25" s="106">
        <f ca="1">BG25-BK25</f>
        <v>-5.4071399999999983</v>
      </c>
      <c r="BP25" s="179">
        <f ca="1">IF(BK25=0,"N.D.",BG25/BK25-1)</f>
        <v>-0.11908127224044496</v>
      </c>
      <c r="BQ25" s="354"/>
      <c r="BS25" s="9" t="s">
        <v>48</v>
      </c>
      <c r="BT25" s="5"/>
      <c r="BU25" s="179" t="str">
        <f>IF(BT$9=0,"N.D.",BT25/BT$9)</f>
        <v>N.D.</v>
      </c>
      <c r="BV25" s="5">
        <f t="shared" si="20"/>
        <v>-2</v>
      </c>
      <c r="BW25" s="179">
        <f>IF(BV$9=0,"N.D.",BV25/BV$9)</f>
        <v>-6.6445182724252493E-3</v>
      </c>
      <c r="BX25" s="5">
        <f t="shared" si="21"/>
        <v>-2</v>
      </c>
      <c r="BY25" s="179">
        <f>IF(BX$9=0,"N.D.",BX25/BX$9)</f>
        <v>-3.3057851239669421E-3</v>
      </c>
      <c r="BZ25" s="5">
        <f t="shared" si="22"/>
        <v>-2</v>
      </c>
      <c r="CA25" s="179">
        <f>IF(BZ$9=0,"N.D.",BZ25/BZ$9)</f>
        <v>-9.2592592592592587E-3</v>
      </c>
      <c r="CB25" s="5">
        <f t="shared" si="23"/>
        <v>-2</v>
      </c>
      <c r="CC25" s="179">
        <f>IF(CB$9=0,"N.D.",CB25/CB$9)</f>
        <v>-6.8728522336769758E-3</v>
      </c>
      <c r="CD25" s="5">
        <f t="shared" si="24"/>
        <v>48</v>
      </c>
      <c r="CE25" s="179">
        <f>IF(CD$9=0,"N.D.",CD25/CD$9)</f>
        <v>0.35294117647058826</v>
      </c>
      <c r="CF25" s="5">
        <f>+CF22+CF21</f>
        <v>40</v>
      </c>
      <c r="CG25" s="179">
        <f>IF(CF$9=0,"N.D.",CF25/CF$9)</f>
        <v>2.5823111684958037E-2</v>
      </c>
    </row>
    <row r="26" spans="1:85" ht="12.5" customHeight="1" x14ac:dyDescent="0.3">
      <c r="A26" s="238"/>
      <c r="B26" t="s">
        <v>49</v>
      </c>
      <c r="C26" s="381">
        <f>+C18-C25</f>
        <v>25.614649999999962</v>
      </c>
      <c r="D26" s="402">
        <f>IF(C$9=0,"N.D.",C26/C$9)</f>
        <v>1.641841437087966E-2</v>
      </c>
      <c r="E26" s="381">
        <f>+E18-E25</f>
        <v>25.420429999999968</v>
      </c>
      <c r="F26" s="402">
        <f>IF(E$9=0,"N.D.",E26/E$9)</f>
        <v>1.493395566887361E-2</v>
      </c>
      <c r="G26" s="381">
        <f>+G18-G25</f>
        <v>-70.160590000000084</v>
      </c>
      <c r="H26" s="402">
        <f>IF(G$9=0,"N.D.",G26/G$9)</f>
        <v>-4.2499861797863081E-2</v>
      </c>
      <c r="I26" s="381">
        <f t="shared" si="16"/>
        <v>0.19421999999999429</v>
      </c>
      <c r="J26" s="402">
        <f t="shared" si="17"/>
        <v>7.6403113558658475E-3</v>
      </c>
      <c r="K26" s="381">
        <f t="shared" si="18"/>
        <v>95.775240000000053</v>
      </c>
      <c r="L26" s="402">
        <f t="shared" si="19"/>
        <v>-1.365086011961985</v>
      </c>
      <c r="M26" s="175"/>
      <c r="N26" s="9" t="s">
        <v>49</v>
      </c>
      <c r="O26" s="381">
        <f>+O18-O25</f>
        <v>-4.6715699999999991</v>
      </c>
      <c r="P26" s="402" t="str">
        <f>D61</f>
        <v>N.D.</v>
      </c>
      <c r="Q26" s="381">
        <f>+Q18-Q25</f>
        <v>-3.7776999999999639</v>
      </c>
      <c r="R26" s="402">
        <f>D96</f>
        <v>-1.2982307572265745E-2</v>
      </c>
      <c r="S26" s="381">
        <f>+S18-S25</f>
        <v>24.913379999999957</v>
      </c>
      <c r="T26" s="415">
        <f>+D131</f>
        <v>1.0837105288153175E-2</v>
      </c>
      <c r="U26" s="381">
        <f>+U18-U25</f>
        <v>-28.065700000000042</v>
      </c>
      <c r="V26" s="402">
        <f>+D166</f>
        <v>-0.12803574929907158</v>
      </c>
      <c r="W26" s="381">
        <f>C204</f>
        <v>-2.3491099999999934</v>
      </c>
      <c r="X26" s="415">
        <f>+D204</f>
        <v>-7.7678291686678934E-3</v>
      </c>
      <c r="Y26" s="381">
        <f>C240</f>
        <v>57.789280000000005</v>
      </c>
      <c r="Z26" s="402">
        <f>+D240</f>
        <v>0.44371801787102533</v>
      </c>
      <c r="AA26" s="381">
        <f>+AA18-AA25</f>
        <v>23.838579999999968</v>
      </c>
      <c r="AB26" s="402">
        <f>IF(AA$9=0,"N.D.",AA26/AA$9)</f>
        <v>1.5279993458952767E-2</v>
      </c>
      <c r="AD26" t="s">
        <v>49</v>
      </c>
      <c r="AE26" s="381">
        <f>+AE18-AE25</f>
        <v>191.66567999999961</v>
      </c>
      <c r="AF26" s="402">
        <f>IF(AE$9=0,"N.D.",AE26/AE$9)</f>
        <v>1.2277450917006875E-2</v>
      </c>
      <c r="AG26" s="381">
        <f>+AG18-AG25</f>
        <v>112.99499999999949</v>
      </c>
      <c r="AH26" s="402">
        <f>IF(AG$9=0,"N.D.",AG26/AG$9)</f>
        <v>5.3674395852504929E-3</v>
      </c>
      <c r="AI26" s="381">
        <f>+AI18-AI25</f>
        <v>-159.39411000000024</v>
      </c>
      <c r="AJ26" s="402">
        <f>IF(AI$9=0,"N.D.",AI26/AI$9)</f>
        <v>-7.7760578378835267E-3</v>
      </c>
      <c r="AK26" s="381">
        <f>AE26-AG26</f>
        <v>78.670680000000118</v>
      </c>
      <c r="AL26" s="402">
        <f>IF(AG26=0,"N.D.",AE26/AG26-1)</f>
        <v>0.69623151466879474</v>
      </c>
      <c r="AM26" s="381">
        <f>AE26-AI26</f>
        <v>351.05978999999985</v>
      </c>
      <c r="AN26" s="402">
        <f>IF(AI26=0,"N.D.",AE26/AI26-1)</f>
        <v>-2.2024640057276854</v>
      </c>
      <c r="AO26" s="175"/>
      <c r="AP26" s="9" t="s">
        <v>49</v>
      </c>
      <c r="AQ26" s="381">
        <f>+AQ18-AQ25</f>
        <v>166.81473000000051</v>
      </c>
      <c r="AR26" s="402">
        <f>AF61</f>
        <v>2.6927232215110685E-2</v>
      </c>
      <c r="AS26" s="381">
        <f>+AS18-AS25</f>
        <v>-17.519650000000119</v>
      </c>
      <c r="AT26" s="402">
        <f>AF96</f>
        <v>-9.8388340946358854E-3</v>
      </c>
      <c r="AU26" s="381">
        <f>+AU18-AU25</f>
        <v>-71.06084000000061</v>
      </c>
      <c r="AV26" s="402">
        <f>AF131</f>
        <v>-1.9299718141079156E-2</v>
      </c>
      <c r="AW26" s="381">
        <f>+AW18-AW25</f>
        <v>-140.15499999999997</v>
      </c>
      <c r="AX26" s="402">
        <f>AF166</f>
        <v>-9.954674005148216E-2</v>
      </c>
      <c r="AY26" s="381">
        <f>AE204</f>
        <v>-82.031490000000204</v>
      </c>
      <c r="AZ26" s="402">
        <f>+AF204</f>
        <v>-4.5007402713640982E-2</v>
      </c>
      <c r="BA26" s="381">
        <f>AE240</f>
        <v>335.61793</v>
      </c>
      <c r="BB26" s="402">
        <f>AF240</f>
        <v>0.46420449765784277</v>
      </c>
      <c r="BC26" s="381">
        <f>+BC18-BC25</f>
        <v>191.66567999999961</v>
      </c>
      <c r="BD26" s="30">
        <f>IF(BC$9=0,"N.D.",BC26/BC$9)</f>
        <v>1.2277450917006874E-2</v>
      </c>
      <c r="BF26" s="175" t="s">
        <v>49</v>
      </c>
      <c r="BG26" s="106">
        <f>+BG18-BG25</f>
        <v>8.4923681074720889</v>
      </c>
      <c r="BH26" s="179">
        <f>IF(BG$9=0,"N.D.",BG26/BG$9)</f>
        <v>5.4824842527256869E-3</v>
      </c>
      <c r="BI26" s="106">
        <f ca="1">+BI18-BI25</f>
        <v>-14.844000000000079</v>
      </c>
      <c r="BJ26" s="179">
        <f ca="1">IF(BI$9=0,"N.D.",BI26/BI$9)</f>
        <v>-8.9385501772776804E-3</v>
      </c>
      <c r="BK26" s="106">
        <f ca="1">+BK18-BK25</f>
        <v>-65.489020000000082</v>
      </c>
      <c r="BL26" s="179">
        <f ca="1">IF(BK$9=0,"N.D.",BK26/BK$9)</f>
        <v>-3.9670052650319663E-2</v>
      </c>
      <c r="BM26" s="106">
        <f ca="1">BG26-BI26</f>
        <v>23.336368107472168</v>
      </c>
      <c r="BN26" s="179">
        <f ca="1">IF(BI26=0,"N.D.",BG26/BI26-1)</f>
        <v>-1.572107794898413</v>
      </c>
      <c r="BO26" s="106">
        <f ca="1">BG26-BK26</f>
        <v>73.981388107472171</v>
      </c>
      <c r="BP26" s="179">
        <f ca="1">IF(BK26=0,"N.D.",BG26/BK26-1)</f>
        <v>-1.1296762130120757</v>
      </c>
      <c r="BQ26" s="354"/>
      <c r="BS26" s="9" t="s">
        <v>49</v>
      </c>
      <c r="BT26" s="5"/>
      <c r="BU26" s="179" t="str">
        <f>IF(BT$9=0,"N.D.",BT26/BT$9)</f>
        <v>N.D.</v>
      </c>
      <c r="BV26" s="5">
        <f t="shared" si="20"/>
        <v>-4.6406817757948886</v>
      </c>
      <c r="BW26" s="179">
        <f>IF(BV$9=0,"N.D.",BV26/BV$9)</f>
        <v>-1.5417547427889996E-2</v>
      </c>
      <c r="BX26" s="5">
        <f t="shared" si="21"/>
        <v>19.280161799458654</v>
      </c>
      <c r="BY26" s="179">
        <f>IF(BX$9=0,"N.D.",BX26/BX$9)</f>
        <v>3.1868036032163066E-2</v>
      </c>
      <c r="BZ26" s="5">
        <f t="shared" si="22"/>
        <v>-35.619425200657361</v>
      </c>
      <c r="CA26" s="179">
        <f>IF(BZ$9=0,"N.D.",BZ26/BZ$9)</f>
        <v>-0.16490474629933963</v>
      </c>
      <c r="CB26" s="5">
        <f t="shared" si="23"/>
        <v>-21.527686715534315</v>
      </c>
      <c r="CC26" s="179">
        <f>IF(CB$9=0,"N.D.",CB26/CB$9)</f>
        <v>-7.3978304864379091E-2</v>
      </c>
      <c r="CD26" s="5">
        <f t="shared" si="24"/>
        <v>51</v>
      </c>
      <c r="CE26" s="179">
        <f>IF(CD$9=0,"N.D.",CD26/CD$9)</f>
        <v>0.375</v>
      </c>
      <c r="CF26" s="5">
        <f>+CF18-CF25</f>
        <v>8.4923681074720889</v>
      </c>
      <c r="CG26" s="179">
        <f>IF(CF$9=0,"N.D.",CF26/CF$9)</f>
        <v>5.4824842527256869E-3</v>
      </c>
    </row>
    <row r="27" spans="1:85" ht="12.5" customHeight="1" x14ac:dyDescent="0.25">
      <c r="A27" s="238"/>
      <c r="C27" s="419"/>
      <c r="D27" s="352"/>
      <c r="E27" s="419"/>
      <c r="F27" s="352"/>
      <c r="G27" s="419"/>
      <c r="H27" s="352"/>
      <c r="I27" s="419"/>
      <c r="J27" s="352"/>
      <c r="K27" s="419"/>
      <c r="L27" s="352"/>
      <c r="M27" s="175"/>
      <c r="O27" s="419"/>
      <c r="P27" s="416"/>
      <c r="Q27" s="419"/>
      <c r="R27" s="416"/>
      <c r="S27" s="419"/>
      <c r="T27" s="416"/>
      <c r="U27" s="419"/>
      <c r="V27" s="416"/>
      <c r="W27" s="419"/>
      <c r="X27" s="416"/>
      <c r="Y27" s="419"/>
      <c r="Z27" s="416"/>
      <c r="AA27" s="419"/>
      <c r="AB27" s="416"/>
      <c r="AE27" s="419"/>
      <c r="AF27" s="352"/>
      <c r="AG27" s="419"/>
      <c r="AH27" s="352"/>
      <c r="AI27" s="419"/>
      <c r="AJ27" s="352"/>
      <c r="AK27" s="419"/>
      <c r="AL27" s="352"/>
      <c r="AM27" s="419"/>
      <c r="AN27" s="352"/>
      <c r="AO27" s="175"/>
      <c r="AP27" s="1"/>
      <c r="AQ27" s="419"/>
      <c r="AR27" s="416"/>
      <c r="AS27" s="419"/>
      <c r="AT27" s="416"/>
      <c r="AU27" s="419"/>
      <c r="AV27" s="416"/>
      <c r="AW27" s="419"/>
      <c r="AX27" s="416"/>
      <c r="AY27" s="419"/>
      <c r="AZ27" s="416"/>
      <c r="BA27" s="419"/>
      <c r="BB27" s="416"/>
      <c r="BC27" s="419"/>
      <c r="BD27" s="27"/>
      <c r="BF27" s="175"/>
      <c r="BG27" s="568"/>
      <c r="BH27" s="181"/>
      <c r="BI27" s="568"/>
      <c r="BJ27" s="181"/>
      <c r="BK27" s="568"/>
      <c r="BL27" s="181"/>
      <c r="BM27" s="568"/>
      <c r="BN27" s="181"/>
      <c r="BO27" s="568"/>
      <c r="BP27" s="181"/>
      <c r="BQ27" s="352"/>
      <c r="BT27" s="6"/>
      <c r="BU27" s="181"/>
      <c r="BV27" s="6"/>
      <c r="BW27" s="181"/>
      <c r="BX27" s="6"/>
      <c r="BY27" s="181"/>
      <c r="BZ27" s="6"/>
      <c r="CA27" s="181"/>
      <c r="CB27" s="6"/>
      <c r="CC27" s="181"/>
      <c r="CD27" s="6"/>
      <c r="CE27" s="181"/>
      <c r="CF27" s="6"/>
      <c r="CG27" s="181"/>
    </row>
    <row r="28" spans="1:85" ht="12.5" customHeight="1" x14ac:dyDescent="0.25">
      <c r="A28" s="238"/>
      <c r="B28" t="s">
        <v>50</v>
      </c>
      <c r="C28" s="418">
        <f>+C63+C98+C133+C168+C242+C206</f>
        <v>0</v>
      </c>
      <c r="D28" s="471">
        <f t="shared" ref="D28:D36" si="32">IF(C$9=0,"N.D.",C28/C$9)</f>
        <v>0</v>
      </c>
      <c r="E28" s="418">
        <f>+E63+E98+E133+E168+E242+E206</f>
        <v>0</v>
      </c>
      <c r="F28" s="471">
        <f t="shared" ref="F28:F36" si="33">IF(E$9=0,"N.D.",E28/E$9)</f>
        <v>0</v>
      </c>
      <c r="G28" s="418">
        <f>+G63+G98+G133+G168+G242+G206+G276</f>
        <v>0</v>
      </c>
      <c r="H28" s="471">
        <f t="shared" ref="H28:H36" si="34">IF(G$9=0,"N.D.",G28/G$9)</f>
        <v>0</v>
      </c>
      <c r="I28" s="418">
        <f t="shared" ref="I28:I36" si="35">C28-E28</f>
        <v>0</v>
      </c>
      <c r="J28" s="471" t="str">
        <f t="shared" ref="J28:J36" si="36">IF(E28=0,"N.D.",C28/E28-1)</f>
        <v>N.D.</v>
      </c>
      <c r="K28" s="418">
        <f t="shared" ref="K28:K36" si="37">C28-G28</f>
        <v>0</v>
      </c>
      <c r="L28" s="471" t="str">
        <f t="shared" ref="L28:L36" si="38">IF(G28=0,"N.D.",C28/G28-1)</f>
        <v>N.D.</v>
      </c>
      <c r="M28" s="175"/>
      <c r="N28" s="9" t="s">
        <v>213</v>
      </c>
      <c r="O28" s="418">
        <f>C63</f>
        <v>0</v>
      </c>
      <c r="P28" s="417" t="str">
        <f>D63</f>
        <v>N.D.</v>
      </c>
      <c r="Q28" s="418">
        <f>C98</f>
        <v>0</v>
      </c>
      <c r="R28" s="417">
        <f>D98</f>
        <v>0</v>
      </c>
      <c r="S28" s="418">
        <f>C133</f>
        <v>0</v>
      </c>
      <c r="T28" s="417">
        <f>+D133</f>
        <v>0</v>
      </c>
      <c r="U28" s="418">
        <f>C168</f>
        <v>0</v>
      </c>
      <c r="V28" s="417">
        <f>+D168</f>
        <v>0</v>
      </c>
      <c r="W28" s="418">
        <f>C206</f>
        <v>0</v>
      </c>
      <c r="X28" s="417">
        <f>+D206</f>
        <v>0</v>
      </c>
      <c r="Y28" s="418">
        <f>C242</f>
        <v>0</v>
      </c>
      <c r="Z28" s="417">
        <f>+D242</f>
        <v>0</v>
      </c>
      <c r="AA28" s="418">
        <f>+O28+Q28+S28+U28+W28+Y28</f>
        <v>0</v>
      </c>
      <c r="AB28" s="417">
        <f t="shared" ref="AB28:AB36" si="39">IF(AA$9=0,"N.D.",AA28/AA$9)</f>
        <v>0</v>
      </c>
      <c r="AD28" t="s">
        <v>50</v>
      </c>
      <c r="AE28" s="418">
        <f>+AE63+AE98+AE133+AE168+AE242+AE206</f>
        <v>0</v>
      </c>
      <c r="AF28" s="471">
        <f t="shared" ref="AF28:AF36" si="40">IF(AE$9=0,"N.D.",AE28/AE$9)</f>
        <v>0</v>
      </c>
      <c r="AG28" s="418">
        <f>+AG63+AG98+AG133+AG168+AG242+AG206</f>
        <v>0</v>
      </c>
      <c r="AH28" s="471">
        <f t="shared" ref="AH28:AH36" si="41">IF(AG$9=0,"N.D.",AG28/AG$9)</f>
        <v>0</v>
      </c>
      <c r="AI28" s="418">
        <f>+AI63+AI98+AI133+AI168+AI242+AI206+AI276</f>
        <v>0</v>
      </c>
      <c r="AJ28" s="471">
        <f t="shared" ref="AJ28:AJ36" si="42">IF(AI$9=0,"N.D.",AI28/AI$9)</f>
        <v>0</v>
      </c>
      <c r="AK28" s="418">
        <f t="shared" ref="AK28:AK36" si="43">AE28-AG28</f>
        <v>0</v>
      </c>
      <c r="AL28" s="471" t="str">
        <f t="shared" ref="AL28:AL36" si="44">IF(AG28=0,"N.D.",AE28/AG28-1)</f>
        <v>N.D.</v>
      </c>
      <c r="AM28" s="418">
        <f t="shared" ref="AM28:AM36" si="45">AE28-AI28</f>
        <v>0</v>
      </c>
      <c r="AN28" s="471" t="str">
        <f t="shared" ref="AN28:AN36" si="46">IF(AI28=0,"N.D.",AE28/AI28-1)</f>
        <v>N.D.</v>
      </c>
      <c r="AO28" s="175"/>
      <c r="AP28" s="9" t="s">
        <v>213</v>
      </c>
      <c r="AQ28" s="418">
        <f>AE63</f>
        <v>0</v>
      </c>
      <c r="AR28" s="417">
        <f>AF63</f>
        <v>0</v>
      </c>
      <c r="AS28" s="418">
        <f>AE98</f>
        <v>0</v>
      </c>
      <c r="AT28" s="417">
        <f>AF98</f>
        <v>0</v>
      </c>
      <c r="AU28" s="418">
        <f>AE133</f>
        <v>0</v>
      </c>
      <c r="AV28" s="417">
        <f>AF133</f>
        <v>0</v>
      </c>
      <c r="AW28" s="418">
        <f>AE168</f>
        <v>0</v>
      </c>
      <c r="AX28" s="417">
        <f>AF168</f>
        <v>0</v>
      </c>
      <c r="AY28" s="418">
        <f>AE206</f>
        <v>0</v>
      </c>
      <c r="AZ28" s="417">
        <f>+AF206</f>
        <v>0</v>
      </c>
      <c r="BA28" s="418">
        <f t="shared" ref="BA28:BB31" si="47">AE242</f>
        <v>0</v>
      </c>
      <c r="BB28" s="417">
        <f t="shared" si="47"/>
        <v>0</v>
      </c>
      <c r="BC28" s="418">
        <f>+AQ28+AS28+AU28+AW28+AY28+BA28</f>
        <v>0</v>
      </c>
      <c r="BD28" s="24">
        <f t="shared" ref="BD28:BD36" si="48">IF(BC$9=0,"N.D.",BC28/BC$9)</f>
        <v>0</v>
      </c>
      <c r="BF28" s="175" t="s">
        <v>50</v>
      </c>
      <c r="BG28" s="569">
        <f t="shared" ref="BG28:BG33" si="49">+BG63+BG98+BG133+BG168+BG242+BG206</f>
        <v>0</v>
      </c>
      <c r="BH28" s="183">
        <f t="shared" ref="BH28:BH36" si="50">IF(BG$9=0,"N.D.",BG28/BG$9)</f>
        <v>0</v>
      </c>
      <c r="BI28" s="569">
        <f t="shared" ref="BI28:BI33" ca="1" si="51">+BI63+BI98+BI133+BI168+BI242+BI206</f>
        <v>0</v>
      </c>
      <c r="BJ28" s="183">
        <f t="shared" ref="BJ28:BJ36" ca="1" si="52">IF(BI$9=0,"N.D.",BI28/BI$9)</f>
        <v>0</v>
      </c>
      <c r="BK28" s="569">
        <f t="shared" ref="BK28:BK33" ca="1" si="53">+BK63+BK98+BK133+BK168+BK242+BK206</f>
        <v>0</v>
      </c>
      <c r="BL28" s="183">
        <f t="shared" ref="BL28:BL36" ca="1" si="54">IF(BK$9=0,"N.D.",BK28/BK$9)</f>
        <v>0</v>
      </c>
      <c r="BM28" s="569">
        <f t="shared" ref="BM28:BM36" ca="1" si="55">BG28-BI28</f>
        <v>0</v>
      </c>
      <c r="BN28" s="183" t="str">
        <f t="shared" ref="BN28:BN36" ca="1" si="56">IF(BI28=0,"N.D.",BG28/BI28-1)</f>
        <v>N.D.</v>
      </c>
      <c r="BO28" s="569">
        <f t="shared" ref="BO28:BO36" ca="1" si="57">BG28-BK28</f>
        <v>0</v>
      </c>
      <c r="BP28" s="183" t="str">
        <f t="shared" ref="BP28:BP36" ca="1" si="58">IF(BK28=0,"N.D.",BG28/BK28-1)</f>
        <v>N.D.</v>
      </c>
      <c r="BQ28" s="353"/>
      <c r="BS28" s="9" t="s">
        <v>213</v>
      </c>
      <c r="BT28" s="3"/>
      <c r="BU28" s="183" t="str">
        <f t="shared" ref="BU28:BU36" si="59">IF(BT$9=0,"N.D.",BT28/BT$9)</f>
        <v>N.D.</v>
      </c>
      <c r="BV28" s="3">
        <f t="shared" ref="BV28:BV37" si="60">BG98</f>
        <v>0</v>
      </c>
      <c r="BW28" s="183">
        <f t="shared" ref="BW28:BW36" si="61">IF(BV$9=0,"N.D.",BV28/BV$9)</f>
        <v>0</v>
      </c>
      <c r="BX28" s="3">
        <f t="shared" ref="BX28:BX37" si="62">BG133</f>
        <v>0</v>
      </c>
      <c r="BY28" s="183">
        <f t="shared" ref="BY28:BY36" si="63">IF(BX$9=0,"N.D.",BX28/BX$9)</f>
        <v>0</v>
      </c>
      <c r="BZ28" s="3">
        <f>BG168</f>
        <v>0</v>
      </c>
      <c r="CA28" s="183">
        <f t="shared" ref="CA28:CA36" si="64">IF(BZ$9=0,"N.D.",BZ28/BZ$9)</f>
        <v>0</v>
      </c>
      <c r="CB28" s="3">
        <f>BG206</f>
        <v>0</v>
      </c>
      <c r="CC28" s="183">
        <f t="shared" ref="CC28:CC36" si="65">IF(CB$9=0,"N.D.",CB28/CB$9)</f>
        <v>0</v>
      </c>
      <c r="CD28" s="3">
        <f t="shared" ref="CD28:CD37" si="66">BG242</f>
        <v>0</v>
      </c>
      <c r="CE28" s="183">
        <f t="shared" ref="CE28:CE36" si="67">IF(CD$9=0,"N.D.",CD28/CD$9)</f>
        <v>0</v>
      </c>
      <c r="CF28" s="3">
        <f>+BT28+BV28+BX28+BZ28+CB28+CD28</f>
        <v>0</v>
      </c>
      <c r="CG28" s="183">
        <f t="shared" ref="CG28:CG36" si="68">IF(CF$9=0,"N.D.",CF28/CF$9)</f>
        <v>0</v>
      </c>
    </row>
    <row r="29" spans="1:85" ht="12.5" customHeight="1" x14ac:dyDescent="0.25">
      <c r="A29" s="238"/>
      <c r="B29" t="s">
        <v>51</v>
      </c>
      <c r="C29" s="314">
        <f>+C64+C99+C134+C169+C243+C207</f>
        <v>0</v>
      </c>
      <c r="D29" s="472">
        <f t="shared" si="32"/>
        <v>0</v>
      </c>
      <c r="E29" s="314">
        <f>+E64+E99+E134+E169+E243+E207</f>
        <v>0</v>
      </c>
      <c r="F29" s="472">
        <f t="shared" si="33"/>
        <v>0</v>
      </c>
      <c r="G29" s="314">
        <f>+G64+G99+G134+G169+G243+G207+G277</f>
        <v>0</v>
      </c>
      <c r="H29" s="472">
        <f t="shared" si="34"/>
        <v>0</v>
      </c>
      <c r="I29" s="314">
        <f t="shared" si="35"/>
        <v>0</v>
      </c>
      <c r="J29" s="472" t="str">
        <f t="shared" si="36"/>
        <v>N.D.</v>
      </c>
      <c r="K29" s="314">
        <f t="shared" si="37"/>
        <v>0</v>
      </c>
      <c r="L29" s="472" t="str">
        <f t="shared" si="38"/>
        <v>N.D.</v>
      </c>
      <c r="M29" s="175"/>
      <c r="N29" s="9" t="s">
        <v>51</v>
      </c>
      <c r="O29" s="314">
        <f>C64</f>
        <v>0</v>
      </c>
      <c r="P29" s="414" t="str">
        <f>D64</f>
        <v>N.D.</v>
      </c>
      <c r="Q29" s="314">
        <f>C99</f>
        <v>0</v>
      </c>
      <c r="R29" s="414">
        <f>D99</f>
        <v>0</v>
      </c>
      <c r="S29" s="314">
        <f>C134</f>
        <v>0</v>
      </c>
      <c r="T29" s="414">
        <f>+D134</f>
        <v>0</v>
      </c>
      <c r="U29" s="314">
        <f>C169</f>
        <v>0</v>
      </c>
      <c r="V29" s="414">
        <f>+D169</f>
        <v>0</v>
      </c>
      <c r="W29" s="314">
        <f>C207</f>
        <v>0</v>
      </c>
      <c r="X29" s="414">
        <f>+D207</f>
        <v>0</v>
      </c>
      <c r="Y29" s="314">
        <f>C243</f>
        <v>0</v>
      </c>
      <c r="Z29" s="414">
        <f>+D243</f>
        <v>0</v>
      </c>
      <c r="AA29" s="314">
        <f>+O29+Q29+S29+U29+W29+Y29</f>
        <v>0</v>
      </c>
      <c r="AB29" s="414">
        <f t="shared" si="39"/>
        <v>0</v>
      </c>
      <c r="AD29" t="s">
        <v>51</v>
      </c>
      <c r="AE29" s="314">
        <f>+AE64+AE99+AE134+AE169+AE243+AE207</f>
        <v>12.436389999999999</v>
      </c>
      <c r="AF29" s="472">
        <f t="shared" si="40"/>
        <v>7.9663280254323805E-4</v>
      </c>
      <c r="AG29" s="314">
        <f>+AG64+AG99+AG134+AG169+AG243+AG207</f>
        <v>0</v>
      </c>
      <c r="AH29" s="472">
        <f t="shared" si="41"/>
        <v>0</v>
      </c>
      <c r="AI29" s="314">
        <f>+AI64+AI99+AI134+AI169+AI243+AI207+AI277</f>
        <v>24.62472</v>
      </c>
      <c r="AJ29" s="472">
        <f t="shared" si="42"/>
        <v>1.2013194650773917E-3</v>
      </c>
      <c r="AK29" s="314">
        <f t="shared" si="43"/>
        <v>12.436389999999999</v>
      </c>
      <c r="AL29" s="472" t="str">
        <f t="shared" si="44"/>
        <v>N.D.</v>
      </c>
      <c r="AM29" s="314">
        <f t="shared" si="45"/>
        <v>-12.188330000000001</v>
      </c>
      <c r="AN29" s="472">
        <f t="shared" si="46"/>
        <v>-0.49496319145963896</v>
      </c>
      <c r="AO29" s="175"/>
      <c r="AP29" s="9" t="s">
        <v>51</v>
      </c>
      <c r="AQ29" s="314">
        <f>AE64</f>
        <v>12.436389999999999</v>
      </c>
      <c r="AR29" s="414">
        <f>AF64</f>
        <v>2.0074819618607982E-3</v>
      </c>
      <c r="AS29" s="314">
        <f>AE99</f>
        <v>0</v>
      </c>
      <c r="AT29" s="414">
        <f>AF99</f>
        <v>0</v>
      </c>
      <c r="AU29" s="314">
        <f>AE134</f>
        <v>0</v>
      </c>
      <c r="AV29" s="414">
        <f>AF134</f>
        <v>0</v>
      </c>
      <c r="AW29" s="314">
        <f>AE169</f>
        <v>0</v>
      </c>
      <c r="AX29" s="414">
        <f>AF169</f>
        <v>0</v>
      </c>
      <c r="AY29" s="314">
        <f>AE207</f>
        <v>0</v>
      </c>
      <c r="AZ29" s="414">
        <f>+AF207</f>
        <v>0</v>
      </c>
      <c r="BA29" s="314">
        <f t="shared" si="47"/>
        <v>0</v>
      </c>
      <c r="BB29" s="414">
        <f t="shared" si="47"/>
        <v>0</v>
      </c>
      <c r="BC29" s="314">
        <f>+AQ29+AS29+AU29+AW29+AY29+BA29</f>
        <v>12.436389999999999</v>
      </c>
      <c r="BD29" s="25">
        <f t="shared" si="48"/>
        <v>7.9663280254323795E-4</v>
      </c>
      <c r="BF29" s="175" t="s">
        <v>51</v>
      </c>
      <c r="BG29" s="570">
        <f t="shared" si="49"/>
        <v>0</v>
      </c>
      <c r="BH29" s="177">
        <f t="shared" si="50"/>
        <v>0</v>
      </c>
      <c r="BI29" s="570">
        <f t="shared" ca="1" si="51"/>
        <v>0</v>
      </c>
      <c r="BJ29" s="177">
        <f t="shared" ca="1" si="52"/>
        <v>0</v>
      </c>
      <c r="BK29" s="570">
        <f t="shared" ca="1" si="53"/>
        <v>0</v>
      </c>
      <c r="BL29" s="177">
        <f t="shared" ca="1" si="54"/>
        <v>0</v>
      </c>
      <c r="BM29" s="570">
        <f t="shared" ca="1" si="55"/>
        <v>0</v>
      </c>
      <c r="BN29" s="177" t="str">
        <f t="shared" ca="1" si="56"/>
        <v>N.D.</v>
      </c>
      <c r="BO29" s="570">
        <f t="shared" ca="1" si="57"/>
        <v>0</v>
      </c>
      <c r="BP29" s="177" t="str">
        <f t="shared" ca="1" si="58"/>
        <v>N.D.</v>
      </c>
      <c r="BQ29" s="353"/>
      <c r="BS29" s="9" t="s">
        <v>51</v>
      </c>
      <c r="BT29" s="4"/>
      <c r="BU29" s="177" t="str">
        <f t="shared" si="59"/>
        <v>N.D.</v>
      </c>
      <c r="BV29" s="4">
        <f t="shared" si="60"/>
        <v>0</v>
      </c>
      <c r="BW29" s="177">
        <f t="shared" si="61"/>
        <v>0</v>
      </c>
      <c r="BX29" s="4">
        <f t="shared" si="62"/>
        <v>0</v>
      </c>
      <c r="BY29" s="177">
        <f t="shared" si="63"/>
        <v>0</v>
      </c>
      <c r="BZ29" s="4">
        <f>BG169</f>
        <v>0</v>
      </c>
      <c r="CA29" s="177">
        <f t="shared" si="64"/>
        <v>0</v>
      </c>
      <c r="CB29" s="4">
        <f>BG207</f>
        <v>0</v>
      </c>
      <c r="CC29" s="177">
        <f t="shared" si="65"/>
        <v>0</v>
      </c>
      <c r="CD29" s="4">
        <f t="shared" si="66"/>
        <v>0</v>
      </c>
      <c r="CE29" s="177">
        <f t="shared" si="67"/>
        <v>0</v>
      </c>
      <c r="CF29" s="4">
        <f>+BT29+BV29+BX29+BZ29+CB29+CD29</f>
        <v>0</v>
      </c>
      <c r="CG29" s="177">
        <f t="shared" si="68"/>
        <v>0</v>
      </c>
    </row>
    <row r="30" spans="1:85" ht="12.5" customHeight="1" x14ac:dyDescent="0.3">
      <c r="A30" s="238"/>
      <c r="B30" t="s">
        <v>53</v>
      </c>
      <c r="C30" s="381">
        <f>+C65+C100+C135+C170+C244+C208</f>
        <v>25.614649999999966</v>
      </c>
      <c r="D30" s="402">
        <f t="shared" si="32"/>
        <v>1.6418414370879663E-2</v>
      </c>
      <c r="E30" s="381">
        <f>+E65+E100+E135+E170+E244+E208</f>
        <v>25.420429999999961</v>
      </c>
      <c r="F30" s="402">
        <f t="shared" si="33"/>
        <v>1.4933955668873606E-2</v>
      </c>
      <c r="G30" s="381">
        <f>+G65+G100+G135+G170+G244+G208+G278</f>
        <v>-70.16059000000007</v>
      </c>
      <c r="H30" s="402">
        <f t="shared" si="34"/>
        <v>-4.2499861797863074E-2</v>
      </c>
      <c r="I30" s="381">
        <f t="shared" si="35"/>
        <v>0.19422000000000494</v>
      </c>
      <c r="J30" s="402">
        <f t="shared" si="36"/>
        <v>7.6403113558662916E-3</v>
      </c>
      <c r="K30" s="381">
        <f t="shared" si="37"/>
        <v>95.775240000000039</v>
      </c>
      <c r="L30" s="402">
        <f t="shared" si="38"/>
        <v>-1.3650860119619852</v>
      </c>
      <c r="M30" s="175"/>
      <c r="N30" s="87" t="s">
        <v>53</v>
      </c>
      <c r="O30" s="381">
        <f>+O26-O28-O29</f>
        <v>-4.6715699999999991</v>
      </c>
      <c r="P30" s="402" t="str">
        <f>D65</f>
        <v>N.D.</v>
      </c>
      <c r="Q30" s="381">
        <f>+Q26-Q28-Q29</f>
        <v>-3.7776999999999639</v>
      </c>
      <c r="R30" s="402">
        <f>D100</f>
        <v>-1.2982307572265745E-2</v>
      </c>
      <c r="S30" s="381">
        <f>+S26-S28-S29</f>
        <v>24.913379999999957</v>
      </c>
      <c r="T30" s="486">
        <f>+D135</f>
        <v>1.0837105288153175E-2</v>
      </c>
      <c r="U30" s="381">
        <f>+U26-U28-U29</f>
        <v>-28.065700000000042</v>
      </c>
      <c r="V30" s="402">
        <f>+D170</f>
        <v>-0.12803574929907158</v>
      </c>
      <c r="W30" s="381">
        <f>+W26-W28-W29</f>
        <v>-2.3491099999999934</v>
      </c>
      <c r="X30" s="486">
        <f>+D208</f>
        <v>-7.7678291686678934E-3</v>
      </c>
      <c r="Y30" s="381">
        <f>C244</f>
        <v>57.789280000000005</v>
      </c>
      <c r="Z30" s="402">
        <f>+D244</f>
        <v>0.44371801787102533</v>
      </c>
      <c r="AA30" s="381">
        <f>+AA26-AA28-AA29</f>
        <v>23.838579999999968</v>
      </c>
      <c r="AB30" s="402">
        <f t="shared" si="39"/>
        <v>1.5279993458952767E-2</v>
      </c>
      <c r="AD30" t="s">
        <v>53</v>
      </c>
      <c r="AE30" s="381">
        <f>+AE65+AE100+AE135+AE170+AE244+AE208</f>
        <v>179.22928999999965</v>
      </c>
      <c r="AF30" s="402">
        <f t="shared" si="40"/>
        <v>1.148081811446364E-2</v>
      </c>
      <c r="AG30" s="381">
        <f>+AG65+AG100+AG135+AG170+AG244+AG208</f>
        <v>112.99499999999951</v>
      </c>
      <c r="AH30" s="402">
        <f t="shared" si="41"/>
        <v>5.3674395852504938E-3</v>
      </c>
      <c r="AI30" s="381">
        <f>+AI65+AI100+AI135+AI170+AI244+AI208+AI278</f>
        <v>-184.01883000000026</v>
      </c>
      <c r="AJ30" s="402">
        <f t="shared" si="42"/>
        <v>-8.9773773029609202E-3</v>
      </c>
      <c r="AK30" s="381">
        <f t="shared" si="43"/>
        <v>66.234290000000144</v>
      </c>
      <c r="AL30" s="402">
        <f t="shared" si="44"/>
        <v>0.5861700960219518</v>
      </c>
      <c r="AM30" s="381">
        <f t="shared" si="45"/>
        <v>363.24811999999991</v>
      </c>
      <c r="AN30" s="402">
        <f t="shared" si="46"/>
        <v>-1.9739725548738649</v>
      </c>
      <c r="AO30" s="175"/>
      <c r="AP30" s="87" t="s">
        <v>53</v>
      </c>
      <c r="AQ30" s="381">
        <f>+AQ26-AQ28-AQ29</f>
        <v>154.37834000000052</v>
      </c>
      <c r="AR30" s="402">
        <f>AF65</f>
        <v>2.4919750253249891E-2</v>
      </c>
      <c r="AS30" s="381">
        <f>+AS26-AS28-AS29</f>
        <v>-17.519650000000119</v>
      </c>
      <c r="AT30" s="402">
        <f>AF100</f>
        <v>-9.8388340946358854E-3</v>
      </c>
      <c r="AU30" s="381">
        <f>+AU26-AU28-AU29</f>
        <v>-71.06084000000061</v>
      </c>
      <c r="AV30" s="402">
        <f>AF135</f>
        <v>-1.9299718141079156E-2</v>
      </c>
      <c r="AW30" s="381">
        <f>+AW26-AW28-AW29</f>
        <v>-140.15499999999997</v>
      </c>
      <c r="AX30" s="402">
        <f>AF170</f>
        <v>-9.954674005148216E-2</v>
      </c>
      <c r="AY30" s="381">
        <f>+AY26-AY28-AY29</f>
        <v>-82.031490000000204</v>
      </c>
      <c r="AZ30" s="402">
        <f>+AF208</f>
        <v>-4.5007402713640982E-2</v>
      </c>
      <c r="BA30" s="381">
        <f t="shared" si="47"/>
        <v>335.61793</v>
      </c>
      <c r="BB30" s="402">
        <f t="shared" si="47"/>
        <v>0.46420449765784277</v>
      </c>
      <c r="BC30" s="381">
        <f>+BC26-BC28-BC29</f>
        <v>179.22928999999962</v>
      </c>
      <c r="BD30" s="30">
        <f t="shared" si="48"/>
        <v>1.1480818114463637E-2</v>
      </c>
      <c r="BF30" s="175" t="s">
        <v>53</v>
      </c>
      <c r="BG30" s="106">
        <f t="shared" si="49"/>
        <v>8.4923681074720889</v>
      </c>
      <c r="BH30" s="179">
        <f t="shared" si="50"/>
        <v>5.4824842527256869E-3</v>
      </c>
      <c r="BI30" s="106">
        <f t="shared" ca="1" si="51"/>
        <v>-14.844000000000094</v>
      </c>
      <c r="BJ30" s="179">
        <f t="shared" ca="1" si="52"/>
        <v>-8.938550177277689E-3</v>
      </c>
      <c r="BK30" s="106">
        <f t="shared" ca="1" si="53"/>
        <v>-65.489020000000082</v>
      </c>
      <c r="BL30" s="179">
        <f t="shared" ca="1" si="54"/>
        <v>-3.9670052650319663E-2</v>
      </c>
      <c r="BM30" s="106">
        <f t="shared" ca="1" si="55"/>
        <v>23.336368107472182</v>
      </c>
      <c r="BN30" s="179">
        <f t="shared" ca="1" si="56"/>
        <v>-1.5721077948984126</v>
      </c>
      <c r="BO30" s="106">
        <f t="shared" ca="1" si="57"/>
        <v>73.981388107472171</v>
      </c>
      <c r="BP30" s="179">
        <f t="shared" ca="1" si="58"/>
        <v>-1.1296762130120757</v>
      </c>
      <c r="BQ30" s="354"/>
      <c r="BS30" s="87" t="s">
        <v>53</v>
      </c>
      <c r="BT30" s="5"/>
      <c r="BU30" s="179" t="str">
        <f t="shared" si="59"/>
        <v>N.D.</v>
      </c>
      <c r="BV30" s="5">
        <f t="shared" si="60"/>
        <v>-4.6406817757948886</v>
      </c>
      <c r="BW30" s="179">
        <f t="shared" si="61"/>
        <v>-1.5417547427889996E-2</v>
      </c>
      <c r="BX30" s="5">
        <f t="shared" si="62"/>
        <v>19.280161799458654</v>
      </c>
      <c r="BY30" s="179">
        <f t="shared" si="63"/>
        <v>3.1868036032163066E-2</v>
      </c>
      <c r="BZ30" s="5">
        <f>BG170</f>
        <v>-35.619425200657361</v>
      </c>
      <c r="CA30" s="179">
        <f t="shared" si="64"/>
        <v>-0.16490474629933963</v>
      </c>
      <c r="CB30" s="5">
        <f>BG208</f>
        <v>-21.527686715534315</v>
      </c>
      <c r="CC30" s="179">
        <f t="shared" si="65"/>
        <v>-7.3978304864379091E-2</v>
      </c>
      <c r="CD30" s="5">
        <f t="shared" si="66"/>
        <v>51</v>
      </c>
      <c r="CE30" s="179">
        <f t="shared" si="67"/>
        <v>0.375</v>
      </c>
      <c r="CF30" s="5">
        <f>+CF26-CF28-CF29</f>
        <v>8.4923681074720889</v>
      </c>
      <c r="CG30" s="179">
        <f t="shared" si="68"/>
        <v>5.4824842527256869E-3</v>
      </c>
    </row>
    <row r="31" spans="1:85" ht="12.5" customHeight="1" x14ac:dyDescent="0.3">
      <c r="A31" s="238"/>
      <c r="B31" t="s">
        <v>122</v>
      </c>
      <c r="C31" s="381">
        <f>+C66+C101+C136+C171+C245+C209</f>
        <v>93.899649999999966</v>
      </c>
      <c r="D31" s="402">
        <f t="shared" si="32"/>
        <v>6.018756309301794E-2</v>
      </c>
      <c r="E31" s="381">
        <f>+E66+E101+E136+E171+E245+E209</f>
        <v>74.439289999999957</v>
      </c>
      <c r="F31" s="402">
        <f t="shared" si="33"/>
        <v>4.3731481209500683E-2</v>
      </c>
      <c r="G31" s="381">
        <f>+G66+G101+G136+G171+G245+G209</f>
        <v>44.308829999999936</v>
      </c>
      <c r="H31" s="402">
        <f t="shared" si="34"/>
        <v>2.6840127077394939E-2</v>
      </c>
      <c r="I31" s="381">
        <f t="shared" si="35"/>
        <v>19.460360000000009</v>
      </c>
      <c r="J31" s="402">
        <f t="shared" si="36"/>
        <v>0.26142592171419188</v>
      </c>
      <c r="K31" s="381">
        <f t="shared" si="37"/>
        <v>49.590820000000029</v>
      </c>
      <c r="L31" s="402">
        <f t="shared" si="38"/>
        <v>1.1192085189340388</v>
      </c>
      <c r="M31" s="175"/>
      <c r="N31" s="7" t="s">
        <v>122</v>
      </c>
      <c r="O31" s="381">
        <f>O18+O16</f>
        <v>-8.9507099999999991</v>
      </c>
      <c r="P31" s="402" t="str">
        <f>D66</f>
        <v>N.D.</v>
      </c>
      <c r="Q31" s="381">
        <f>Q18+Q16</f>
        <v>-3.6945899999999643</v>
      </c>
      <c r="R31" s="402">
        <f>D101</f>
        <v>-1.2696694743737538E-2</v>
      </c>
      <c r="S31" s="381">
        <f>S18+S16</f>
        <v>25.253749999999958</v>
      </c>
      <c r="T31" s="486">
        <f>+D136</f>
        <v>4.0911816019358761E-2</v>
      </c>
      <c r="U31" s="381">
        <f>U18+U16</f>
        <v>-23.613410000000044</v>
      </c>
      <c r="V31" s="402">
        <f>+D171</f>
        <v>-0.10772439821049148</v>
      </c>
      <c r="W31" s="381">
        <f>W18+W16</f>
        <v>-3.7224699999999924</v>
      </c>
      <c r="X31" s="486">
        <f>+D209</f>
        <v>-1.2309134542652833E-2</v>
      </c>
      <c r="Y31" s="381">
        <f>C245</f>
        <v>108.62708000000001</v>
      </c>
      <c r="Z31" s="402">
        <f>+D245</f>
        <v>0.83406113771822898</v>
      </c>
      <c r="AA31" s="381">
        <f>AA18+AA16</f>
        <v>93.899649999999966</v>
      </c>
      <c r="AB31" s="402">
        <f t="shared" si="39"/>
        <v>6.018756309301794E-2</v>
      </c>
      <c r="AD31" t="s">
        <v>122</v>
      </c>
      <c r="AE31" s="381">
        <f>+AE66+AE101+AE136+AE171+AE245+AE209</f>
        <v>756.67043999999953</v>
      </c>
      <c r="AF31" s="402">
        <f t="shared" si="40"/>
        <v>4.8469732230882488E-2</v>
      </c>
      <c r="AG31" s="381">
        <f>+AG66+AG101+AG136+AG171+AG245+AG209</f>
        <v>594.73599999999942</v>
      </c>
      <c r="AH31" s="402">
        <f t="shared" si="41"/>
        <v>2.8250892067556516E-2</v>
      </c>
      <c r="AI31" s="381">
        <f>+AI66+AI101+AI136+AI171+AI245+AI209+AI279</f>
        <v>511.26271999999977</v>
      </c>
      <c r="AJ31" s="402">
        <f t="shared" si="42"/>
        <v>2.494200369808924E-2</v>
      </c>
      <c r="AK31" s="381">
        <f t="shared" si="43"/>
        <v>161.93444000000011</v>
      </c>
      <c r="AL31" s="402">
        <f t="shared" si="44"/>
        <v>0.27227953243119685</v>
      </c>
      <c r="AM31" s="381">
        <f t="shared" si="45"/>
        <v>245.40771999999976</v>
      </c>
      <c r="AN31" s="402">
        <f t="shared" si="46"/>
        <v>0.48000315767204738</v>
      </c>
      <c r="AO31" s="175"/>
      <c r="AP31" s="7" t="s">
        <v>122</v>
      </c>
      <c r="AQ31" s="381">
        <f>AQ18+AQ16</f>
        <v>196.14455000000049</v>
      </c>
      <c r="AR31" s="402">
        <f>AF66</f>
        <v>3.1661651495514732E-2</v>
      </c>
      <c r="AS31" s="381">
        <f>AS18+AS16</f>
        <v>-12.401960000000123</v>
      </c>
      <c r="AT31" s="402">
        <f>AF101</f>
        <v>-6.9647982059179749E-3</v>
      </c>
      <c r="AU31" s="381">
        <f>AU18+AU16</f>
        <v>44.46440999999939</v>
      </c>
      <c r="AV31" s="402">
        <f>AF136</f>
        <v>1.2076279710588311E-2</v>
      </c>
      <c r="AW31" s="381">
        <f>AW18+AW16</f>
        <v>-98.762299999999982</v>
      </c>
      <c r="AX31" s="402">
        <f>AF171</f>
        <v>-7.0147087189087062E-2</v>
      </c>
      <c r="AY31" s="381">
        <f>AY18+AY16</f>
        <v>-28.629060000000194</v>
      </c>
      <c r="AZ31" s="402">
        <f>+AF209</f>
        <v>-1.5707621947778784E-2</v>
      </c>
      <c r="BA31" s="381">
        <f t="shared" si="47"/>
        <v>655.85479999999995</v>
      </c>
      <c r="BB31" s="402">
        <f t="shared" si="47"/>
        <v>0.90713493158868153</v>
      </c>
      <c r="BC31" s="381">
        <f>BC18+BC16</f>
        <v>756.67043999999953</v>
      </c>
      <c r="BD31" s="30">
        <f t="shared" si="48"/>
        <v>4.8469732230882481E-2</v>
      </c>
      <c r="BF31" s="175" t="s">
        <v>122</v>
      </c>
      <c r="BG31" s="106">
        <f t="shared" si="49"/>
        <v>96.492368107472089</v>
      </c>
      <c r="BH31" s="179">
        <f t="shared" si="50"/>
        <v>6.2293329959633367E-2</v>
      </c>
      <c r="BI31" s="106">
        <f t="shared" ca="1" si="51"/>
        <v>72.072999999999922</v>
      </c>
      <c r="BJ31" s="179">
        <f t="shared" ca="1" si="52"/>
        <v>4.339990076306454E-2</v>
      </c>
      <c r="BK31" s="106">
        <f t="shared" ca="1" si="53"/>
        <v>53.25953999999993</v>
      </c>
      <c r="BL31" s="179">
        <f t="shared" ca="1" si="54"/>
        <v>3.2262030427876322E-2</v>
      </c>
      <c r="BM31" s="106">
        <f t="shared" ca="1" si="55"/>
        <v>24.419368107472167</v>
      </c>
      <c r="BN31" s="179">
        <f t="shared" ca="1" si="56"/>
        <v>0.33881437025615968</v>
      </c>
      <c r="BO31" s="106">
        <f t="shared" ca="1" si="57"/>
        <v>43.232828107472159</v>
      </c>
      <c r="BP31" s="179">
        <f t="shared" ca="1" si="58"/>
        <v>0.81173866893090363</v>
      </c>
      <c r="BQ31" s="354"/>
      <c r="BS31" s="7" t="s">
        <v>122</v>
      </c>
      <c r="BT31" s="5"/>
      <c r="BU31" s="179" t="str">
        <f t="shared" si="59"/>
        <v>N.D.</v>
      </c>
      <c r="BV31" s="5">
        <f t="shared" si="60"/>
        <v>-6.6406817757948886</v>
      </c>
      <c r="BW31" s="179">
        <f t="shared" si="61"/>
        <v>-2.2062065700315246E-2</v>
      </c>
      <c r="BX31" s="5">
        <f t="shared" si="62"/>
        <v>20.280161799458654</v>
      </c>
      <c r="BY31" s="179">
        <f t="shared" si="63"/>
        <v>3.3520928594146536E-2</v>
      </c>
      <c r="BZ31" s="5">
        <f>BG171</f>
        <v>-28.619425200657361</v>
      </c>
      <c r="CA31" s="179">
        <f t="shared" si="64"/>
        <v>-0.13249733889193221</v>
      </c>
      <c r="CB31" s="5">
        <f>+BG209</f>
        <v>-8.5276867155343155</v>
      </c>
      <c r="CC31" s="179">
        <f t="shared" si="65"/>
        <v>-2.9304765345478746E-2</v>
      </c>
      <c r="CD31" s="5">
        <f t="shared" si="66"/>
        <v>120</v>
      </c>
      <c r="CE31" s="179">
        <f t="shared" si="67"/>
        <v>0.88235294117647056</v>
      </c>
      <c r="CF31" s="5">
        <f>CF18+CF16</f>
        <v>96.492368107472089</v>
      </c>
      <c r="CG31" s="179">
        <f t="shared" si="68"/>
        <v>6.2293329959633367E-2</v>
      </c>
    </row>
    <row r="32" spans="1:85" ht="12.5" customHeight="1" x14ac:dyDescent="0.3">
      <c r="A32" s="238"/>
      <c r="B32" s="1" t="s">
        <v>194</v>
      </c>
      <c r="C32" s="418">
        <f t="shared" ref="C32:C33" si="69">+C67+C102+C137+C172+C246+C210</f>
        <v>0</v>
      </c>
      <c r="D32" s="475">
        <f t="shared" si="32"/>
        <v>0</v>
      </c>
      <c r="E32" s="418">
        <f t="shared" ref="E32:E33" si="70">+E67+E102+E137+E172+E246+E210</f>
        <v>0</v>
      </c>
      <c r="F32" s="475">
        <f t="shared" si="33"/>
        <v>0</v>
      </c>
      <c r="G32" s="418">
        <f t="shared" ref="G32:G33" si="71">+G67+G102+G137+G172+G246+G210</f>
        <v>0</v>
      </c>
      <c r="H32" s="475">
        <f t="shared" si="34"/>
        <v>0</v>
      </c>
      <c r="I32" s="418">
        <f t="shared" si="35"/>
        <v>0</v>
      </c>
      <c r="J32" s="471" t="str">
        <f t="shared" si="36"/>
        <v>N.D.</v>
      </c>
      <c r="K32" s="418">
        <f t="shared" si="37"/>
        <v>0</v>
      </c>
      <c r="L32" s="471" t="str">
        <f t="shared" si="38"/>
        <v>N.D.</v>
      </c>
      <c r="M32" s="175"/>
      <c r="N32" s="1" t="s">
        <v>194</v>
      </c>
      <c r="O32" s="418">
        <v>0</v>
      </c>
      <c r="P32" s="495" t="str">
        <f>IF(O$9=0,"N.D.",O32/O$9)</f>
        <v>N.D.</v>
      </c>
      <c r="Q32" s="418">
        <v>0</v>
      </c>
      <c r="R32" s="495">
        <f>IF(Q$9=0,"N.D.",Q32/Q$9)</f>
        <v>0</v>
      </c>
      <c r="S32" s="418">
        <v>0</v>
      </c>
      <c r="T32" s="495">
        <f>IF(S$9=0,"N.D.",S32/S$9)</f>
        <v>0</v>
      </c>
      <c r="U32" s="418">
        <v>0</v>
      </c>
      <c r="V32" s="495">
        <f>IF(U$9=0,"N.D.",U32/U$9)</f>
        <v>0</v>
      </c>
      <c r="W32" s="418">
        <v>0</v>
      </c>
      <c r="X32" s="495">
        <f>IF(W$9=0,"N.D.",W32/W$9)</f>
        <v>0</v>
      </c>
      <c r="Y32" s="418">
        <v>0</v>
      </c>
      <c r="Z32" s="495">
        <f>IF(Y$9=0,"N.D.",Y32/Y$9)</f>
        <v>0</v>
      </c>
      <c r="AA32" s="418">
        <f>+O32+Q32+S32+U32+W32+Y32</f>
        <v>0</v>
      </c>
      <c r="AB32" s="495">
        <f t="shared" si="39"/>
        <v>0</v>
      </c>
      <c r="AD32" s="1" t="s">
        <v>194</v>
      </c>
      <c r="AE32" s="418">
        <v>0</v>
      </c>
      <c r="AF32" s="475">
        <f t="shared" si="40"/>
        <v>0</v>
      </c>
      <c r="AG32" s="418">
        <v>0</v>
      </c>
      <c r="AH32" s="475">
        <f t="shared" si="41"/>
        <v>0</v>
      </c>
      <c r="AI32" s="418">
        <v>0</v>
      </c>
      <c r="AJ32" s="475">
        <f t="shared" si="42"/>
        <v>0</v>
      </c>
      <c r="AK32" s="418">
        <f t="shared" si="43"/>
        <v>0</v>
      </c>
      <c r="AL32" s="471" t="str">
        <f t="shared" si="44"/>
        <v>N.D.</v>
      </c>
      <c r="AM32" s="418">
        <f t="shared" si="45"/>
        <v>0</v>
      </c>
      <c r="AN32" s="471" t="str">
        <f t="shared" si="46"/>
        <v>N.D.</v>
      </c>
      <c r="AO32" s="175"/>
      <c r="AP32" s="1" t="s">
        <v>194</v>
      </c>
      <c r="AQ32" s="418">
        <v>0</v>
      </c>
      <c r="AR32" s="495">
        <f>IF(AQ$9=0,"N.D.",AQ32/AQ$9)</f>
        <v>0</v>
      </c>
      <c r="AS32" s="418">
        <v>0</v>
      </c>
      <c r="AT32" s="495">
        <f>IF(AS$9=0,"N.D.",AS32/AS$9)</f>
        <v>0</v>
      </c>
      <c r="AU32" s="418">
        <v>0</v>
      </c>
      <c r="AV32" s="495">
        <f>IF(AU$9=0,"N.D.",AU32/AU$9)</f>
        <v>0</v>
      </c>
      <c r="AW32" s="418">
        <v>0</v>
      </c>
      <c r="AX32" s="495">
        <f>IF(AW$9=0,"N.D.",AW32/AW$9)</f>
        <v>0</v>
      </c>
      <c r="AY32" s="418">
        <v>0</v>
      </c>
      <c r="AZ32" s="495">
        <f>IF(AY$9=0,"N.D.",AY32/AY$9)</f>
        <v>0</v>
      </c>
      <c r="BA32" s="418">
        <v>0</v>
      </c>
      <c r="BB32" s="495">
        <f>IF(BA$9=0,"N.D.",BA32/BA$9)</f>
        <v>0</v>
      </c>
      <c r="BC32" s="418">
        <f>+AQ32+AS32+AU32+AW32+AY32+BA32</f>
        <v>0</v>
      </c>
      <c r="BD32" s="24">
        <f t="shared" si="48"/>
        <v>0</v>
      </c>
      <c r="BF32" s="175" t="s">
        <v>194</v>
      </c>
      <c r="BG32" s="569">
        <f t="shared" si="49"/>
        <v>0</v>
      </c>
      <c r="BH32" s="573">
        <f t="shared" si="50"/>
        <v>0</v>
      </c>
      <c r="BI32" s="569">
        <f t="shared" si="51"/>
        <v>0</v>
      </c>
      <c r="BJ32" s="573">
        <f t="shared" ca="1" si="52"/>
        <v>0</v>
      </c>
      <c r="BK32" s="569">
        <f t="shared" si="53"/>
        <v>0</v>
      </c>
      <c r="BL32" s="573">
        <f t="shared" ca="1" si="54"/>
        <v>0</v>
      </c>
      <c r="BM32" s="569">
        <f t="shared" si="55"/>
        <v>0</v>
      </c>
      <c r="BN32" s="183" t="str">
        <f t="shared" si="56"/>
        <v>N.D.</v>
      </c>
      <c r="BO32" s="569">
        <f t="shared" si="57"/>
        <v>0</v>
      </c>
      <c r="BP32" s="183" t="str">
        <f t="shared" si="58"/>
        <v>N.D.</v>
      </c>
      <c r="BQ32" s="354"/>
      <c r="BR32" s="1" t="s">
        <v>21</v>
      </c>
      <c r="BS32" s="1" t="s">
        <v>194</v>
      </c>
      <c r="BT32" s="3"/>
      <c r="BU32" s="78" t="str">
        <f t="shared" si="59"/>
        <v>N.D.</v>
      </c>
      <c r="BV32" s="3">
        <f t="shared" si="60"/>
        <v>0</v>
      </c>
      <c r="BW32" s="78">
        <f t="shared" si="61"/>
        <v>0</v>
      </c>
      <c r="BX32" s="3">
        <f t="shared" si="62"/>
        <v>0</v>
      </c>
      <c r="BY32" s="78">
        <f t="shared" si="63"/>
        <v>0</v>
      </c>
      <c r="BZ32" s="3">
        <v>0</v>
      </c>
      <c r="CA32" s="78">
        <f t="shared" si="64"/>
        <v>0</v>
      </c>
      <c r="CB32" s="3">
        <v>0</v>
      </c>
      <c r="CC32" s="78">
        <f t="shared" si="65"/>
        <v>0</v>
      </c>
      <c r="CD32" s="3">
        <f t="shared" si="66"/>
        <v>0</v>
      </c>
      <c r="CE32" s="78">
        <f t="shared" si="67"/>
        <v>0</v>
      </c>
      <c r="CF32" s="3"/>
      <c r="CG32" s="24">
        <f t="shared" si="68"/>
        <v>0</v>
      </c>
    </row>
    <row r="33" spans="1:85" ht="12.5" customHeight="1" x14ac:dyDescent="0.3">
      <c r="A33" s="238"/>
      <c r="B33" s="1" t="s">
        <v>123</v>
      </c>
      <c r="C33" s="314">
        <f t="shared" si="69"/>
        <v>0</v>
      </c>
      <c r="D33" s="476">
        <f t="shared" si="32"/>
        <v>0</v>
      </c>
      <c r="E33" s="314">
        <f t="shared" si="70"/>
        <v>0</v>
      </c>
      <c r="F33" s="476">
        <f t="shared" si="33"/>
        <v>0</v>
      </c>
      <c r="G33" s="314">
        <f t="shared" si="71"/>
        <v>0</v>
      </c>
      <c r="H33" s="476">
        <f t="shared" si="34"/>
        <v>0</v>
      </c>
      <c r="I33" s="314">
        <f t="shared" si="35"/>
        <v>0</v>
      </c>
      <c r="J33" s="472" t="str">
        <f t="shared" si="36"/>
        <v>N.D.</v>
      </c>
      <c r="K33" s="314">
        <f t="shared" si="37"/>
        <v>0</v>
      </c>
      <c r="L33" s="472" t="str">
        <f t="shared" si="38"/>
        <v>N.D.</v>
      </c>
      <c r="M33" s="175"/>
      <c r="N33" s="1" t="s">
        <v>123</v>
      </c>
      <c r="O33" s="314"/>
      <c r="P33" s="496" t="str">
        <f>IF(O$9=0,"N.D.",O33/O$9)</f>
        <v>N.D.</v>
      </c>
      <c r="Q33" s="314"/>
      <c r="R33" s="496">
        <f>IF(Q$9=0,"N.D.",Q33/Q$9)</f>
        <v>0</v>
      </c>
      <c r="S33" s="314"/>
      <c r="T33" s="496">
        <f>IF(S$9=0,"N.D.",S33/S$9)</f>
        <v>0</v>
      </c>
      <c r="U33" s="314"/>
      <c r="V33" s="496">
        <f>IF(U$9=0,"N.D.",U33/U$9)</f>
        <v>0</v>
      </c>
      <c r="W33" s="314"/>
      <c r="X33" s="496">
        <f>IF(W$9=0,"N.D.",W33/W$9)</f>
        <v>0</v>
      </c>
      <c r="Y33" s="314"/>
      <c r="Z33" s="496">
        <f>IF(Y$9=0,"N.D.",Y33/Y$9)</f>
        <v>0</v>
      </c>
      <c r="AA33" s="314">
        <f>+O33+Q33+S33+U33+W33+Y33</f>
        <v>0</v>
      </c>
      <c r="AB33" s="496">
        <f t="shared" si="39"/>
        <v>0</v>
      </c>
      <c r="AD33" s="1" t="s">
        <v>123</v>
      </c>
      <c r="AE33" s="314"/>
      <c r="AF33" s="476">
        <f t="shared" si="40"/>
        <v>0</v>
      </c>
      <c r="AG33" s="314"/>
      <c r="AH33" s="476">
        <f t="shared" si="41"/>
        <v>0</v>
      </c>
      <c r="AI33" s="314"/>
      <c r="AJ33" s="476">
        <f t="shared" si="42"/>
        <v>0</v>
      </c>
      <c r="AK33" s="314">
        <f t="shared" si="43"/>
        <v>0</v>
      </c>
      <c r="AL33" s="472" t="str">
        <f t="shared" si="44"/>
        <v>N.D.</v>
      </c>
      <c r="AM33" s="314">
        <f t="shared" si="45"/>
        <v>0</v>
      </c>
      <c r="AN33" s="472" t="str">
        <f t="shared" si="46"/>
        <v>N.D.</v>
      </c>
      <c r="AO33" s="175"/>
      <c r="AP33" s="1" t="s">
        <v>123</v>
      </c>
      <c r="AQ33" s="314"/>
      <c r="AR33" s="496">
        <f>IF(AQ$9=0,"N.D.",AQ33/AQ$9)</f>
        <v>0</v>
      </c>
      <c r="AS33" s="314"/>
      <c r="AT33" s="496">
        <f>IF(AS$9=0,"N.D.",AS33/AS$9)</f>
        <v>0</v>
      </c>
      <c r="AU33" s="314"/>
      <c r="AV33" s="496">
        <f>IF(AU$9=0,"N.D.",AU33/AU$9)</f>
        <v>0</v>
      </c>
      <c r="AW33" s="314"/>
      <c r="AX33" s="496">
        <f>IF(AW$9=0,"N.D.",AW33/AW$9)</f>
        <v>0</v>
      </c>
      <c r="AY33" s="314"/>
      <c r="AZ33" s="496">
        <f>IF(AY$9=0,"N.D.",AY33/AY$9)</f>
        <v>0</v>
      </c>
      <c r="BA33" s="314"/>
      <c r="BB33" s="496">
        <f>IF(BA$9=0,"N.D.",BA33/BA$9)</f>
        <v>0</v>
      </c>
      <c r="BC33" s="314">
        <f>+AQ33+AS33+AU33+AW33+AY33+BA33</f>
        <v>0</v>
      </c>
      <c r="BD33" s="25">
        <f t="shared" si="48"/>
        <v>0</v>
      </c>
      <c r="BF33" s="175" t="s">
        <v>123</v>
      </c>
      <c r="BG33" s="570">
        <f t="shared" si="49"/>
        <v>0</v>
      </c>
      <c r="BH33" s="574">
        <f t="shared" si="50"/>
        <v>0</v>
      </c>
      <c r="BI33" s="570">
        <f t="shared" si="51"/>
        <v>0</v>
      </c>
      <c r="BJ33" s="574">
        <f t="shared" ca="1" si="52"/>
        <v>0</v>
      </c>
      <c r="BK33" s="570">
        <f t="shared" si="53"/>
        <v>0</v>
      </c>
      <c r="BL33" s="574">
        <f t="shared" ca="1" si="54"/>
        <v>0</v>
      </c>
      <c r="BM33" s="570">
        <f t="shared" si="55"/>
        <v>0</v>
      </c>
      <c r="BN33" s="177" t="str">
        <f t="shared" si="56"/>
        <v>N.D.</v>
      </c>
      <c r="BO33" s="570">
        <f t="shared" si="57"/>
        <v>0</v>
      </c>
      <c r="BP33" s="177" t="str">
        <f t="shared" si="58"/>
        <v>N.D.</v>
      </c>
      <c r="BQ33" s="354"/>
      <c r="BS33" s="1" t="s">
        <v>123</v>
      </c>
      <c r="BT33" s="4"/>
      <c r="BU33" s="79" t="str">
        <f t="shared" si="59"/>
        <v>N.D.</v>
      </c>
      <c r="BV33" s="4">
        <f t="shared" si="60"/>
        <v>0</v>
      </c>
      <c r="BW33" s="79">
        <f t="shared" si="61"/>
        <v>0</v>
      </c>
      <c r="BX33" s="4">
        <f t="shared" si="62"/>
        <v>0</v>
      </c>
      <c r="BY33" s="79">
        <f t="shared" si="63"/>
        <v>0</v>
      </c>
      <c r="BZ33" s="4"/>
      <c r="CA33" s="79">
        <f t="shared" si="64"/>
        <v>0</v>
      </c>
      <c r="CB33" s="4"/>
      <c r="CC33" s="79">
        <f t="shared" si="65"/>
        <v>0</v>
      </c>
      <c r="CD33" s="4">
        <f t="shared" si="66"/>
        <v>0</v>
      </c>
      <c r="CE33" s="79">
        <f t="shared" si="67"/>
        <v>0</v>
      </c>
      <c r="CF33" s="4"/>
      <c r="CG33" s="25">
        <f t="shared" si="68"/>
        <v>0</v>
      </c>
    </row>
    <row r="34" spans="1:85" ht="12.5" customHeight="1" x14ac:dyDescent="0.3">
      <c r="A34" s="238"/>
      <c r="B34" s="7" t="s">
        <v>190</v>
      </c>
      <c r="C34" s="381">
        <f>+C30+C16+C32+C33</f>
        <v>65.930469999999971</v>
      </c>
      <c r="D34" s="477">
        <f t="shared" si="32"/>
        <v>4.2259947964420806E-2</v>
      </c>
      <c r="E34" s="381">
        <f>+E30+E16+E32+E33</f>
        <v>73.324429999999978</v>
      </c>
      <c r="F34" s="477">
        <f t="shared" si="33"/>
        <v>4.3076524947273799E-2</v>
      </c>
      <c r="G34" s="381">
        <f>+G30+G16+G32+G33</f>
        <v>3.1808299999999292</v>
      </c>
      <c r="H34" s="477">
        <f t="shared" si="34"/>
        <v>1.926791599136975E-3</v>
      </c>
      <c r="I34" s="381">
        <f t="shared" si="35"/>
        <v>-7.393960000000007</v>
      </c>
      <c r="J34" s="402">
        <f t="shared" si="36"/>
        <v>-0.1008389700404082</v>
      </c>
      <c r="K34" s="381">
        <f t="shared" si="37"/>
        <v>62.749640000000042</v>
      </c>
      <c r="L34" s="402">
        <f t="shared" si="38"/>
        <v>19.727442208480628</v>
      </c>
      <c r="M34" s="175"/>
      <c r="N34" s="7" t="s">
        <v>190</v>
      </c>
      <c r="O34" s="381">
        <f>+O30+O16+O32+O33</f>
        <v>-4.6715699999999991</v>
      </c>
      <c r="P34" s="497" t="str">
        <f>IF(O$9=0,"N.D.",O34/O$9)</f>
        <v>N.D.</v>
      </c>
      <c r="Q34" s="381">
        <f>+Q30+Q16+Q32+Q33</f>
        <v>-1.914379999999964</v>
      </c>
      <c r="R34" s="497">
        <f>IF(Q$9=0,"N.D.",Q34/Q$9)</f>
        <v>-6.5788892633596814E-3</v>
      </c>
      <c r="S34" s="381">
        <f>+S30+S16+S32+S33</f>
        <v>28.002689999999959</v>
      </c>
      <c r="T34" s="497">
        <f>IF(S$9=0,"N.D.",S34/S$9)</f>
        <v>4.5365179481349806E-2</v>
      </c>
      <c r="U34" s="381">
        <f>+U30+U16+U32+U33</f>
        <v>-18.823940000000043</v>
      </c>
      <c r="V34" s="497">
        <f>IF(U$9=0,"N.D.",U34/U$9)</f>
        <v>-8.5874831650761152E-2</v>
      </c>
      <c r="W34" s="381">
        <f>+W30+W16+W32+W33</f>
        <v>2.7699100000000074</v>
      </c>
      <c r="X34" s="497">
        <f>IF(W$9=0,"N.D.",W34/W$9)</f>
        <v>9.1592933888089544E-3</v>
      </c>
      <c r="Y34" s="381">
        <f>+Y30+Y16+Y32+Y33</f>
        <v>78.791690000000003</v>
      </c>
      <c r="Z34" s="497">
        <f>IF(Y$9=0,"N.D.",Y34/Y$9)</f>
        <v>0.60497885613920588</v>
      </c>
      <c r="AA34" s="381">
        <f>+AA30+AA16+AA32+AA33</f>
        <v>64.154399999999967</v>
      </c>
      <c r="AB34" s="497">
        <f t="shared" si="39"/>
        <v>4.112152705249391E-2</v>
      </c>
      <c r="AD34" s="7" t="s">
        <v>190</v>
      </c>
      <c r="AE34" s="381">
        <f>+AE30+AE16+AE32+AE33</f>
        <v>519.06106999999963</v>
      </c>
      <c r="AF34" s="477">
        <f t="shared" si="40"/>
        <v>3.3249284952079468E-2</v>
      </c>
      <c r="AG34" s="381">
        <f>+AG30+AG16+AG32+AG33</f>
        <v>486.26099999999951</v>
      </c>
      <c r="AH34" s="477">
        <f t="shared" si="41"/>
        <v>2.3098159566029459E-2</v>
      </c>
      <c r="AI34" s="381">
        <f>+AI30+AI16+AI32+AI33</f>
        <v>348.32348999999971</v>
      </c>
      <c r="AJ34" s="477">
        <f t="shared" si="42"/>
        <v>1.6992996821108622E-2</v>
      </c>
      <c r="AK34" s="381">
        <f t="shared" si="43"/>
        <v>32.800070000000119</v>
      </c>
      <c r="AL34" s="402">
        <f t="shared" si="44"/>
        <v>6.7453630869019232E-2</v>
      </c>
      <c r="AM34" s="381">
        <f t="shared" si="45"/>
        <v>170.73757999999992</v>
      </c>
      <c r="AN34" s="402">
        <f t="shared" si="46"/>
        <v>0.49016958345243977</v>
      </c>
      <c r="AO34" s="175"/>
      <c r="AP34" s="7" t="s">
        <v>190</v>
      </c>
      <c r="AQ34" s="381">
        <f>+AQ30+AQ16+AQ32+AQ33</f>
        <v>215.90754000000052</v>
      </c>
      <c r="AR34" s="497">
        <f>IF(AQ$9=0,"N.D.",AQ34/AQ$9)</f>
        <v>3.4851793163429248E-2</v>
      </c>
      <c r="AS34" s="381">
        <f>+AS30+AS16+AS32+AS33</f>
        <v>-7.0960100000001205</v>
      </c>
      <c r="AT34" s="497">
        <f>IF(AS$9=0,"N.D.",AS34/AS$9)</f>
        <v>-3.985037664786562E-3</v>
      </c>
      <c r="AU34" s="381">
        <f>+AU30+AU16+AU32+AU33</f>
        <v>-53.780480000000608</v>
      </c>
      <c r="AV34" s="497">
        <f>IF(AU$9=0,"N.D.",AU34/AU$9)</f>
        <v>-1.4606471095640687E-2</v>
      </c>
      <c r="AW34" s="381">
        <f>+AW30+AW16+AW32+AW33</f>
        <v>-84.704439999999977</v>
      </c>
      <c r="AX34" s="497">
        <f>IF(AW$9=0,"N.D.",AW34/AW$9)</f>
        <v>-6.0162326494854743E-2</v>
      </c>
      <c r="AY34" s="381">
        <f>+AY30+AY16+AY32+AY33</f>
        <v>-12.897930000000201</v>
      </c>
      <c r="AZ34" s="497">
        <f>IF(AY$9=0,"N.D.",AY34/AY$9)</f>
        <v>-7.0765791244601188E-3</v>
      </c>
      <c r="BA34" s="381">
        <f>+BA30+BA16+BA32+BA33</f>
        <v>461.63238999999999</v>
      </c>
      <c r="BB34" s="497">
        <f>IF(BA$9=0,"N.D.",BA34/BA$9)</f>
        <v>0.63849935461594487</v>
      </c>
      <c r="BC34" s="381">
        <f>+BC30+BC16+BC32+BC33</f>
        <v>519.06106999999963</v>
      </c>
      <c r="BD34" s="36">
        <f t="shared" si="48"/>
        <v>3.3249284952079461E-2</v>
      </c>
      <c r="BF34" s="172" t="s">
        <v>190</v>
      </c>
      <c r="BG34" s="106">
        <f>+BG30+BG16+BG32+BG33</f>
        <v>56.492368107472089</v>
      </c>
      <c r="BH34" s="575">
        <f t="shared" si="50"/>
        <v>3.647021827467533E-2</v>
      </c>
      <c r="BI34" s="106">
        <f ca="1">+BI30+BI16+BI32+BI33</f>
        <v>33.059999999999917</v>
      </c>
      <c r="BJ34" s="575">
        <f t="shared" ca="1" si="52"/>
        <v>1.9907603668876162E-2</v>
      </c>
      <c r="BK34" s="106">
        <f ca="1">+BK30+BK16+BK32+BK33</f>
        <v>7.8523999999999177</v>
      </c>
      <c r="BL34" s="575">
        <f t="shared" ca="1" si="54"/>
        <v>4.7566007466803822E-3</v>
      </c>
      <c r="BM34" s="106">
        <f t="shared" ca="1" si="55"/>
        <v>23.432368107472172</v>
      </c>
      <c r="BN34" s="179">
        <f t="shared" ca="1" si="56"/>
        <v>0.70878306435185201</v>
      </c>
      <c r="BO34" s="106">
        <f t="shared" ca="1" si="57"/>
        <v>48.639968107472171</v>
      </c>
      <c r="BP34" s="179">
        <f t="shared" ca="1" si="58"/>
        <v>6.1942804884459122</v>
      </c>
      <c r="BQ34" s="354"/>
      <c r="BS34" s="7" t="s">
        <v>190</v>
      </c>
      <c r="BT34" s="5"/>
      <c r="BU34" s="105" t="str">
        <f t="shared" si="59"/>
        <v>N.D.</v>
      </c>
      <c r="BV34" s="5">
        <f t="shared" si="60"/>
        <v>-4.6406817757948886</v>
      </c>
      <c r="BW34" s="105">
        <f t="shared" si="61"/>
        <v>-1.5417547427889996E-2</v>
      </c>
      <c r="BX34" s="5">
        <f t="shared" si="62"/>
        <v>22.280161799458654</v>
      </c>
      <c r="BY34" s="105">
        <f t="shared" si="63"/>
        <v>3.6826713718113475E-2</v>
      </c>
      <c r="BZ34" s="5">
        <f>+BZ30+BZ16+BZ32+BZ33</f>
        <v>-26.619425200657361</v>
      </c>
      <c r="CA34" s="105">
        <f t="shared" si="64"/>
        <v>-0.12323807963267297</v>
      </c>
      <c r="CB34" s="5">
        <f>+CB30+CB16+CB32+CB33</f>
        <v>-6.5276867155343155</v>
      </c>
      <c r="CC34" s="105">
        <f t="shared" si="65"/>
        <v>-2.243191311180177E-2</v>
      </c>
      <c r="CD34" s="5">
        <f t="shared" si="66"/>
        <v>72</v>
      </c>
      <c r="CE34" s="105">
        <f t="shared" si="67"/>
        <v>0.52941176470588236</v>
      </c>
      <c r="CF34" s="3">
        <f>+BT34+BV34+BX34+BZ34+CB34+CD34</f>
        <v>56.492368107472089</v>
      </c>
      <c r="CG34" s="36">
        <f t="shared" si="68"/>
        <v>3.647021827467533E-2</v>
      </c>
    </row>
    <row r="35" spans="1:85" ht="12.5" customHeight="1" x14ac:dyDescent="0.3">
      <c r="A35" s="238"/>
      <c r="B35" s="7" t="s">
        <v>191</v>
      </c>
      <c r="C35" s="106">
        <f>+C70+C105+C140+C175+C249+C213</f>
        <v>47</v>
      </c>
      <c r="D35" s="477">
        <f t="shared" si="32"/>
        <v>3.0125942592670412E-2</v>
      </c>
      <c r="E35" s="381">
        <f>+E70+E105+E140+E175+E249+E213</f>
        <v>47</v>
      </c>
      <c r="F35" s="477">
        <f t="shared" si="33"/>
        <v>2.7611488729225295E-2</v>
      </c>
      <c r="G35" s="381">
        <f>+G70+G105+G140+G175+G249+G213</f>
        <v>65.91185999999999</v>
      </c>
      <c r="H35" s="477">
        <f t="shared" si="34"/>
        <v>3.992618848900923E-2</v>
      </c>
      <c r="I35" s="381">
        <f t="shared" si="35"/>
        <v>0</v>
      </c>
      <c r="J35" s="402">
        <f t="shared" si="36"/>
        <v>0</v>
      </c>
      <c r="K35" s="381">
        <f t="shared" si="37"/>
        <v>-18.91185999999999</v>
      </c>
      <c r="L35" s="402">
        <f t="shared" si="38"/>
        <v>-0.28692651064618713</v>
      </c>
      <c r="M35" s="175"/>
      <c r="N35" s="7" t="s">
        <v>191</v>
      </c>
      <c r="O35" s="106">
        <v>0</v>
      </c>
      <c r="P35" s="497">
        <v>0</v>
      </c>
      <c r="Q35" s="106">
        <v>0</v>
      </c>
      <c r="R35" s="594">
        <v>1.9827208183677502E-3</v>
      </c>
      <c r="S35" s="106">
        <v>0</v>
      </c>
      <c r="T35" s="594">
        <v>2.2553770167390359E-2</v>
      </c>
      <c r="U35" s="106">
        <v>0</v>
      </c>
      <c r="V35" s="594">
        <v>0</v>
      </c>
      <c r="W35" s="106">
        <v>0</v>
      </c>
      <c r="X35" s="594"/>
      <c r="Y35" s="106">
        <f>3+12+12+19+1</f>
        <v>47</v>
      </c>
      <c r="Z35" s="497">
        <v>0.26592133066551976</v>
      </c>
      <c r="AA35" s="381">
        <f>+Y35+W35+U35+S35+Q35+O35</f>
        <v>47</v>
      </c>
      <c r="AB35" s="486">
        <f t="shared" si="39"/>
        <v>3.0125942592670412E-2</v>
      </c>
      <c r="AD35" s="7" t="s">
        <v>191</v>
      </c>
      <c r="AE35" s="381">
        <f>+AE70+AE105+AE140+AE175+AE249+AE213</f>
        <v>337.01470999999998</v>
      </c>
      <c r="AF35" s="477">
        <f t="shared" si="40"/>
        <v>2.158801492439499E-2</v>
      </c>
      <c r="AG35" s="381">
        <f>+AG70+AG105+AG140+AG175+AG249+AG213</f>
        <v>337.01470999999998</v>
      </c>
      <c r="AH35" s="477">
        <f t="shared" si="41"/>
        <v>1.6008726892922015E-2</v>
      </c>
      <c r="AI35" s="381">
        <f>+AI70+AI105+AI140+AI175+AI249+AI213</f>
        <v>523.00594999999998</v>
      </c>
      <c r="AJ35" s="477">
        <f t="shared" si="42"/>
        <v>2.5514898365800426E-2</v>
      </c>
      <c r="AK35" s="381">
        <f t="shared" si="43"/>
        <v>0</v>
      </c>
      <c r="AL35" s="402">
        <f t="shared" si="44"/>
        <v>0</v>
      </c>
      <c r="AM35" s="381">
        <f t="shared" si="45"/>
        <v>-185.99124</v>
      </c>
      <c r="AN35" s="402">
        <f t="shared" si="46"/>
        <v>-0.35561974008135089</v>
      </c>
      <c r="AO35" s="175"/>
      <c r="AP35" s="7" t="s">
        <v>192</v>
      </c>
      <c r="AQ35" s="381">
        <v>82</v>
      </c>
      <c r="AR35" s="497">
        <v>1.3236438300441321E-2</v>
      </c>
      <c r="AS35" s="106">
        <f>2.42471+0.59</f>
        <v>3.01471</v>
      </c>
      <c r="AT35" s="594">
        <v>2.049435767227251E-3</v>
      </c>
      <c r="AU35" s="106">
        <v>70</v>
      </c>
      <c r="AV35" s="594">
        <v>2.3403323315735594E-2</v>
      </c>
      <c r="AW35" s="106">
        <v>0</v>
      </c>
      <c r="AX35" s="594">
        <v>0</v>
      </c>
      <c r="AY35" s="106">
        <v>0</v>
      </c>
      <c r="AZ35" s="594">
        <v>0</v>
      </c>
      <c r="BA35" s="106">
        <f>135+47</f>
        <v>182</v>
      </c>
      <c r="BB35" s="497">
        <f>IF(BA$9=0,"N.D.",BA35/BA$9)</f>
        <v>0.25173034877405798</v>
      </c>
      <c r="BC35" s="381">
        <f>+AQ35+AS35+AU35+AW35+AY35+BA35</f>
        <v>337.01470999999998</v>
      </c>
      <c r="BD35" s="36">
        <f t="shared" si="48"/>
        <v>2.1588014924394987E-2</v>
      </c>
      <c r="BF35" s="172" t="s">
        <v>191</v>
      </c>
      <c r="BG35" s="106">
        <f>+BG249</f>
        <v>54</v>
      </c>
      <c r="BH35" s="575">
        <f t="shared" si="50"/>
        <v>3.4861200774693353E-2</v>
      </c>
      <c r="BI35" s="106">
        <f>+BG35</f>
        <v>54</v>
      </c>
      <c r="BJ35" s="575">
        <f t="shared" ca="1" si="52"/>
        <v>3.2516956990904886E-2</v>
      </c>
      <c r="BK35" s="106">
        <f>+BDLT!AN10/1000</f>
        <v>0</v>
      </c>
      <c r="BL35" s="575">
        <f t="shared" ca="1" si="54"/>
        <v>0</v>
      </c>
      <c r="BM35" s="106">
        <f t="shared" si="55"/>
        <v>0</v>
      </c>
      <c r="BN35" s="179">
        <f t="shared" si="56"/>
        <v>0</v>
      </c>
      <c r="BO35" s="106">
        <f t="shared" si="57"/>
        <v>54</v>
      </c>
      <c r="BP35" s="179" t="str">
        <f t="shared" si="58"/>
        <v>N.D.</v>
      </c>
      <c r="BQ35" s="354"/>
      <c r="BS35" s="7" t="s">
        <v>192</v>
      </c>
      <c r="BT35" s="106"/>
      <c r="BU35" s="105" t="str">
        <f>IF(BT$9=0,"N.D.",BT35/BT$9)</f>
        <v>N.D.</v>
      </c>
      <c r="BV35" s="106">
        <f t="shared" si="60"/>
        <v>0</v>
      </c>
      <c r="BW35" s="105">
        <f t="shared" si="61"/>
        <v>0</v>
      </c>
      <c r="BX35" s="106">
        <f t="shared" si="62"/>
        <v>0</v>
      </c>
      <c r="BY35" s="105">
        <f t="shared" si="63"/>
        <v>0</v>
      </c>
      <c r="BZ35" s="106">
        <v>0</v>
      </c>
      <c r="CA35" s="105">
        <f t="shared" si="64"/>
        <v>0</v>
      </c>
      <c r="CB35" s="106">
        <v>0</v>
      </c>
      <c r="CC35" s="105">
        <f t="shared" si="65"/>
        <v>0</v>
      </c>
      <c r="CD35" s="106">
        <f t="shared" si="66"/>
        <v>54</v>
      </c>
      <c r="CE35" s="105">
        <f t="shared" si="67"/>
        <v>0.39705882352941174</v>
      </c>
      <c r="CF35" s="3">
        <f>+BT35+BV35+BX35+BZ35+CB35+CD35</f>
        <v>54</v>
      </c>
      <c r="CG35" s="36">
        <f t="shared" si="68"/>
        <v>3.4861200774693353E-2</v>
      </c>
    </row>
    <row r="36" spans="1:85" ht="12.5" customHeight="1" x14ac:dyDescent="0.3">
      <c r="A36" s="238"/>
      <c r="B36" s="7" t="s">
        <v>84</v>
      </c>
      <c r="C36" s="381">
        <f>C34-C35</f>
        <v>18.930469999999971</v>
      </c>
      <c r="D36" s="477">
        <f t="shared" si="32"/>
        <v>1.2134005371750396E-2</v>
      </c>
      <c r="E36" s="381">
        <f>E34-E35</f>
        <v>26.324429999999978</v>
      </c>
      <c r="F36" s="477">
        <f t="shared" si="33"/>
        <v>1.5465036218048503E-2</v>
      </c>
      <c r="G36" s="381">
        <f>G34-G35</f>
        <v>-62.731030000000061</v>
      </c>
      <c r="H36" s="477">
        <f t="shared" si="34"/>
        <v>-3.799939688987225E-2</v>
      </c>
      <c r="I36" s="381">
        <f t="shared" si="35"/>
        <v>-7.393960000000007</v>
      </c>
      <c r="J36" s="402">
        <f t="shared" si="36"/>
        <v>-0.28087825643328324</v>
      </c>
      <c r="K36" s="381">
        <f t="shared" si="37"/>
        <v>81.661500000000032</v>
      </c>
      <c r="L36" s="402">
        <f t="shared" si="38"/>
        <v>-1.3017720257422833</v>
      </c>
      <c r="M36" s="175"/>
      <c r="N36" s="7" t="s">
        <v>84</v>
      </c>
      <c r="O36" s="381">
        <f>O34-O35</f>
        <v>-4.6715699999999991</v>
      </c>
      <c r="P36" s="497" t="str">
        <f>IF(O$9=0,"N.D.",O36/O$9)</f>
        <v>N.D.</v>
      </c>
      <c r="Q36" s="381">
        <f>Q34-Q35</f>
        <v>-1.914379999999964</v>
      </c>
      <c r="R36" s="497">
        <f>IF(Q$9=0,"N.D.",Q36/Q$9)</f>
        <v>-6.5788892633596814E-3</v>
      </c>
      <c r="S36" s="381">
        <f>S34-S35</f>
        <v>28.002689999999959</v>
      </c>
      <c r="T36" s="497">
        <f>IF(S$9=0,"N.D.",S36/S$9)</f>
        <v>4.5365179481349806E-2</v>
      </c>
      <c r="U36" s="381">
        <f>U34-U35</f>
        <v>-18.823940000000043</v>
      </c>
      <c r="V36" s="497">
        <f>IF(U$9=0,"N.D.",U36/U$9)</f>
        <v>-8.5874831650761152E-2</v>
      </c>
      <c r="W36" s="381">
        <f>W34-W35</f>
        <v>2.7699100000000074</v>
      </c>
      <c r="X36" s="497">
        <f>IF(W$9=0,"N.D.",W36/W$9)</f>
        <v>9.1592933888089544E-3</v>
      </c>
      <c r="Y36" s="381">
        <f>Y34-Y35</f>
        <v>31.791690000000003</v>
      </c>
      <c r="Z36" s="497">
        <f>IF(Y$9=0,"N.D.",Y36/Y$9)</f>
        <v>0.24410315670259428</v>
      </c>
      <c r="AA36" s="381">
        <f>AA34-AA35</f>
        <v>17.154399999999967</v>
      </c>
      <c r="AB36" s="486">
        <f t="shared" si="39"/>
        <v>1.0995584459823496E-2</v>
      </c>
      <c r="AD36" s="7" t="s">
        <v>84</v>
      </c>
      <c r="AE36" s="381">
        <f>AE34-AE35</f>
        <v>182.04635999999965</v>
      </c>
      <c r="AF36" s="477">
        <f t="shared" si="40"/>
        <v>1.1661270027684478E-2</v>
      </c>
      <c r="AG36" s="381">
        <f>AG34-AG35</f>
        <v>149.24628999999953</v>
      </c>
      <c r="AH36" s="477">
        <f t="shared" si="41"/>
        <v>7.0894326731074462E-3</v>
      </c>
      <c r="AI36" s="381">
        <f>AI34-AI35</f>
        <v>-174.68246000000028</v>
      </c>
      <c r="AJ36" s="477">
        <f t="shared" si="42"/>
        <v>-8.5219015446918057E-3</v>
      </c>
      <c r="AK36" s="381">
        <f t="shared" si="43"/>
        <v>32.800070000000119</v>
      </c>
      <c r="AL36" s="402">
        <f t="shared" si="44"/>
        <v>0.2197714261439947</v>
      </c>
      <c r="AM36" s="381">
        <f t="shared" si="45"/>
        <v>356.72881999999993</v>
      </c>
      <c r="AN36" s="402">
        <f t="shared" si="46"/>
        <v>-2.0421559210924745</v>
      </c>
      <c r="AO36" s="175"/>
      <c r="AP36" s="7" t="s">
        <v>84</v>
      </c>
      <c r="AQ36" s="381">
        <f>+AQ34-AQ35</f>
        <v>133.90754000000052</v>
      </c>
      <c r="AR36" s="497">
        <f>IF(AQ$9=0,"N.D.",AQ36/AQ$9)</f>
        <v>2.1615353901506335E-2</v>
      </c>
      <c r="AS36" s="381">
        <f>+AS34-AS35</f>
        <v>-10.110720000000121</v>
      </c>
      <c r="AT36" s="497">
        <f>IF(AS$9=0,"N.D.",AS36/AS$9)</f>
        <v>-5.6780641540965402E-3</v>
      </c>
      <c r="AU36" s="381">
        <f>+AU34-AU35</f>
        <v>-123.78048000000061</v>
      </c>
      <c r="AV36" s="497">
        <f>IF(AU$9=0,"N.D.",AU36/AU$9)</f>
        <v>-3.3618071153781418E-2</v>
      </c>
      <c r="AW36" s="381">
        <f>+AW34-AW35</f>
        <v>-84.704439999999977</v>
      </c>
      <c r="AX36" s="497">
        <f>IF(AW$9=0,"N.D.",AW36/AW$9)</f>
        <v>-6.0162326494854743E-2</v>
      </c>
      <c r="AY36" s="381">
        <f>AY34-AY35</f>
        <v>-12.897930000000201</v>
      </c>
      <c r="AZ36" s="497">
        <f>IF(AY$9=0,"N.D.",AY36/AY$9)</f>
        <v>-7.0765791244601188E-3</v>
      </c>
      <c r="BA36" s="381">
        <f>BA34-BA35</f>
        <v>279.63238999999999</v>
      </c>
      <c r="BB36" s="497">
        <f>IF(BA$9=0,"N.D.",BA36/BA$9)</f>
        <v>0.38676900584188684</v>
      </c>
      <c r="BC36" s="381">
        <f>BC34-BC35</f>
        <v>182.04635999999965</v>
      </c>
      <c r="BD36" s="36">
        <f t="shared" si="48"/>
        <v>1.1661270027684476E-2</v>
      </c>
      <c r="BF36" s="172" t="s">
        <v>84</v>
      </c>
      <c r="BG36" s="106">
        <f>BG34-BG35</f>
        <v>2.4923681074720889</v>
      </c>
      <c r="BH36" s="575">
        <f t="shared" si="50"/>
        <v>1.6090174999819813E-3</v>
      </c>
      <c r="BI36" s="106">
        <f ca="1">BI34-BI35</f>
        <v>-20.940000000000083</v>
      </c>
      <c r="BJ36" s="575">
        <f t="shared" ca="1" si="52"/>
        <v>-1.2609353322028723E-2</v>
      </c>
      <c r="BK36" s="106">
        <f ca="1">BK34-BK35</f>
        <v>7.8523999999999177</v>
      </c>
      <c r="BL36" s="575">
        <f t="shared" ca="1" si="54"/>
        <v>4.7566007466803822E-3</v>
      </c>
      <c r="BM36" s="106">
        <f t="shared" ca="1" si="55"/>
        <v>23.432368107472172</v>
      </c>
      <c r="BN36" s="179">
        <f t="shared" ca="1" si="56"/>
        <v>-1.1190242649222579</v>
      </c>
      <c r="BO36" s="106">
        <f t="shared" ca="1" si="57"/>
        <v>-5.3600318925278287</v>
      </c>
      <c r="BP36" s="179">
        <f t="shared" ca="1" si="58"/>
        <v>-0.68259791815596316</v>
      </c>
      <c r="BQ36" s="354"/>
      <c r="BS36" s="7" t="s">
        <v>84</v>
      </c>
      <c r="BT36" s="5"/>
      <c r="BU36" s="105" t="str">
        <f t="shared" si="59"/>
        <v>N.D.</v>
      </c>
      <c r="BV36" s="5">
        <f t="shared" si="60"/>
        <v>-4.6406817757948886</v>
      </c>
      <c r="BW36" s="105">
        <f t="shared" si="61"/>
        <v>-1.5417547427889996E-2</v>
      </c>
      <c r="BX36" s="5">
        <f t="shared" si="62"/>
        <v>22.280161799458654</v>
      </c>
      <c r="BY36" s="105">
        <f t="shared" si="63"/>
        <v>3.6826713718113475E-2</v>
      </c>
      <c r="BZ36" s="5">
        <f>+BZ34-BZ35</f>
        <v>-26.619425200657361</v>
      </c>
      <c r="CA36" s="105">
        <f t="shared" si="64"/>
        <v>-0.12323807963267297</v>
      </c>
      <c r="CB36" s="5">
        <f>+CB34-CB35</f>
        <v>-6.5276867155343155</v>
      </c>
      <c r="CC36" s="105">
        <f t="shared" si="65"/>
        <v>-2.243191311180177E-2</v>
      </c>
      <c r="CD36" s="5">
        <f t="shared" si="66"/>
        <v>18</v>
      </c>
      <c r="CE36" s="105">
        <f t="shared" si="67"/>
        <v>0.13235294117647059</v>
      </c>
      <c r="CF36" s="106">
        <f>CF34-CF35</f>
        <v>2.4923681074720889</v>
      </c>
      <c r="CG36" s="36">
        <f t="shared" si="68"/>
        <v>1.6090174999819813E-3</v>
      </c>
    </row>
    <row r="37" spans="1:85" ht="12.5" customHeight="1" x14ac:dyDescent="0.3">
      <c r="A37" s="238"/>
      <c r="B37" s="1" t="s">
        <v>193</v>
      </c>
      <c r="C37" s="412">
        <f>IF(C35=0,"N.D.",(C34-C32-C33)/C35)</f>
        <v>1.4027759574468079</v>
      </c>
      <c r="D37" s="478"/>
      <c r="E37" s="412">
        <f>IF(E35=0,"N.D.",(E34-E32-E33)/E35)</f>
        <v>1.5600942553191486</v>
      </c>
      <c r="F37" s="478"/>
      <c r="G37" s="412">
        <f>IF(G35=0,"N.D.",(G34-G32-G33)/G35)</f>
        <v>4.8258841428536987E-2</v>
      </c>
      <c r="H37" s="478"/>
      <c r="I37" s="479"/>
      <c r="J37" s="354"/>
      <c r="K37" s="479"/>
      <c r="L37" s="354"/>
      <c r="M37" s="175"/>
      <c r="N37" s="1" t="s">
        <v>193</v>
      </c>
      <c r="O37" s="412" t="str">
        <f>IF(O35=0,"N.D.",(O34-O32-O33)/O35)</f>
        <v>N.D.</v>
      </c>
      <c r="P37" s="478"/>
      <c r="Q37" s="412" t="str">
        <f>IF(Q35=0,"N.D.",(Q34-Q32-Q33)/Q35)</f>
        <v>N.D.</v>
      </c>
      <c r="R37" s="478"/>
      <c r="S37" s="412" t="str">
        <f>IF(S35=0,"N.D.",(S34-S32-S33)/S35)</f>
        <v>N.D.</v>
      </c>
      <c r="T37" s="478"/>
      <c r="U37" s="412" t="str">
        <f>IF(U35=0,"N.D.",(U34-U32-U33)/U35)</f>
        <v>N.D.</v>
      </c>
      <c r="V37" s="478"/>
      <c r="W37" s="412" t="str">
        <f>IF(W35=0,"N.D.",(W34-W32-W33)/W35)</f>
        <v>N.D.</v>
      </c>
      <c r="X37" s="478"/>
      <c r="Y37" s="412">
        <f>IF(Y35=0,"N.D.",(Y34-Y32-Y33)/Y35)</f>
        <v>1.6764189361702129</v>
      </c>
      <c r="Z37" s="478"/>
      <c r="AA37" s="412">
        <f>IF(AA35=0,"N.D.",(AA34-AA32-AA33)/AA35)</f>
        <v>1.3649872340425524</v>
      </c>
      <c r="AD37" s="1" t="s">
        <v>193</v>
      </c>
      <c r="AE37" s="412">
        <f>IF(AE35=0,"N.D.",(AE34-AE32-AE33)/AE35)</f>
        <v>1.5401733354606382</v>
      </c>
      <c r="AF37" s="478"/>
      <c r="AG37" s="412">
        <f>IF(AG35=0,"N.D.",(AG34-AG32-AG33)/AG35)</f>
        <v>1.4428479991273957</v>
      </c>
      <c r="AH37" s="478"/>
      <c r="AI37" s="412">
        <f>IF(AI35=0,"N.D.",(AI34-AI32-AI33)/AI35)</f>
        <v>0.66600292023446328</v>
      </c>
      <c r="AJ37" s="478"/>
      <c r="AK37" s="479"/>
      <c r="AL37" s="354"/>
      <c r="AM37" s="479"/>
      <c r="AN37" s="354"/>
      <c r="AO37" s="175"/>
      <c r="AP37" s="1" t="s">
        <v>193</v>
      </c>
      <c r="AQ37" s="412">
        <f>IF(AQ35=0,"N.D.",(AQ34-AQ32-AQ33)/AQ35)</f>
        <v>2.6330187804878111</v>
      </c>
      <c r="AR37" s="478"/>
      <c r="AS37" s="412">
        <f>IF(AS35=0,"N.D.",(AS34-AS32-AS33)/AS35)</f>
        <v>-2.3537952240846121</v>
      </c>
      <c r="AT37" s="478"/>
      <c r="AU37" s="412">
        <f>IF(AU35=0,"N.D.",(AU34-AU32-AU33)/AU35)</f>
        <v>-0.7682925714285801</v>
      </c>
      <c r="AV37" s="478"/>
      <c r="AW37" s="412" t="str">
        <f>IF(AW35=0,"N.D.",(AW34-AW32-AW33)/AW35)</f>
        <v>N.D.</v>
      </c>
      <c r="AX37" s="478"/>
      <c r="AY37" s="412" t="str">
        <f>IF(AY35=0,"N.D.",(AY34-AY32-AY33)/AY35)</f>
        <v>N.D.</v>
      </c>
      <c r="AZ37" s="478"/>
      <c r="BA37" s="412">
        <f>IF(BA35=0,"N.D.",(BA34-BA32-BA33)/BA35)</f>
        <v>2.536441703296703</v>
      </c>
      <c r="BB37" s="478"/>
      <c r="BC37" s="412">
        <f>IF(BC35=0,"N.D.",(BC34-BC32-BC33)/BC35)</f>
        <v>1.5401733354606382</v>
      </c>
      <c r="BF37" s="175" t="s">
        <v>193</v>
      </c>
      <c r="BG37" s="576">
        <f>IF(BG35=0,"N.D.",(BG34-BG32-BG33)/BG35)</f>
        <v>1.0461549649531869</v>
      </c>
      <c r="BH37" s="577"/>
      <c r="BI37" s="576">
        <f ca="1">IF(BI35=0,"N.D.",(BI34-BI32-BI33)/BI35)</f>
        <v>0.61222222222222067</v>
      </c>
      <c r="BJ37" s="577"/>
      <c r="BK37" s="576" t="str">
        <f>IF(BK35=0,"N.D.",(BK34-BK32-BK33)/BK35)</f>
        <v>N.D.</v>
      </c>
      <c r="BL37" s="577"/>
      <c r="BM37" s="578"/>
      <c r="BN37" s="579"/>
      <c r="BO37" s="578"/>
      <c r="BP37" s="579"/>
      <c r="BQ37" s="354"/>
      <c r="BS37" s="1" t="s">
        <v>193</v>
      </c>
      <c r="BT37" s="107"/>
      <c r="BU37" s="108"/>
      <c r="BV37" s="107" t="str">
        <f t="shared" si="60"/>
        <v>N.D.</v>
      </c>
      <c r="BW37" s="108"/>
      <c r="BX37" s="107" t="str">
        <f t="shared" si="62"/>
        <v>N.D.</v>
      </c>
      <c r="BY37" s="108"/>
      <c r="BZ37" s="107" t="str">
        <f>IF(BZ35=0,"N.D.",(BZ34-BZ32-BZ33)/BZ35)</f>
        <v>N.D.</v>
      </c>
      <c r="CA37" s="108"/>
      <c r="CB37" s="107" t="str">
        <f>IF(CB35=0,"N.D.",(CB34-CB32-CB33)/CB35)</f>
        <v>N.D.</v>
      </c>
      <c r="CC37" s="108"/>
      <c r="CD37" s="107">
        <f t="shared" si="66"/>
        <v>1.3333333333333333</v>
      </c>
      <c r="CE37" s="108"/>
      <c r="CF37" s="107"/>
    </row>
    <row r="38" spans="1:85" ht="12.5" customHeight="1" x14ac:dyDescent="0.3">
      <c r="A38" s="238"/>
      <c r="B38" s="310"/>
      <c r="C38" s="479"/>
      <c r="D38" s="354"/>
      <c r="E38" s="479"/>
      <c r="F38" s="354"/>
      <c r="G38" s="479"/>
      <c r="H38" s="354"/>
      <c r="I38" s="479"/>
      <c r="J38" s="354"/>
      <c r="K38" s="479"/>
      <c r="L38" s="354"/>
      <c r="M38" s="175"/>
      <c r="AD38" s="310"/>
      <c r="AE38" s="479"/>
      <c r="AF38" s="354"/>
      <c r="AG38" s="479"/>
      <c r="AH38" s="354"/>
      <c r="AI38" s="479"/>
      <c r="AJ38" s="354"/>
      <c r="AK38" s="479"/>
      <c r="AL38" s="354"/>
      <c r="AM38" s="479"/>
      <c r="AN38" s="354"/>
      <c r="AO38" s="175"/>
      <c r="BF38" s="175"/>
      <c r="BG38" s="578"/>
      <c r="BH38" s="579"/>
      <c r="BI38" s="578"/>
      <c r="BJ38" s="579"/>
      <c r="BK38" s="578"/>
      <c r="BL38" s="579"/>
      <c r="BM38" s="578"/>
      <c r="BN38" s="579"/>
      <c r="BO38" s="578"/>
      <c r="BP38" s="579"/>
      <c r="BQ38" s="354"/>
    </row>
    <row r="39" spans="1:85" ht="12.5" customHeight="1" x14ac:dyDescent="0.3">
      <c r="C39" s="739" t="s">
        <v>182</v>
      </c>
      <c r="D39" s="743"/>
      <c r="E39" s="743"/>
      <c r="F39" s="743"/>
      <c r="G39" s="743"/>
      <c r="H39" s="743"/>
      <c r="I39" s="743"/>
      <c r="J39" s="744"/>
      <c r="K39" s="743"/>
      <c r="L39" s="744"/>
      <c r="AA39" s="498"/>
      <c r="AE39" s="739" t="str">
        <f>C39</f>
        <v>South-Wen,Inc.</v>
      </c>
      <c r="AF39" s="739"/>
      <c r="AG39" s="739"/>
      <c r="AH39" s="739"/>
      <c r="AI39" s="739"/>
      <c r="AJ39" s="739"/>
      <c r="AK39" s="739"/>
      <c r="AL39" s="739"/>
      <c r="AM39" s="739"/>
      <c r="AN39" s="739"/>
      <c r="AQ39" s="498"/>
      <c r="AR39" s="465"/>
      <c r="BF39" s="175"/>
      <c r="BG39" s="748" t="str">
        <f>AE39</f>
        <v>South-Wen,Inc.</v>
      </c>
      <c r="BH39" s="748"/>
      <c r="BI39" s="748"/>
      <c r="BJ39" s="748"/>
      <c r="BK39" s="748"/>
      <c r="BL39" s="748"/>
      <c r="BM39" s="748"/>
      <c r="BN39" s="748"/>
      <c r="BO39" s="748"/>
      <c r="BP39" s="748"/>
      <c r="BQ39" s="349"/>
    </row>
    <row r="40" spans="1:85" ht="12.5" customHeight="1" x14ac:dyDescent="0.3">
      <c r="C40" s="739" t="s">
        <v>18</v>
      </c>
      <c r="D40" s="743"/>
      <c r="E40" s="743"/>
      <c r="F40" s="743"/>
      <c r="G40" s="743"/>
      <c r="H40" s="743"/>
      <c r="I40" s="743"/>
      <c r="J40" s="744"/>
      <c r="K40" s="743"/>
      <c r="L40" s="744"/>
      <c r="M40" s="175"/>
      <c r="AA40" s="498"/>
      <c r="AE40" s="739" t="s">
        <v>18</v>
      </c>
      <c r="AF40" s="739"/>
      <c r="AG40" s="739"/>
      <c r="AH40" s="739"/>
      <c r="AI40" s="739"/>
      <c r="AJ40" s="739"/>
      <c r="AK40" s="739"/>
      <c r="AL40" s="739"/>
      <c r="AM40" s="739"/>
      <c r="AN40" s="739"/>
      <c r="AO40" s="175"/>
      <c r="AQ40" s="498"/>
      <c r="AR40" s="465"/>
      <c r="BF40" s="175"/>
      <c r="BG40" s="748" t="s">
        <v>18</v>
      </c>
      <c r="BH40" s="748"/>
      <c r="BI40" s="748"/>
      <c r="BJ40" s="748"/>
      <c r="BK40" s="748"/>
      <c r="BL40" s="748"/>
      <c r="BM40" s="748"/>
      <c r="BN40" s="748"/>
      <c r="BO40" s="748"/>
      <c r="BP40" s="748"/>
      <c r="BQ40" s="349"/>
    </row>
    <row r="41" spans="1:85" ht="12.5" customHeight="1" x14ac:dyDescent="0.3">
      <c r="B41" s="311" t="s">
        <v>343</v>
      </c>
      <c r="C41" s="739" t="str">
        <f>PROPER(TEXT(MES_CIERRE,"MMMM "))&amp;YEAR(MES_CIERRE)</f>
        <v>Junio 2019</v>
      </c>
      <c r="D41" s="739"/>
      <c r="E41" s="739"/>
      <c r="F41" s="739"/>
      <c r="G41" s="739"/>
      <c r="H41" s="739"/>
      <c r="I41" s="739"/>
      <c r="J41" s="739"/>
      <c r="K41" s="739"/>
      <c r="L41" s="739"/>
      <c r="M41" s="175"/>
      <c r="O41" s="747"/>
      <c r="P41" s="747"/>
      <c r="Q41" s="747"/>
      <c r="R41" s="747"/>
      <c r="S41" s="747"/>
      <c r="T41" s="747"/>
      <c r="U41" s="747"/>
      <c r="V41" s="747"/>
      <c r="W41" s="747"/>
      <c r="X41" s="747"/>
      <c r="Y41" s="498"/>
      <c r="Z41" s="498"/>
      <c r="AA41" s="498"/>
      <c r="AD41" s="311" t="str">
        <f>B41</f>
        <v>SOUTHWEN</v>
      </c>
      <c r="AE41" s="740" t="str">
        <f>"Accum to "&amp;PROPER(TEXT(MES_CIERRE,"MMMM "))&amp;YEAR(MES_CIERRE)</f>
        <v>Accum to Junio 2019</v>
      </c>
      <c r="AF41" s="740"/>
      <c r="AG41" s="740"/>
      <c r="AH41" s="740"/>
      <c r="AI41" s="740"/>
      <c r="AJ41" s="740"/>
      <c r="AK41" s="740"/>
      <c r="AL41" s="740"/>
      <c r="AM41" s="740"/>
      <c r="AN41" s="740"/>
      <c r="AO41" s="175"/>
      <c r="AQ41" s="498"/>
      <c r="AR41" s="465"/>
      <c r="BF41" s="172" t="str">
        <f>AD41</f>
        <v>SOUTHWEN</v>
      </c>
      <c r="BG41" s="749" t="str">
        <f>"Projection- "&amp;PROPER(TEXT(EDATE(MES_CIERRE,1),"MMMM "))&amp;YEAR(MES_CIERRE)</f>
        <v>Projection- Julio 2019</v>
      </c>
      <c r="BH41" s="749"/>
      <c r="BI41" s="749"/>
      <c r="BJ41" s="749"/>
      <c r="BK41" s="749"/>
      <c r="BL41" s="749"/>
      <c r="BM41" s="749"/>
      <c r="BN41" s="749"/>
      <c r="BO41" s="749"/>
      <c r="BP41" s="749"/>
      <c r="BQ41" s="350"/>
    </row>
    <row r="42" spans="1:85" ht="12.5" customHeight="1" x14ac:dyDescent="0.3">
      <c r="A42" s="238"/>
      <c r="C42" s="394" t="s">
        <v>0</v>
      </c>
      <c r="D42" s="395"/>
      <c r="E42" s="394" t="s">
        <v>4</v>
      </c>
      <c r="F42" s="395"/>
      <c r="G42" s="394" t="s">
        <v>5</v>
      </c>
      <c r="H42" s="464"/>
      <c r="I42" s="349" t="s">
        <v>6</v>
      </c>
      <c r="J42" s="351"/>
      <c r="K42" s="349" t="s">
        <v>7</v>
      </c>
      <c r="L42" s="351"/>
      <c r="M42" s="174"/>
      <c r="AE42" s="394" t="s">
        <v>8</v>
      </c>
      <c r="AF42" s="464"/>
      <c r="AG42" s="394" t="s">
        <v>4</v>
      </c>
      <c r="AH42" s="464"/>
      <c r="AI42" s="394" t="s">
        <v>9</v>
      </c>
      <c r="AJ42" s="465"/>
      <c r="AK42" s="349" t="s">
        <v>6</v>
      </c>
      <c r="AL42" s="351"/>
      <c r="AM42" s="349" t="s">
        <v>7</v>
      </c>
      <c r="AN42" s="351"/>
      <c r="AO42" s="291"/>
      <c r="BF42" s="175"/>
      <c r="BG42" s="558" t="s">
        <v>502</v>
      </c>
      <c r="BH42" s="559"/>
      <c r="BI42" s="558" t="s">
        <v>4</v>
      </c>
      <c r="BJ42" s="559"/>
      <c r="BK42" s="558" t="s">
        <v>9</v>
      </c>
      <c r="BL42" s="560"/>
      <c r="BM42" s="561" t="s">
        <v>6</v>
      </c>
      <c r="BN42" s="562"/>
      <c r="BO42" s="561" t="s">
        <v>7</v>
      </c>
      <c r="BP42" s="562"/>
      <c r="BQ42" s="351"/>
      <c r="BT42" s="382" t="s">
        <v>121</v>
      </c>
      <c r="BU42" s="88"/>
      <c r="BV42" s="382" t="s">
        <v>452</v>
      </c>
      <c r="BW42" s="88"/>
      <c r="BX42" s="88" t="s">
        <v>453</v>
      </c>
      <c r="BY42" s="88"/>
      <c r="BZ42" s="88" t="s">
        <v>434</v>
      </c>
      <c r="CA42" s="88"/>
      <c r="CB42" s="382" t="s">
        <v>435</v>
      </c>
      <c r="CC42" s="31"/>
    </row>
    <row r="43" spans="1:85" ht="12.5" customHeight="1" x14ac:dyDescent="0.25">
      <c r="A43" s="238"/>
      <c r="C43" s="483"/>
      <c r="D43" s="501"/>
      <c r="E43" s="482"/>
      <c r="F43" s="501"/>
      <c r="G43" s="483"/>
      <c r="H43" s="481"/>
      <c r="I43" s="448"/>
      <c r="J43" s="485"/>
      <c r="K43" s="448"/>
      <c r="L43" s="485"/>
      <c r="M43" s="175"/>
      <c r="AE43" s="480"/>
      <c r="AF43" s="481"/>
      <c r="AG43" s="482"/>
      <c r="AH43" s="481"/>
      <c r="AI43" s="483"/>
      <c r="AJ43" s="484"/>
      <c r="AK43" s="448"/>
      <c r="AL43" s="485"/>
      <c r="AM43" s="448"/>
      <c r="AN43" s="485"/>
      <c r="AO43" s="175"/>
      <c r="BF43" s="175"/>
      <c r="BG43" s="580"/>
      <c r="BH43" s="581"/>
      <c r="BI43" s="582"/>
      <c r="BJ43" s="581"/>
      <c r="BK43" s="583"/>
      <c r="BL43" s="584"/>
      <c r="BM43" s="585"/>
      <c r="BN43" s="586"/>
      <c r="BO43" s="585"/>
      <c r="BP43" s="586"/>
      <c r="BQ43" s="353"/>
      <c r="BT43" s="37"/>
      <c r="BU43" s="38"/>
      <c r="BV43" s="37"/>
      <c r="BW43" s="38"/>
      <c r="BX43" s="37"/>
      <c r="BY43" s="38"/>
      <c r="BZ43" s="37"/>
      <c r="CA43" s="38"/>
      <c r="CB43" s="6"/>
      <c r="CC43" s="38"/>
    </row>
    <row r="44" spans="1:85" ht="12.5" customHeight="1" x14ac:dyDescent="0.25">
      <c r="A44" s="238"/>
      <c r="B44" t="s">
        <v>38</v>
      </c>
      <c r="C44" s="314">
        <f>+BDER!D10/1000</f>
        <v>0</v>
      </c>
      <c r="D44" s="414" t="str">
        <f>IF(C$44=0,"N.D.",C44/C$44)</f>
        <v>N.D.</v>
      </c>
      <c r="E44" s="570">
        <v>0</v>
      </c>
      <c r="F44" s="414" t="str">
        <f>IF(E$44=0,"N.D.",E44/E$44)</f>
        <v>N.D.</v>
      </c>
      <c r="G44" s="314">
        <v>0</v>
      </c>
      <c r="H44" s="414" t="str">
        <f>IF(G$44=0,"N.D.",G44/G$44)</f>
        <v>N.D.</v>
      </c>
      <c r="I44" s="314">
        <f>C44-E44</f>
        <v>0</v>
      </c>
      <c r="J44" s="472" t="str">
        <f>IF(E44=0,"N.D.",C44/E44-1)</f>
        <v>N.D.</v>
      </c>
      <c r="K44" s="314">
        <f>C44-G44</f>
        <v>0</v>
      </c>
      <c r="L44" s="472" t="str">
        <f>IF(G44=0,"N.D.",C44/G44-1)</f>
        <v>N.D.</v>
      </c>
      <c r="M44" s="175"/>
      <c r="AD44" t="s">
        <v>38</v>
      </c>
      <c r="AE44" s="314">
        <f>+BDER!E10/1000</f>
        <v>6195.01955</v>
      </c>
      <c r="AF44" s="414">
        <f>IF(AE$44=0,"N.D.",AE44/AE$44)</f>
        <v>1</v>
      </c>
      <c r="AG44" s="314">
        <f>+BDER!M10/1000</f>
        <v>10948.380999999999</v>
      </c>
      <c r="AH44" s="414">
        <f>IF(AG$44=0,"N.D.",AG44/AG$44)</f>
        <v>1</v>
      </c>
      <c r="AI44" s="314">
        <f>+BDER!I10/1000</f>
        <v>10705.950199999999</v>
      </c>
      <c r="AJ44" s="414">
        <f>IF(AI$44=0,"N.D.",AI44/AI$44)</f>
        <v>1</v>
      </c>
      <c r="AK44" s="314">
        <f>AE44-AG44</f>
        <v>-4753.3614499999994</v>
      </c>
      <c r="AL44" s="472">
        <f>IF(AG44=0,"N.D.",AE44/AG44-1)</f>
        <v>-0.43416112848100552</v>
      </c>
      <c r="AM44" s="314">
        <f>AE44-AI44</f>
        <v>-4510.9306499999993</v>
      </c>
      <c r="AN44" s="472">
        <f>IF(AI44=0,"N.D.",AE44/AI44-1)</f>
        <v>-0.42134799487484997</v>
      </c>
      <c r="AO44" s="175"/>
      <c r="BF44" s="175" t="s">
        <v>38</v>
      </c>
      <c r="BG44" s="570"/>
      <c r="BH44" s="176"/>
      <c r="BI44" s="570"/>
      <c r="BJ44" s="176"/>
      <c r="BK44" s="570"/>
      <c r="BL44" s="176"/>
      <c r="BM44" s="570"/>
      <c r="BN44" s="177"/>
      <c r="BO44" s="570"/>
      <c r="BP44" s="177"/>
      <c r="BQ44" s="353"/>
      <c r="BS44" s="9" t="s">
        <v>38</v>
      </c>
      <c r="BT44" s="3">
        <f>+BT9</f>
        <v>0</v>
      </c>
      <c r="BU44" s="183" t="str">
        <f>IF(BT$44=0,"N.D.",BT44/BT$44)</f>
        <v>N.D.</v>
      </c>
      <c r="BV44" s="3">
        <f>BV9+BX9</f>
        <v>906</v>
      </c>
      <c r="BW44" s="183">
        <f>IF(BV$44=0,"N.D.",BV44/BV$44)</f>
        <v>1</v>
      </c>
      <c r="BX44" s="3">
        <f>BZ9+CB9</f>
        <v>507</v>
      </c>
      <c r="BY44" s="183">
        <f>IF(BX$44=0,"N.D.",BX44/BX$44)</f>
        <v>1</v>
      </c>
      <c r="BZ44" s="3">
        <f>CD9</f>
        <v>136</v>
      </c>
      <c r="CA44" s="183">
        <f>IF(BZ$44=0,"N.D.",BZ44/BZ$44)</f>
        <v>1</v>
      </c>
      <c r="CB44" s="3">
        <f>BT44+BV44+BX44+BZ44</f>
        <v>1549</v>
      </c>
      <c r="CC44" s="183">
        <f>IF(CB$44=0,"N.D.",CB44/CB$44)</f>
        <v>1</v>
      </c>
    </row>
    <row r="45" spans="1:85" ht="12" customHeight="1" x14ac:dyDescent="0.25">
      <c r="A45" s="238"/>
      <c r="B45" t="s">
        <v>39</v>
      </c>
      <c r="C45" s="314">
        <f>BDER!D11/1000</f>
        <v>0</v>
      </c>
      <c r="D45" s="414" t="str">
        <f t="shared" ref="D45:F66" si="72">IF(C$44=0,"N.D.",C45/C$44)</f>
        <v>N.D.</v>
      </c>
      <c r="E45" s="570">
        <v>0</v>
      </c>
      <c r="F45" s="414" t="str">
        <f t="shared" si="72"/>
        <v>N.D.</v>
      </c>
      <c r="G45" s="314">
        <v>0</v>
      </c>
      <c r="H45" s="414" t="str">
        <f>IF(G$44=0,"N.D.",G45/G$44)</f>
        <v>N.D.</v>
      </c>
      <c r="I45" s="314">
        <f>C45-E45</f>
        <v>0</v>
      </c>
      <c r="J45" s="472" t="str">
        <f>IF(E45=0,"N.D.",C45/E45-1)</f>
        <v>N.D.</v>
      </c>
      <c r="K45" s="314">
        <f>C45-G45</f>
        <v>0</v>
      </c>
      <c r="L45" s="472" t="str">
        <f>IF(G45=0,"N.D.",C45/G45-1)</f>
        <v>N.D.</v>
      </c>
      <c r="M45" s="175"/>
      <c r="AD45" t="s">
        <v>39</v>
      </c>
      <c r="AE45" s="314">
        <f>BDER!E11/1000</f>
        <v>2292.9579399999998</v>
      </c>
      <c r="AF45" s="176">
        <f>IF(AE$44=0,"N.D.",AE45/AE$44)</f>
        <v>0.37012925003602287</v>
      </c>
      <c r="AG45" s="314">
        <f>BDER!M11/1000</f>
        <v>4138.4880000000003</v>
      </c>
      <c r="AH45" s="414">
        <f>IF(AG$44=0,"N.D.",AG45/AG$44)</f>
        <v>0.37799999835592135</v>
      </c>
      <c r="AI45" s="314">
        <f>BDER!I11/1000</f>
        <v>4024.75983</v>
      </c>
      <c r="AJ45" s="414">
        <f>IF(AI$44=0,"N.D.",AI45/AI$44)</f>
        <v>0.37593672255266053</v>
      </c>
      <c r="AK45" s="314">
        <f>AE45-AG45</f>
        <v>-1845.5300600000005</v>
      </c>
      <c r="AL45" s="472">
        <f>IF(AG45=0,"N.D.",AE45/AG45-1)</f>
        <v>-0.44594307389558707</v>
      </c>
      <c r="AM45" s="314">
        <f>AE45-AI45</f>
        <v>-1731.8018900000002</v>
      </c>
      <c r="AN45" s="472">
        <f>IF(AI45=0,"N.D.",AE45/AI45-1)</f>
        <v>-0.430287014169489</v>
      </c>
      <c r="AO45" s="175"/>
      <c r="BF45" s="175" t="s">
        <v>39</v>
      </c>
      <c r="BG45" s="570"/>
      <c r="BH45" s="176"/>
      <c r="BI45" s="570"/>
      <c r="BJ45" s="176"/>
      <c r="BK45" s="570"/>
      <c r="BL45" s="176"/>
      <c r="BM45" s="570"/>
      <c r="BN45" s="177"/>
      <c r="BO45" s="570"/>
      <c r="BP45" s="177"/>
      <c r="BQ45" s="353"/>
      <c r="BS45" s="9" t="s">
        <v>39</v>
      </c>
      <c r="BT45" s="4">
        <f t="shared" ref="BT45:BT47" si="73">+BT10</f>
        <v>0</v>
      </c>
      <c r="BU45" s="177" t="str">
        <f>IF(BT$44=0,"N.D.",BT45/BT$44)</f>
        <v>N.D.</v>
      </c>
      <c r="BV45" s="4">
        <f t="shared" ref="BV45:BV47" si="74">BV10+BX10</f>
        <v>293.7565026650397</v>
      </c>
      <c r="BW45" s="177">
        <f>IF(BV$44=0,"N.D.",BV45/BV$44)</f>
        <v>0.3242345504029136</v>
      </c>
      <c r="BX45" s="4">
        <f t="shared" ref="BX45:BX47" si="75">BZ10+CB10</f>
        <v>172.81485901444393</v>
      </c>
      <c r="BY45" s="177">
        <f>IF(BX$44=0,"N.D.",BX45/BX$44)</f>
        <v>0.34085771008766058</v>
      </c>
      <c r="BZ45" s="4">
        <f t="shared" ref="BZ45:BZ47" si="76">CD10</f>
        <v>0</v>
      </c>
      <c r="CA45" s="177">
        <f>IF(BZ$44=0,"N.D.",BZ45/BZ$44)</f>
        <v>0</v>
      </c>
      <c r="CB45" s="4">
        <f t="shared" ref="CB45:CB47" si="77">BT45+BV45+BX45+BZ45</f>
        <v>466.57136167948363</v>
      </c>
      <c r="CC45" s="177">
        <f>IF(CB$44=0,"N.D.",CB45/CB$44)</f>
        <v>0.30120810954130639</v>
      </c>
    </row>
    <row r="46" spans="1:85" ht="12.5" hidden="1" customHeight="1" x14ac:dyDescent="0.25">
      <c r="A46" s="238"/>
      <c r="B46" t="s">
        <v>219</v>
      </c>
      <c r="C46" s="314">
        <f>BDER!D12/1000</f>
        <v>0</v>
      </c>
      <c r="D46" s="414" t="str">
        <f t="shared" si="72"/>
        <v>N.D.</v>
      </c>
      <c r="E46" s="570">
        <f>BDER!L12/1000</f>
        <v>0</v>
      </c>
      <c r="F46" s="414" t="str">
        <f t="shared" si="72"/>
        <v>N.D.</v>
      </c>
      <c r="G46" s="314">
        <f>BDER!F12/1000</f>
        <v>0</v>
      </c>
      <c r="H46" s="414" t="str">
        <f>IF(G$44=0,"N.D.",G46/G$44)</f>
        <v>N.D.</v>
      </c>
      <c r="I46" s="314">
        <f>C46-E46</f>
        <v>0</v>
      </c>
      <c r="J46" s="472" t="str">
        <f>IF(E46=0,"N.D.",C46/E46-1)</f>
        <v>N.D.</v>
      </c>
      <c r="K46" s="314">
        <f>C46-G46</f>
        <v>0</v>
      </c>
      <c r="L46" s="472" t="str">
        <f>IF(G46=0,"N.D.",C46/G46-1)</f>
        <v>N.D.</v>
      </c>
      <c r="M46" s="175"/>
      <c r="AD46" t="s">
        <v>219</v>
      </c>
      <c r="AE46" s="314">
        <f>BDER!E12/1000</f>
        <v>0</v>
      </c>
      <c r="AF46" s="176">
        <f>IF(AE$44=0,"N.D.",AE46/AE$44)</f>
        <v>0</v>
      </c>
      <c r="AG46" s="314">
        <f>BDER!M12/1000</f>
        <v>0</v>
      </c>
      <c r="AH46" s="414">
        <f>IF(AG$44=0,"N.D.",AG46/AG$44)</f>
        <v>0</v>
      </c>
      <c r="AI46" s="314">
        <f>BDER!I12/1000</f>
        <v>0</v>
      </c>
      <c r="AJ46" s="414">
        <f>IF(AI$44=0,"N.D.",AI46/AI$44)</f>
        <v>0</v>
      </c>
      <c r="AK46" s="314">
        <f>AE46-AG46</f>
        <v>0</v>
      </c>
      <c r="AL46" s="472" t="str">
        <f>IF(AG46=0,"N.D.",AE46/AG46-1)</f>
        <v>N.D.</v>
      </c>
      <c r="AM46" s="314">
        <f>AE46-AI46</f>
        <v>0</v>
      </c>
      <c r="AN46" s="472" t="str">
        <f>IF(AI46=0,"N.D.",AE46/AI46-1)</f>
        <v>N.D.</v>
      </c>
      <c r="AO46" s="175"/>
      <c r="BF46" s="175" t="s">
        <v>219</v>
      </c>
      <c r="BG46" s="570"/>
      <c r="BH46" s="176"/>
      <c r="BI46" s="570"/>
      <c r="BJ46" s="176"/>
      <c r="BK46" s="570"/>
      <c r="BL46" s="176"/>
      <c r="BM46" s="570"/>
      <c r="BN46" s="177"/>
      <c r="BO46" s="570"/>
      <c r="BP46" s="177"/>
      <c r="BQ46" s="353"/>
      <c r="BS46" s="9" t="s">
        <v>219</v>
      </c>
      <c r="BT46" s="4">
        <f t="shared" si="73"/>
        <v>0</v>
      </c>
      <c r="BU46" s="177" t="str">
        <f>IF(BT$44=0,"N.D.",BT46/BT$44)</f>
        <v>N.D.</v>
      </c>
      <c r="BV46" s="4">
        <f t="shared" si="74"/>
        <v>0</v>
      </c>
      <c r="BW46" s="177">
        <f>IF(BV$44=0,"N.D.",BV46/BV$44)</f>
        <v>0</v>
      </c>
      <c r="BX46" s="4">
        <f t="shared" si="75"/>
        <v>0</v>
      </c>
      <c r="BY46" s="177">
        <f>IF(BX$44=0,"N.D.",BX46/BX$44)</f>
        <v>0</v>
      </c>
      <c r="BZ46" s="4">
        <f t="shared" si="76"/>
        <v>0</v>
      </c>
      <c r="CA46" s="177">
        <f>IF(BZ$44=0,"N.D.",BZ46/BZ$44)</f>
        <v>0</v>
      </c>
      <c r="CB46" s="4">
        <f t="shared" si="77"/>
        <v>0</v>
      </c>
      <c r="CC46" s="177">
        <f>IF(CB$44=0,"N.D.",CB46/CB$44)</f>
        <v>0</v>
      </c>
    </row>
    <row r="47" spans="1:85" ht="12.5" customHeight="1" x14ac:dyDescent="0.3">
      <c r="A47" s="238"/>
      <c r="B47" t="s">
        <v>40</v>
      </c>
      <c r="C47" s="381">
        <f>C44-C45-C46</f>
        <v>0</v>
      </c>
      <c r="D47" s="415" t="str">
        <f t="shared" si="72"/>
        <v>N.D.</v>
      </c>
      <c r="E47" s="106">
        <f>E44-E45-E46</f>
        <v>0</v>
      </c>
      <c r="F47" s="415" t="str">
        <f t="shared" si="72"/>
        <v>N.D.</v>
      </c>
      <c r="G47" s="381">
        <f>G44-G45-G46</f>
        <v>0</v>
      </c>
      <c r="H47" s="415" t="str">
        <f>IF(G$44=0,"N.D.",G47/G$44)</f>
        <v>N.D.</v>
      </c>
      <c r="I47" s="381">
        <f>C47-E47</f>
        <v>0</v>
      </c>
      <c r="J47" s="402" t="str">
        <f>IF(E47=0,"N.D.",C47/E47-1)</f>
        <v>N.D.</v>
      </c>
      <c r="K47" s="381">
        <f>C47-G47</f>
        <v>0</v>
      </c>
      <c r="L47" s="402" t="str">
        <f>IF(G47=0,"N.D.",C47/G47-1)</f>
        <v>N.D.</v>
      </c>
      <c r="M47" s="175"/>
      <c r="AD47" t="s">
        <v>40</v>
      </c>
      <c r="AE47" s="381">
        <f>AE44-AE45-AE46</f>
        <v>3902.0616100000002</v>
      </c>
      <c r="AF47" s="178">
        <f>IF(AE$44=0,"N.D.",AE47/AE$44)</f>
        <v>0.62987074996397718</v>
      </c>
      <c r="AG47" s="381">
        <f>AG44-AG45-AG46</f>
        <v>6809.8929999999991</v>
      </c>
      <c r="AH47" s="415">
        <f>IF(AG$44=0,"N.D.",AG47/AG$44)</f>
        <v>0.62200000164407865</v>
      </c>
      <c r="AI47" s="381">
        <f>AI44-AI45-AI46</f>
        <v>6681.1903699999993</v>
      </c>
      <c r="AJ47" s="415">
        <f>IF(AI$44=0,"N.D.",AI47/AI$44)</f>
        <v>0.62406327744733947</v>
      </c>
      <c r="AK47" s="381">
        <f>AE47-AG47</f>
        <v>-2907.8313899999989</v>
      </c>
      <c r="AL47" s="402">
        <f>IF(AG47=0,"N.D.",AE47/AG47-1)</f>
        <v>-0.42700103951706725</v>
      </c>
      <c r="AM47" s="381">
        <f>AE47-AI47</f>
        <v>-2779.1287599999991</v>
      </c>
      <c r="AN47" s="402">
        <f>IF(AI47=0,"N.D.",AE47/AI47-1)</f>
        <v>-0.4159631152674369</v>
      </c>
      <c r="AO47" s="175"/>
      <c r="BF47" s="175" t="s">
        <v>40</v>
      </c>
      <c r="BG47" s="106"/>
      <c r="BH47" s="178"/>
      <c r="BI47" s="106"/>
      <c r="BJ47" s="178"/>
      <c r="BK47" s="106"/>
      <c r="BL47" s="178"/>
      <c r="BM47" s="106"/>
      <c r="BN47" s="179"/>
      <c r="BO47" s="106"/>
      <c r="BP47" s="179"/>
      <c r="BQ47" s="354"/>
      <c r="BS47" s="9" t="s">
        <v>40</v>
      </c>
      <c r="BT47" s="5">
        <f t="shared" si="73"/>
        <v>0</v>
      </c>
      <c r="BU47" s="179" t="str">
        <f>IF(BT$44=0,"N.D.",BT47/BT$44)</f>
        <v>N.D.</v>
      </c>
      <c r="BV47" s="5">
        <f t="shared" si="74"/>
        <v>612.24349733496024</v>
      </c>
      <c r="BW47" s="179">
        <f>IF(BV$44=0,"N.D.",BV47/BV$44)</f>
        <v>0.6757654495970864</v>
      </c>
      <c r="BX47" s="5">
        <f t="shared" si="75"/>
        <v>334.18514098555613</v>
      </c>
      <c r="BY47" s="179">
        <f>IF(BX$44=0,"N.D.",BX47/BX$44)</f>
        <v>0.65914228991233947</v>
      </c>
      <c r="BZ47" s="5">
        <f t="shared" si="76"/>
        <v>136</v>
      </c>
      <c r="CA47" s="179">
        <f>IF(BZ$44=0,"N.D.",BZ47/BZ$44)</f>
        <v>1</v>
      </c>
      <c r="CB47" s="5">
        <f t="shared" si="77"/>
        <v>1082.4286383205163</v>
      </c>
      <c r="CC47" s="179">
        <f>IF(CB$44=0,"N.D.",CB47/CB$44)</f>
        <v>0.6987918904586935</v>
      </c>
    </row>
    <row r="48" spans="1:85" ht="12.5" customHeight="1" x14ac:dyDescent="0.25">
      <c r="A48" s="238"/>
      <c r="C48" s="419"/>
      <c r="D48" s="416"/>
      <c r="E48" s="568"/>
      <c r="F48" s="416"/>
      <c r="G48" s="419"/>
      <c r="H48" s="416"/>
      <c r="I48" s="419"/>
      <c r="J48" s="352"/>
      <c r="K48" s="419"/>
      <c r="L48" s="352"/>
      <c r="M48" s="175"/>
      <c r="AE48" s="419"/>
      <c r="AF48" s="180"/>
      <c r="AG48" s="419"/>
      <c r="AH48" s="416"/>
      <c r="AI48" s="419"/>
      <c r="AJ48" s="416"/>
      <c r="AK48" s="419"/>
      <c r="AL48" s="352"/>
      <c r="AM48" s="419"/>
      <c r="AN48" s="352"/>
      <c r="AO48" s="175"/>
      <c r="BF48" s="175"/>
      <c r="BG48" s="568"/>
      <c r="BH48" s="180"/>
      <c r="BI48" s="568"/>
      <c r="BJ48" s="180"/>
      <c r="BK48" s="568"/>
      <c r="BL48" s="180"/>
      <c r="BM48" s="568"/>
      <c r="BN48" s="181"/>
      <c r="BO48" s="568"/>
      <c r="BP48" s="181"/>
      <c r="BQ48" s="352"/>
      <c r="BS48" s="9"/>
      <c r="BT48" s="6"/>
      <c r="BU48" s="181"/>
      <c r="BV48" s="6"/>
      <c r="BW48" s="181"/>
      <c r="BX48" s="6"/>
      <c r="BY48" s="181"/>
      <c r="BZ48" s="6"/>
      <c r="CA48" s="181"/>
      <c r="CB48" s="6"/>
      <c r="CC48" s="181"/>
    </row>
    <row r="49" spans="1:81" ht="12.5" customHeight="1" x14ac:dyDescent="0.25">
      <c r="A49" s="238"/>
      <c r="B49" t="s">
        <v>41</v>
      </c>
      <c r="C49" s="418">
        <f>BDER!D14/1000</f>
        <v>0.36657000000000001</v>
      </c>
      <c r="D49" s="417" t="str">
        <f t="shared" si="72"/>
        <v>N.D.</v>
      </c>
      <c r="E49" s="569">
        <f>+C49</f>
        <v>0.36657000000000001</v>
      </c>
      <c r="F49" s="417" t="str">
        <f t="shared" si="72"/>
        <v>N.D.</v>
      </c>
      <c r="G49" s="418">
        <f>+E49</f>
        <v>0.36657000000000001</v>
      </c>
      <c r="H49" s="417" t="str">
        <f>IF(G$44=0,"N.D.",G49/G$44)</f>
        <v>N.D.</v>
      </c>
      <c r="I49" s="418">
        <f>C49-E49</f>
        <v>0</v>
      </c>
      <c r="J49" s="471">
        <f>IF(E49=0,"N.D.",C49/E49-1)</f>
        <v>0</v>
      </c>
      <c r="K49" s="418">
        <f>C49-G49</f>
        <v>0</v>
      </c>
      <c r="L49" s="471">
        <f>IF(G49=0,"N.D.",C49/G49-1)</f>
        <v>0</v>
      </c>
      <c r="M49" s="175"/>
      <c r="AD49" t="s">
        <v>41</v>
      </c>
      <c r="AE49" s="418">
        <f>BDER!E14/1000</f>
        <v>3280.5073399999997</v>
      </c>
      <c r="AF49" s="182">
        <f>IF(AE$44=0,"N.D.",AE49/AE$44)</f>
        <v>0.52953946529514984</v>
      </c>
      <c r="AG49" s="418">
        <f>BDER!M14/1000</f>
        <v>5957.5940000000001</v>
      </c>
      <c r="AH49" s="417">
        <f>IF(AG$44=0,"N.D.",AG49/AG$44)</f>
        <v>0.54415296654363787</v>
      </c>
      <c r="AI49" s="418">
        <f>BDER!I14/1000</f>
        <v>5831.0382699999991</v>
      </c>
      <c r="AJ49" s="417">
        <f>IF(AI$44=0,"N.D.",AI49/AI$44)</f>
        <v>0.5446539691544614</v>
      </c>
      <c r="AK49" s="418">
        <f>AE49-AG49</f>
        <v>-2677.0866600000004</v>
      </c>
      <c r="AL49" s="471">
        <f>IF(AG49=0,"N.D.",AE49/AG49-1)</f>
        <v>-0.44935701560059316</v>
      </c>
      <c r="AM49" s="418">
        <f>AE49-AI49</f>
        <v>-2550.5309299999994</v>
      </c>
      <c r="AN49" s="471">
        <f>IF(AI49=0,"N.D.",AE49/AI49-1)</f>
        <v>-0.43740596646778651</v>
      </c>
      <c r="AO49" s="175"/>
      <c r="BF49" s="175" t="s">
        <v>41</v>
      </c>
      <c r="BG49" s="569"/>
      <c r="BH49" s="182"/>
      <c r="BI49" s="569"/>
      <c r="BJ49" s="182"/>
      <c r="BK49" s="569"/>
      <c r="BL49" s="182"/>
      <c r="BM49" s="569"/>
      <c r="BN49" s="183"/>
      <c r="BO49" s="569"/>
      <c r="BP49" s="183"/>
      <c r="BQ49" s="353"/>
      <c r="BS49" s="9" t="s">
        <v>41</v>
      </c>
      <c r="BT49" s="3">
        <f t="shared" ref="BT49:BT53" si="78">+BT14</f>
        <v>0</v>
      </c>
      <c r="BU49" s="183" t="str">
        <f>IF(BT$44=0,"N.D.",BT49/BT$44)</f>
        <v>N.D.</v>
      </c>
      <c r="BV49" s="3">
        <f t="shared" ref="BV49:BV53" si="79">BV14+BX14</f>
        <v>571.6040173112965</v>
      </c>
      <c r="BW49" s="183">
        <f>IF(BV$44=0,"N.D.",BV49/BV$44)</f>
        <v>0.63090951138112195</v>
      </c>
      <c r="BX49" s="3">
        <f t="shared" ref="BX49:BX53" si="80">BZ14+CB14</f>
        <v>337.33225290174778</v>
      </c>
      <c r="BY49" s="183">
        <f>IF(BX$44=0,"N.D.",BX49/BX$44)</f>
        <v>0.66534961124605085</v>
      </c>
      <c r="BZ49" s="3">
        <f t="shared" ref="BZ49:BZ53" si="81">CD14</f>
        <v>6</v>
      </c>
      <c r="CA49" s="183">
        <f>IF(BZ$44=0,"N.D.",BZ49/BZ$44)</f>
        <v>4.4117647058823532E-2</v>
      </c>
      <c r="CB49" s="3">
        <f t="shared" ref="CB49:CB53" si="82">BT49+BV49+BX49+BZ49</f>
        <v>914.93627021304428</v>
      </c>
      <c r="CC49" s="183">
        <f>IF(CB$44=0,"N.D.",CB49/CB$44)</f>
        <v>0.59066253725825968</v>
      </c>
    </row>
    <row r="50" spans="1:81" ht="12.5" customHeight="1" x14ac:dyDescent="0.25">
      <c r="A50" s="238"/>
      <c r="B50" t="s">
        <v>42</v>
      </c>
      <c r="C50" s="314">
        <f>BDER!D15/1000</f>
        <v>8.5841399999999997</v>
      </c>
      <c r="D50" s="414" t="str">
        <f t="shared" si="72"/>
        <v>N.D.</v>
      </c>
      <c r="E50" s="570">
        <f>+C50</f>
        <v>8.5841399999999997</v>
      </c>
      <c r="F50" s="414" t="str">
        <f t="shared" si="72"/>
        <v>N.D.</v>
      </c>
      <c r="G50" s="314">
        <f>+E50</f>
        <v>8.5841399999999997</v>
      </c>
      <c r="H50" s="414" t="str">
        <f>IF(G$44=0,"N.D.",G50/G$44)</f>
        <v>N.D.</v>
      </c>
      <c r="I50" s="314">
        <f>C50-E50</f>
        <v>0</v>
      </c>
      <c r="J50" s="472">
        <f>IF(E50=0,"N.D.",C50/E50-1)</f>
        <v>0</v>
      </c>
      <c r="K50" s="314">
        <f>C50-G50</f>
        <v>0</v>
      </c>
      <c r="L50" s="472">
        <f>IF(G50=0,"N.D.",C50/G50-1)</f>
        <v>0</v>
      </c>
      <c r="M50" s="175"/>
      <c r="AD50" t="s">
        <v>42</v>
      </c>
      <c r="AE50" s="314">
        <f>BDER!E15/1000</f>
        <v>425.40971999999999</v>
      </c>
      <c r="AF50" s="414">
        <f>IF(AE$44=0,"N.D.",AE50/AE$44)</f>
        <v>6.866963317331258E-2</v>
      </c>
      <c r="AG50" s="314">
        <f>BDER!M15/1000</f>
        <v>663.51900000000001</v>
      </c>
      <c r="AH50" s="414">
        <f>IF(AG$44=0,"N.D.",AG50/AG$44)</f>
        <v>6.0604303047181132E-2</v>
      </c>
      <c r="AI50" s="314">
        <f>BDER!I15/1000</f>
        <v>663.52038000000005</v>
      </c>
      <c r="AJ50" s="414">
        <f>IF(AI$44=0,"N.D.",AI50/AI$44)</f>
        <v>6.1976785582283027E-2</v>
      </c>
      <c r="AK50" s="314">
        <f>AE50-AG50</f>
        <v>-238.10928000000001</v>
      </c>
      <c r="AL50" s="472">
        <f>IF(AG50=0,"N.D.",AE50/AG50-1)</f>
        <v>-0.35885826931858777</v>
      </c>
      <c r="AM50" s="314">
        <f>AE50-AI50</f>
        <v>-238.11066000000005</v>
      </c>
      <c r="AN50" s="472">
        <f>IF(AI50=0,"N.D.",AE50/AI50-1)</f>
        <v>-0.35885960277512507</v>
      </c>
      <c r="AO50" s="175"/>
      <c r="BF50" s="175" t="s">
        <v>42</v>
      </c>
      <c r="BG50" s="570"/>
      <c r="BH50" s="176"/>
      <c r="BI50" s="570"/>
      <c r="BJ50" s="176"/>
      <c r="BK50" s="570"/>
      <c r="BL50" s="176"/>
      <c r="BM50" s="570"/>
      <c r="BN50" s="177"/>
      <c r="BO50" s="570"/>
      <c r="BP50" s="177"/>
      <c r="BQ50" s="353"/>
      <c r="BS50" s="9" t="s">
        <v>42</v>
      </c>
      <c r="BT50" s="4">
        <f t="shared" si="78"/>
        <v>0</v>
      </c>
      <c r="BU50" s="177" t="str">
        <f>IF(BT$44=0,"N.D.",BT50/BT$44)</f>
        <v>N.D.</v>
      </c>
      <c r="BV50" s="4">
        <f t="shared" si="79"/>
        <v>27</v>
      </c>
      <c r="BW50" s="177">
        <f>IF(BV$44=0,"N.D.",BV50/BV$44)</f>
        <v>2.9801324503311258E-2</v>
      </c>
      <c r="BX50" s="4">
        <f t="shared" si="80"/>
        <v>34</v>
      </c>
      <c r="BY50" s="177">
        <f>IF(BX$44=0,"N.D.",BX50/BX$44)</f>
        <v>6.7061143984220903E-2</v>
      </c>
      <c r="BZ50" s="4">
        <f t="shared" si="81"/>
        <v>10</v>
      </c>
      <c r="CA50" s="177">
        <f>IF(BZ$44=0,"N.D.",BZ50/BZ$44)</f>
        <v>7.3529411764705885E-2</v>
      </c>
      <c r="CB50" s="4">
        <f t="shared" si="82"/>
        <v>71</v>
      </c>
      <c r="CC50" s="177">
        <f>IF(CB$44=0,"N.D.",CB50/CB$44)</f>
        <v>4.5836023240800515E-2</v>
      </c>
    </row>
    <row r="51" spans="1:81" ht="12.5" customHeight="1" x14ac:dyDescent="0.25">
      <c r="A51" s="238"/>
      <c r="B51" t="s">
        <v>43</v>
      </c>
      <c r="C51" s="314">
        <f>BDER!D16/1000</f>
        <v>0</v>
      </c>
      <c r="D51" s="414" t="str">
        <f t="shared" si="72"/>
        <v>N.D.</v>
      </c>
      <c r="E51" s="570">
        <f>+C51</f>
        <v>0</v>
      </c>
      <c r="F51" s="414" t="str">
        <f t="shared" si="72"/>
        <v>N.D.</v>
      </c>
      <c r="G51" s="314">
        <f>+E51</f>
        <v>0</v>
      </c>
      <c r="H51" s="414" t="str">
        <f>IF(G$44=0,"N.D.",G51/G$44)</f>
        <v>N.D.</v>
      </c>
      <c r="I51" s="314">
        <f>C51-E51</f>
        <v>0</v>
      </c>
      <c r="J51" s="472" t="str">
        <f>IF(E51=0,"N.D.",C51/E51-1)</f>
        <v>N.D.</v>
      </c>
      <c r="K51" s="314">
        <f>C51-G51</f>
        <v>0</v>
      </c>
      <c r="L51" s="472" t="str">
        <f>IF(G51=0,"N.D.",C51/G51-1)</f>
        <v>N.D.</v>
      </c>
      <c r="M51" s="175"/>
      <c r="AD51" t="s">
        <v>43</v>
      </c>
      <c r="AE51" s="314">
        <f>BDER!E16/1000</f>
        <v>61.529199999999996</v>
      </c>
      <c r="AF51" s="414">
        <f>IF(AE$44=0,"N.D.",AE51/AE$44)</f>
        <v>9.9320429101793541E-3</v>
      </c>
      <c r="AG51" s="314">
        <f>BDER!M16/1000</f>
        <v>85.841999999999999</v>
      </c>
      <c r="AH51" s="414">
        <f>IF(AG$44=0,"N.D.",AG51/AG$44)</f>
        <v>7.8406113196097214E-3</v>
      </c>
      <c r="AI51" s="314">
        <f>BDER!I16/1000</f>
        <v>92.293800000000005</v>
      </c>
      <c r="AJ51" s="414">
        <f>IF(AI$44=0,"N.D.",AI51/AI$44)</f>
        <v>8.620794817446471E-3</v>
      </c>
      <c r="AK51" s="314">
        <f>AE51-AG51</f>
        <v>-24.312800000000003</v>
      </c>
      <c r="AL51" s="472">
        <f>IF(AG51=0,"N.D.",AE51/AG51-1)</f>
        <v>-0.28322732461965006</v>
      </c>
      <c r="AM51" s="314">
        <f>AE51-AI51</f>
        <v>-30.764600000000009</v>
      </c>
      <c r="AN51" s="472">
        <f>IF(AI51=0,"N.D.",AE51/AI51-1)</f>
        <v>-0.33333333333333337</v>
      </c>
      <c r="AO51" s="175"/>
      <c r="BF51" s="175" t="s">
        <v>43</v>
      </c>
      <c r="BG51" s="570"/>
      <c r="BH51" s="176"/>
      <c r="BI51" s="570"/>
      <c r="BJ51" s="176"/>
      <c r="BK51" s="570"/>
      <c r="BL51" s="176"/>
      <c r="BM51" s="570"/>
      <c r="BN51" s="177"/>
      <c r="BO51" s="570"/>
      <c r="BP51" s="177"/>
      <c r="BQ51" s="353"/>
      <c r="BS51" s="9" t="s">
        <v>43</v>
      </c>
      <c r="BT51" s="4">
        <f t="shared" si="78"/>
        <v>0</v>
      </c>
      <c r="BU51" s="177" t="str">
        <f>IF(BT$44=0,"N.D.",BT51/BT$44)</f>
        <v>N.D.</v>
      </c>
      <c r="BV51" s="4">
        <f t="shared" si="79"/>
        <v>3</v>
      </c>
      <c r="BW51" s="177">
        <f>IF(BV$44=0,"N.D.",BV51/BV$44)</f>
        <v>3.3112582781456954E-3</v>
      </c>
      <c r="BX51" s="4">
        <f t="shared" si="80"/>
        <v>24</v>
      </c>
      <c r="BY51" s="177">
        <f>IF(BX$44=0,"N.D.",BX51/BX$44)</f>
        <v>4.7337278106508875E-2</v>
      </c>
      <c r="BZ51" s="4">
        <f t="shared" si="81"/>
        <v>21</v>
      </c>
      <c r="CA51" s="177">
        <f>IF(BZ$44=0,"N.D.",BZ51/BZ$44)</f>
        <v>0.15441176470588236</v>
      </c>
      <c r="CB51" s="4">
        <f t="shared" si="82"/>
        <v>48</v>
      </c>
      <c r="CC51" s="177">
        <f>IF(CB$44=0,"N.D.",CB51/CB$44)</f>
        <v>3.0987734021949646E-2</v>
      </c>
    </row>
    <row r="52" spans="1:81" ht="12.5" customHeight="1" x14ac:dyDescent="0.3">
      <c r="A52" s="238"/>
      <c r="B52" t="s">
        <v>44</v>
      </c>
      <c r="C52" s="381">
        <f>C49+C50+C51</f>
        <v>8.9507099999999991</v>
      </c>
      <c r="D52" s="415" t="str">
        <f t="shared" si="72"/>
        <v>N.D.</v>
      </c>
      <c r="E52" s="106">
        <f>E49+E50+E51</f>
        <v>8.9507099999999991</v>
      </c>
      <c r="F52" s="415" t="str">
        <f t="shared" si="72"/>
        <v>N.D.</v>
      </c>
      <c r="G52" s="381">
        <f>G49+G50+G51</f>
        <v>8.9507099999999991</v>
      </c>
      <c r="H52" s="415" t="str">
        <f>IF(G$44=0,"N.D.",G52/G$44)</f>
        <v>N.D.</v>
      </c>
      <c r="I52" s="381">
        <f>C52-E52</f>
        <v>0</v>
      </c>
      <c r="J52" s="402">
        <f>IF(E52=0,"N.D.",C52/E52-1)</f>
        <v>0</v>
      </c>
      <c r="K52" s="381">
        <f>C52-G52</f>
        <v>0</v>
      </c>
      <c r="L52" s="402">
        <f>IF(G52=0,"N.D.",C52/G52-1)</f>
        <v>0</v>
      </c>
      <c r="M52" s="175"/>
      <c r="AD52" t="s">
        <v>44</v>
      </c>
      <c r="AE52" s="381">
        <f>AE49+AE50+AE51</f>
        <v>3767.4462599999997</v>
      </c>
      <c r="AF52" s="415">
        <f>IF(AE$44=0,"N.D.",AE52/AE$44)</f>
        <v>0.60814114137864173</v>
      </c>
      <c r="AG52" s="381">
        <f>AG49+AG50+AG51</f>
        <v>6706.9549999999999</v>
      </c>
      <c r="AH52" s="415">
        <f>IF(AG$44=0,"N.D.",AG52/AG$44)</f>
        <v>0.61259788091042866</v>
      </c>
      <c r="AI52" s="381">
        <f>AI49+AI50+AI51</f>
        <v>6586.8524499999994</v>
      </c>
      <c r="AJ52" s="415">
        <f>IF(AI$44=0,"N.D.",AI52/AI$44)</f>
        <v>0.61525154955419092</v>
      </c>
      <c r="AK52" s="381">
        <f>AE52-AG52</f>
        <v>-2939.5087400000002</v>
      </c>
      <c r="AL52" s="402">
        <f>IF(AG52=0,"N.D.",AE52/AG52-1)</f>
        <v>-0.43827768935381262</v>
      </c>
      <c r="AM52" s="381">
        <f>AE52-AI52</f>
        <v>-2819.4061899999997</v>
      </c>
      <c r="AN52" s="402">
        <f>IF(AI52=0,"N.D.",AE52/AI52-1)</f>
        <v>-0.42803542532670513</v>
      </c>
      <c r="AO52" s="175"/>
      <c r="BF52" s="175" t="s">
        <v>44</v>
      </c>
      <c r="BG52" s="106"/>
      <c r="BH52" s="178"/>
      <c r="BI52" s="106"/>
      <c r="BJ52" s="178"/>
      <c r="BK52" s="106"/>
      <c r="BL52" s="178"/>
      <c r="BM52" s="106"/>
      <c r="BN52" s="179"/>
      <c r="BO52" s="106"/>
      <c r="BP52" s="179"/>
      <c r="BQ52" s="354"/>
      <c r="BS52" s="9" t="s">
        <v>44</v>
      </c>
      <c r="BT52" s="5">
        <f t="shared" si="78"/>
        <v>0</v>
      </c>
      <c r="BU52" s="179" t="str">
        <f>IF(BT$44=0,"N.D.",BT52/BT$44)</f>
        <v>N.D.</v>
      </c>
      <c r="BV52" s="5">
        <f t="shared" si="79"/>
        <v>601.6040173112965</v>
      </c>
      <c r="BW52" s="179">
        <f>IF(BV$44=0,"N.D.",BV52/BV$44)</f>
        <v>0.66402209416257896</v>
      </c>
      <c r="BX52" s="5">
        <f t="shared" si="80"/>
        <v>395.33225290174778</v>
      </c>
      <c r="BY52" s="179">
        <f>IF(BX$44=0,"N.D.",BX52/BX$44)</f>
        <v>0.77974803333678067</v>
      </c>
      <c r="BZ52" s="5">
        <f t="shared" si="81"/>
        <v>37</v>
      </c>
      <c r="CA52" s="179">
        <f>IF(BZ$44=0,"N.D.",BZ52/BZ$44)</f>
        <v>0.27205882352941174</v>
      </c>
      <c r="CB52" s="5">
        <f t="shared" si="82"/>
        <v>1033.9362702130443</v>
      </c>
      <c r="CC52" s="179">
        <f>IF(CB$44=0,"N.D.",CB52/CB$44)</f>
        <v>0.66748629452100983</v>
      </c>
    </row>
    <row r="53" spans="1:81" ht="12.5" customHeight="1" x14ac:dyDescent="0.3">
      <c r="A53" s="238"/>
      <c r="B53" t="s">
        <v>45</v>
      </c>
      <c r="C53" s="381">
        <f>C47-C52</f>
        <v>-8.9507099999999991</v>
      </c>
      <c r="D53" s="415" t="str">
        <f t="shared" si="72"/>
        <v>N.D.</v>
      </c>
      <c r="E53" s="106">
        <f>E47-E52</f>
        <v>-8.9507099999999991</v>
      </c>
      <c r="F53" s="415" t="str">
        <f t="shared" si="72"/>
        <v>N.D.</v>
      </c>
      <c r="G53" s="381">
        <f>G47-G52</f>
        <v>-8.9507099999999991</v>
      </c>
      <c r="H53" s="415" t="str">
        <f>IF(G$44=0,"N.D.",G53/G$44)</f>
        <v>N.D.</v>
      </c>
      <c r="I53" s="381">
        <f>C53-E53</f>
        <v>0</v>
      </c>
      <c r="J53" s="402">
        <f>IF(E53=0,"N.D.",C53/E53-1)</f>
        <v>0</v>
      </c>
      <c r="K53" s="381">
        <f>C53-G53</f>
        <v>0</v>
      </c>
      <c r="L53" s="402">
        <f>IF(G53=0,"N.D.",C53/G53-1)</f>
        <v>0</v>
      </c>
      <c r="M53" s="175"/>
      <c r="AD53" t="s">
        <v>45</v>
      </c>
      <c r="AE53" s="381">
        <f>AE47-AE52</f>
        <v>134.61535000000049</v>
      </c>
      <c r="AF53" s="415">
        <f>IF(AE$44=0,"N.D.",AE53/AE$44)</f>
        <v>2.1729608585335375E-2</v>
      </c>
      <c r="AG53" s="381">
        <f>AG47-AG52</f>
        <v>102.93799999999919</v>
      </c>
      <c r="AH53" s="415">
        <f>IF(AG$44=0,"N.D.",AG53/AG$44)</f>
        <v>9.4021207336499515E-3</v>
      </c>
      <c r="AI53" s="381">
        <f>AI47-AI52</f>
        <v>94.33791999999994</v>
      </c>
      <c r="AJ53" s="486">
        <f>IF(AI$44=0,"N.D.",AI53/AI$44)</f>
        <v>8.8117278931486107E-3</v>
      </c>
      <c r="AK53" s="381">
        <f>AE53-AG53</f>
        <v>31.677350000001297</v>
      </c>
      <c r="AL53" s="402">
        <f>IF(AG53=0,"N.D.",AE53/AG53-1)</f>
        <v>0.30773232431173669</v>
      </c>
      <c r="AM53" s="381">
        <f>AE53-AI53</f>
        <v>40.27743000000055</v>
      </c>
      <c r="AN53" s="402">
        <f>IF(AI53=0,"N.D.",AE53/AI53-1)</f>
        <v>0.42694846356587646</v>
      </c>
      <c r="AO53" s="175"/>
      <c r="BF53" s="175" t="s">
        <v>45</v>
      </c>
      <c r="BG53" s="106"/>
      <c r="BH53" s="178"/>
      <c r="BI53" s="106"/>
      <c r="BJ53" s="178"/>
      <c r="BK53" s="106"/>
      <c r="BL53" s="587"/>
      <c r="BM53" s="106"/>
      <c r="BN53" s="179"/>
      <c r="BO53" s="106"/>
      <c r="BP53" s="179"/>
      <c r="BQ53" s="354"/>
      <c r="BS53" s="9" t="s">
        <v>45</v>
      </c>
      <c r="BT53" s="5">
        <f t="shared" si="78"/>
        <v>0</v>
      </c>
      <c r="BU53" s="179" t="str">
        <f>IF(BT$44=0,"N.D.",BT53/BT$44)</f>
        <v>N.D.</v>
      </c>
      <c r="BV53" s="5">
        <f t="shared" si="79"/>
        <v>10.639480023663765</v>
      </c>
      <c r="BW53" s="179">
        <f>IF(BV$44=0,"N.D.",BV53/BV$44)</f>
        <v>1.1743355434507467E-2</v>
      </c>
      <c r="BX53" s="5">
        <f t="shared" si="80"/>
        <v>-61.147111916191676</v>
      </c>
      <c r="BY53" s="179">
        <f>IF(BX$44=0,"N.D.",BX53/BX$44)</f>
        <v>-0.12060574342444118</v>
      </c>
      <c r="BZ53" s="5">
        <f t="shared" si="81"/>
        <v>99</v>
      </c>
      <c r="CA53" s="179">
        <f>IF(BZ$44=0,"N.D.",BZ53/BZ$44)</f>
        <v>0.7279411764705882</v>
      </c>
      <c r="CB53" s="5">
        <f t="shared" si="82"/>
        <v>48.492368107472089</v>
      </c>
      <c r="CC53" s="179">
        <f>IF(CB$44=0,"N.D.",CB53/CB$44)</f>
        <v>3.1305595937683721E-2</v>
      </c>
    </row>
    <row r="54" spans="1:81" ht="12.5" customHeight="1" x14ac:dyDescent="0.25">
      <c r="A54" s="238"/>
      <c r="C54" s="437"/>
      <c r="D54" s="487"/>
      <c r="E54" s="571"/>
      <c r="F54" s="502"/>
      <c r="G54" s="437"/>
      <c r="H54" s="487"/>
      <c r="I54" s="437"/>
      <c r="J54" s="473"/>
      <c r="K54" s="437"/>
      <c r="L54" s="473"/>
      <c r="M54" s="175"/>
      <c r="AE54" s="437"/>
      <c r="AF54" s="487"/>
      <c r="AG54" s="437"/>
      <c r="AH54" s="487"/>
      <c r="AI54" s="437"/>
      <c r="AJ54" s="487"/>
      <c r="AK54" s="437"/>
      <c r="AL54" s="473"/>
      <c r="AM54" s="437"/>
      <c r="AN54" s="473"/>
      <c r="AO54" s="175"/>
      <c r="BF54" s="175"/>
      <c r="BG54" s="571"/>
      <c r="BH54" s="588"/>
      <c r="BI54" s="571"/>
      <c r="BJ54" s="588"/>
      <c r="BK54" s="571"/>
      <c r="BL54" s="588"/>
      <c r="BM54" s="571"/>
      <c r="BN54" s="185"/>
      <c r="BO54" s="571"/>
      <c r="BP54" s="185"/>
      <c r="BQ54" s="352"/>
      <c r="BT54" s="109"/>
      <c r="BU54" s="185"/>
      <c r="BV54" s="109"/>
      <c r="BW54" s="185"/>
      <c r="BX54" s="109"/>
      <c r="BY54" s="185"/>
      <c r="BZ54" s="109"/>
      <c r="CA54" s="185"/>
      <c r="CB54" s="109"/>
      <c r="CC54" s="185"/>
    </row>
    <row r="55" spans="1:81" ht="12.5" hidden="1" customHeight="1" x14ac:dyDescent="0.25">
      <c r="A55" s="238"/>
      <c r="C55" s="418">
        <v>0</v>
      </c>
      <c r="D55" s="417" t="str">
        <f t="shared" si="72"/>
        <v>N.D.</v>
      </c>
      <c r="E55" s="569">
        <v>0</v>
      </c>
      <c r="F55" s="417" t="str">
        <f t="shared" si="72"/>
        <v>N.D.</v>
      </c>
      <c r="G55" s="418">
        <v>0</v>
      </c>
      <c r="H55" s="417" t="str">
        <f t="shared" ref="H55:H61" si="83">IF(G$44=0,"N.D.",G55/G$44)</f>
        <v>N.D.</v>
      </c>
      <c r="I55" s="418">
        <f t="shared" ref="I55:I61" si="84">C55-E55</f>
        <v>0</v>
      </c>
      <c r="J55" s="471" t="str">
        <f t="shared" ref="J55:J61" si="85">IF(E55=0,"N.D.",C55/E55-1)</f>
        <v>N.D.</v>
      </c>
      <c r="K55" s="418">
        <f t="shared" ref="K55:K61" si="86">C55-G55</f>
        <v>0</v>
      </c>
      <c r="L55" s="471" t="str">
        <f t="shared" ref="L55:L61" si="87">IF(G55=0,"N.D.",C55/G55-1)</f>
        <v>N.D.</v>
      </c>
      <c r="M55" s="175"/>
      <c r="AE55" s="418">
        <v>0</v>
      </c>
      <c r="AF55" s="417">
        <f t="shared" ref="AF55:AF61" si="88">IF(AE$44=0,"N.D.",AE55/AE$44)</f>
        <v>0</v>
      </c>
      <c r="AG55" s="418">
        <v>0</v>
      </c>
      <c r="AH55" s="417">
        <f t="shared" ref="AH55:AH61" si="89">IF(AG$44=0,"N.D.",AG55/AG$44)</f>
        <v>0</v>
      </c>
      <c r="AI55" s="418">
        <v>0</v>
      </c>
      <c r="AJ55" s="417">
        <f t="shared" ref="AJ55:AJ61" si="90">IF(AI$44=0,"N.D.",AI55/AI$44)</f>
        <v>0</v>
      </c>
      <c r="AK55" s="418">
        <f t="shared" ref="AK55:AK61" si="91">AE55-AG55</f>
        <v>0</v>
      </c>
      <c r="AL55" s="471" t="str">
        <f t="shared" ref="AL55:AL61" si="92">IF(AG55=0,"N.D.",AE55/AG55-1)</f>
        <v>N.D.</v>
      </c>
      <c r="AM55" s="418">
        <f t="shared" ref="AM55:AM61" si="93">AE55-AI55</f>
        <v>0</v>
      </c>
      <c r="AN55" s="471" t="str">
        <f t="shared" ref="AN55:AN61" si="94">IF(AI55=0,"N.D.",AE55/AI55-1)</f>
        <v>N.D.</v>
      </c>
      <c r="AO55" s="175"/>
      <c r="BF55" s="175"/>
      <c r="BG55" s="569"/>
      <c r="BH55" s="182"/>
      <c r="BI55" s="569"/>
      <c r="BJ55" s="182"/>
      <c r="BK55" s="569"/>
      <c r="BL55" s="182"/>
      <c r="BM55" s="569"/>
      <c r="BN55" s="183"/>
      <c r="BO55" s="569"/>
      <c r="BP55" s="183"/>
      <c r="BQ55" s="353"/>
      <c r="BS55" s="9"/>
      <c r="BT55" s="3"/>
      <c r="BU55" s="183"/>
      <c r="BV55" s="3">
        <f>BG125</f>
        <v>0</v>
      </c>
      <c r="BW55" s="183"/>
      <c r="BX55" s="3">
        <f>BG160</f>
        <v>0</v>
      </c>
      <c r="BY55" s="183"/>
      <c r="BZ55" s="3">
        <f>BG195</f>
        <v>217.90257409307233</v>
      </c>
      <c r="CA55" s="183"/>
      <c r="CB55" s="3" t="e">
        <f>+BT55+BV55+BX55+BZ55+#REF!+CD55</f>
        <v>#REF!</v>
      </c>
      <c r="CC55" s="183"/>
    </row>
    <row r="56" spans="1:81" ht="12.5" customHeight="1" x14ac:dyDescent="0.25">
      <c r="A56" s="238"/>
      <c r="B56" t="s">
        <v>52</v>
      </c>
      <c r="C56" s="314">
        <f>BDER!D20/1000</f>
        <v>-4.2791399999999999</v>
      </c>
      <c r="D56" s="414" t="str">
        <f t="shared" si="72"/>
        <v>N.D.</v>
      </c>
      <c r="E56" s="570">
        <f>+C56</f>
        <v>-4.2791399999999999</v>
      </c>
      <c r="F56" s="414" t="str">
        <f t="shared" si="72"/>
        <v>N.D.</v>
      </c>
      <c r="G56" s="314">
        <f>+E56</f>
        <v>-4.2791399999999999</v>
      </c>
      <c r="H56" s="414" t="str">
        <f t="shared" si="83"/>
        <v>N.D.</v>
      </c>
      <c r="I56" s="314">
        <f t="shared" si="84"/>
        <v>0</v>
      </c>
      <c r="J56" s="472">
        <f t="shared" si="85"/>
        <v>0</v>
      </c>
      <c r="K56" s="314">
        <f t="shared" si="86"/>
        <v>0</v>
      </c>
      <c r="L56" s="472">
        <f t="shared" si="87"/>
        <v>0</v>
      </c>
      <c r="M56" s="175"/>
      <c r="AD56" t="s">
        <v>52</v>
      </c>
      <c r="AE56" s="314">
        <f>BDER!E20/1000</f>
        <v>-150.84214</v>
      </c>
      <c r="AF56" s="414">
        <f t="shared" si="88"/>
        <v>-2.434893688107893E-2</v>
      </c>
      <c r="AG56" s="314">
        <f>BDER!M20/1000-30</f>
        <v>-338.28</v>
      </c>
      <c r="AH56" s="414">
        <f t="shared" si="89"/>
        <v>-3.0897719032613132E-2</v>
      </c>
      <c r="AI56" s="314">
        <f>BDER!I20/1000</f>
        <v>-287.56569000000002</v>
      </c>
      <c r="AJ56" s="414">
        <f t="shared" si="90"/>
        <v>-2.6860361259666614E-2</v>
      </c>
      <c r="AK56" s="314">
        <f t="shared" si="91"/>
        <v>187.43785999999997</v>
      </c>
      <c r="AL56" s="472">
        <f t="shared" si="92"/>
        <v>-0.55409087146742342</v>
      </c>
      <c r="AM56" s="314">
        <f t="shared" si="93"/>
        <v>136.72355000000002</v>
      </c>
      <c r="AN56" s="472">
        <f t="shared" si="94"/>
        <v>-0.47545153943782381</v>
      </c>
      <c r="AO56" s="175"/>
      <c r="BF56" s="175" t="s">
        <v>52</v>
      </c>
      <c r="BG56" s="570"/>
      <c r="BH56" s="176"/>
      <c r="BI56" s="570"/>
      <c r="BJ56" s="176"/>
      <c r="BK56" s="570"/>
      <c r="BL56" s="176"/>
      <c r="BM56" s="570"/>
      <c r="BN56" s="177"/>
      <c r="BO56" s="570"/>
      <c r="BP56" s="177"/>
      <c r="BQ56" s="353"/>
      <c r="BS56" s="9" t="s">
        <v>52</v>
      </c>
      <c r="BT56" s="4">
        <f t="shared" ref="BT56:BT61" si="95">+BT21</f>
        <v>0</v>
      </c>
      <c r="BU56" s="177" t="str">
        <f>IF(BT$44=0,"N.D.",BT56/BT$44)</f>
        <v>N.D.</v>
      </c>
      <c r="BV56" s="4">
        <f t="shared" ref="BV56:BV61" si="96">BV21+BX21</f>
        <v>-4</v>
      </c>
      <c r="BW56" s="177">
        <f>IF(BV$44=0,"N.D.",BV56/BV$44)</f>
        <v>-4.4150110375275938E-3</v>
      </c>
      <c r="BX56" s="4">
        <f t="shared" ref="BX56:BX61" si="97">BZ21+CB21</f>
        <v>-4</v>
      </c>
      <c r="BY56" s="177">
        <f>IF(BX$44=0,"N.D.",BX56/BX$44)</f>
        <v>-7.889546351084813E-3</v>
      </c>
      <c r="BZ56" s="4">
        <f t="shared" ref="BZ56:BZ61" si="98">CD21</f>
        <v>0</v>
      </c>
      <c r="CA56" s="177">
        <f>IF(BZ$44=0,"N.D.",BZ56/BZ$44)</f>
        <v>0</v>
      </c>
      <c r="CB56" s="4">
        <f t="shared" ref="CB56:CB61" si="99">BT56+BV56+BX56+BZ56</f>
        <v>-8</v>
      </c>
      <c r="CC56" s="177">
        <f>IF(CB$44=0,"N.D.",CB56/CB$44)</f>
        <v>-5.1646223369916072E-3</v>
      </c>
    </row>
    <row r="57" spans="1:81" ht="12.5" customHeight="1" x14ac:dyDescent="0.25">
      <c r="A57" s="238"/>
      <c r="B57" t="s">
        <v>184</v>
      </c>
      <c r="C57" s="314">
        <f>BDER!D21/1000</f>
        <v>0</v>
      </c>
      <c r="D57" s="414" t="str">
        <f t="shared" si="72"/>
        <v>N.D.</v>
      </c>
      <c r="E57" s="570">
        <f>+C57</f>
        <v>0</v>
      </c>
      <c r="F57" s="414" t="str">
        <f t="shared" si="72"/>
        <v>N.D.</v>
      </c>
      <c r="G57" s="314">
        <f>+E57</f>
        <v>0</v>
      </c>
      <c r="H57" s="414" t="str">
        <f t="shared" si="83"/>
        <v>N.D.</v>
      </c>
      <c r="I57" s="314">
        <f t="shared" si="84"/>
        <v>0</v>
      </c>
      <c r="J57" s="472" t="str">
        <f t="shared" si="85"/>
        <v>N.D.</v>
      </c>
      <c r="K57" s="314">
        <f t="shared" si="86"/>
        <v>0</v>
      </c>
      <c r="L57" s="472" t="str">
        <f t="shared" si="87"/>
        <v>N.D.</v>
      </c>
      <c r="M57" s="175"/>
      <c r="AD57" t="s">
        <v>184</v>
      </c>
      <c r="AE57" s="314">
        <f>BDER!E21/1000</f>
        <v>118.64276</v>
      </c>
      <c r="AF57" s="414">
        <f t="shared" si="88"/>
        <v>1.915131325130362E-2</v>
      </c>
      <c r="AG57" s="314">
        <f>BDER!M21/1000+31</f>
        <v>218.26499999999999</v>
      </c>
      <c r="AH57" s="414">
        <f t="shared" si="89"/>
        <v>1.9935824301328207E-2</v>
      </c>
      <c r="AI57" s="314">
        <f>BDER!I21/1000</f>
        <v>179.94315</v>
      </c>
      <c r="AJ57" s="414">
        <f t="shared" si="90"/>
        <v>1.6807770131417203E-2</v>
      </c>
      <c r="AK57" s="314">
        <f t="shared" si="91"/>
        <v>-99.622239999999991</v>
      </c>
      <c r="AL57" s="472">
        <f t="shared" si="92"/>
        <v>-0.45642792018876133</v>
      </c>
      <c r="AM57" s="314">
        <f t="shared" si="93"/>
        <v>-61.300390000000007</v>
      </c>
      <c r="AN57" s="472">
        <f t="shared" si="94"/>
        <v>-0.34066531568442593</v>
      </c>
      <c r="AO57" s="175"/>
      <c r="BF57" s="175" t="s">
        <v>184</v>
      </c>
      <c r="BG57" s="570"/>
      <c r="BH57" s="176"/>
      <c r="BI57" s="570"/>
      <c r="BJ57" s="176"/>
      <c r="BK57" s="570"/>
      <c r="BL57" s="176"/>
      <c r="BM57" s="570"/>
      <c r="BN57" s="177"/>
      <c r="BO57" s="570"/>
      <c r="BP57" s="177"/>
      <c r="BQ57" s="353"/>
      <c r="BS57" s="9" t="s">
        <v>184</v>
      </c>
      <c r="BT57" s="4">
        <f t="shared" si="95"/>
        <v>0</v>
      </c>
      <c r="BU57" s="177" t="str">
        <f>IF(BT$44=0,"N.D.",BT57/BT$44)</f>
        <v>N.D.</v>
      </c>
      <c r="BV57" s="4">
        <f t="shared" si="96"/>
        <v>0</v>
      </c>
      <c r="BW57" s="177">
        <f>IF(BV$44=0,"N.D.",BV57/BV$44)</f>
        <v>0</v>
      </c>
      <c r="BX57" s="4">
        <f t="shared" si="97"/>
        <v>0</v>
      </c>
      <c r="BY57" s="177">
        <f>IF(BX$44=0,"N.D.",BX57/BX$44)</f>
        <v>0</v>
      </c>
      <c r="BZ57" s="4">
        <f t="shared" si="98"/>
        <v>48</v>
      </c>
      <c r="CA57" s="177">
        <f>IF(BZ$44=0,"N.D.",BZ57/BZ$44)</f>
        <v>0.35294117647058826</v>
      </c>
      <c r="CB57" s="4">
        <f t="shared" si="99"/>
        <v>48</v>
      </c>
      <c r="CC57" s="177">
        <f>IF(CB$44=0,"N.D.",CB57/CB$44)</f>
        <v>3.0987734021949646E-2</v>
      </c>
    </row>
    <row r="58" spans="1:81" ht="12.5" customHeight="1" x14ac:dyDescent="0.25">
      <c r="A58" s="238"/>
      <c r="B58" t="s">
        <v>47</v>
      </c>
      <c r="C58" s="314">
        <f>BDER!D22/1000</f>
        <v>0</v>
      </c>
      <c r="D58" s="414" t="str">
        <f t="shared" si="72"/>
        <v>N.D.</v>
      </c>
      <c r="E58" s="570">
        <f>+C58</f>
        <v>0</v>
      </c>
      <c r="F58" s="414" t="str">
        <f t="shared" si="72"/>
        <v>N.D.</v>
      </c>
      <c r="G58" s="314">
        <f>+E58</f>
        <v>0</v>
      </c>
      <c r="H58" s="414" t="str">
        <f t="shared" si="83"/>
        <v>N.D.</v>
      </c>
      <c r="I58" s="314">
        <f t="shared" si="84"/>
        <v>0</v>
      </c>
      <c r="J58" s="472" t="str">
        <f t="shared" si="85"/>
        <v>N.D.</v>
      </c>
      <c r="K58" s="314">
        <f t="shared" si="86"/>
        <v>0</v>
      </c>
      <c r="L58" s="472" t="str">
        <f t="shared" si="87"/>
        <v>N.D.</v>
      </c>
      <c r="M58" s="175"/>
      <c r="AD58" t="s">
        <v>47</v>
      </c>
      <c r="AE58" s="314">
        <f>BDER!E22/1000</f>
        <v>0</v>
      </c>
      <c r="AF58" s="414">
        <f t="shared" si="88"/>
        <v>0</v>
      </c>
      <c r="AG58" s="314">
        <f>BDER!M22/1000</f>
        <v>0</v>
      </c>
      <c r="AH58" s="414">
        <f t="shared" si="89"/>
        <v>0</v>
      </c>
      <c r="AI58" s="314">
        <f>BDER!I22/1000</f>
        <v>0</v>
      </c>
      <c r="AJ58" s="414">
        <f t="shared" si="90"/>
        <v>0</v>
      </c>
      <c r="AK58" s="314">
        <f t="shared" si="91"/>
        <v>0</v>
      </c>
      <c r="AL58" s="472" t="str">
        <f t="shared" si="92"/>
        <v>N.D.</v>
      </c>
      <c r="AM58" s="314">
        <f t="shared" si="93"/>
        <v>0</v>
      </c>
      <c r="AN58" s="472" t="str">
        <f t="shared" si="94"/>
        <v>N.D.</v>
      </c>
      <c r="AO58" s="175"/>
      <c r="BF58" s="175" t="s">
        <v>47</v>
      </c>
      <c r="BG58" s="570"/>
      <c r="BH58" s="176"/>
      <c r="BI58" s="570"/>
      <c r="BJ58" s="176"/>
      <c r="BK58" s="570"/>
      <c r="BL58" s="176"/>
      <c r="BM58" s="570"/>
      <c r="BN58" s="177"/>
      <c r="BO58" s="570"/>
      <c r="BP58" s="177"/>
      <c r="BQ58" s="353"/>
      <c r="BS58" s="9" t="s">
        <v>47</v>
      </c>
      <c r="BT58" s="4">
        <f t="shared" si="95"/>
        <v>0</v>
      </c>
      <c r="BU58" s="177" t="str">
        <f>IF(BT$44=0,"N.D.",BT58/BT$44)</f>
        <v>N.D.</v>
      </c>
      <c r="BV58" s="4">
        <f t="shared" si="96"/>
        <v>0</v>
      </c>
      <c r="BW58" s="177">
        <f>IF(BV$44=0,"N.D.",BV58/BV$44)</f>
        <v>0</v>
      </c>
      <c r="BX58" s="4">
        <f t="shared" si="97"/>
        <v>0</v>
      </c>
      <c r="BY58" s="177">
        <f>IF(BX$44=0,"N.D.",BX58/BX$44)</f>
        <v>0</v>
      </c>
      <c r="BZ58" s="4">
        <f t="shared" si="98"/>
        <v>0</v>
      </c>
      <c r="CA58" s="177">
        <f>IF(BZ$44=0,"N.D.",BZ58/BZ$44)</f>
        <v>0</v>
      </c>
      <c r="CB58" s="4">
        <f t="shared" si="99"/>
        <v>0</v>
      </c>
      <c r="CC58" s="177">
        <f>IF(CB$44=0,"N.D.",CB58/CB$44)</f>
        <v>0</v>
      </c>
    </row>
    <row r="59" spans="1:81" ht="12.5" hidden="1" customHeight="1" x14ac:dyDescent="0.25">
      <c r="A59" s="238"/>
      <c r="C59" s="314"/>
      <c r="D59" s="414"/>
      <c r="E59" s="570"/>
      <c r="F59" s="414"/>
      <c r="G59" s="314"/>
      <c r="H59" s="414"/>
      <c r="I59" s="314"/>
      <c r="J59" s="472"/>
      <c r="K59" s="314"/>
      <c r="L59" s="472"/>
      <c r="M59" s="175"/>
      <c r="AE59" s="314"/>
      <c r="AF59" s="414"/>
      <c r="AG59" s="314"/>
      <c r="AH59" s="414"/>
      <c r="AI59" s="314"/>
      <c r="AJ59" s="414"/>
      <c r="AK59" s="314"/>
      <c r="AL59" s="472"/>
      <c r="AM59" s="314"/>
      <c r="AN59" s="472"/>
      <c r="AO59" s="175"/>
      <c r="BF59" s="175"/>
      <c r="BG59" s="570"/>
      <c r="BH59" s="176"/>
      <c r="BI59" s="570"/>
      <c r="BJ59" s="176"/>
      <c r="BK59" s="570"/>
      <c r="BL59" s="176"/>
      <c r="BM59" s="570"/>
      <c r="BN59" s="177"/>
      <c r="BO59" s="570"/>
      <c r="BP59" s="177"/>
      <c r="BQ59" s="353"/>
      <c r="BT59" s="4">
        <f t="shared" si="95"/>
        <v>0</v>
      </c>
      <c r="BU59" s="184"/>
      <c r="BV59" s="4">
        <f t="shared" si="96"/>
        <v>0</v>
      </c>
      <c r="BW59" s="184"/>
      <c r="BX59" s="4">
        <f t="shared" si="97"/>
        <v>0</v>
      </c>
      <c r="BY59" s="184"/>
      <c r="BZ59" s="4">
        <f t="shared" si="98"/>
        <v>0</v>
      </c>
      <c r="CA59" s="184"/>
      <c r="CB59" s="4">
        <f t="shared" si="99"/>
        <v>0</v>
      </c>
      <c r="CC59" s="184"/>
    </row>
    <row r="60" spans="1:81" ht="12.5" customHeight="1" x14ac:dyDescent="0.3">
      <c r="A60" s="238"/>
      <c r="B60" t="s">
        <v>48</v>
      </c>
      <c r="C60" s="381">
        <f>+C56+C57</f>
        <v>-4.2791399999999999</v>
      </c>
      <c r="D60" s="415" t="str">
        <f t="shared" si="72"/>
        <v>N.D.</v>
      </c>
      <c r="E60" s="106">
        <f>+E56+E57</f>
        <v>-4.2791399999999999</v>
      </c>
      <c r="F60" s="486" t="str">
        <f t="shared" si="72"/>
        <v>N.D.</v>
      </c>
      <c r="G60" s="381">
        <f>+G56+G57</f>
        <v>-4.2791399999999999</v>
      </c>
      <c r="H60" s="415" t="str">
        <f t="shared" si="83"/>
        <v>N.D.</v>
      </c>
      <c r="I60" s="381">
        <f t="shared" si="84"/>
        <v>0</v>
      </c>
      <c r="J60" s="402">
        <f t="shared" si="85"/>
        <v>0</v>
      </c>
      <c r="K60" s="381">
        <f t="shared" si="86"/>
        <v>0</v>
      </c>
      <c r="L60" s="402">
        <f t="shared" si="87"/>
        <v>0</v>
      </c>
      <c r="M60" s="175"/>
      <c r="AD60" t="s">
        <v>48</v>
      </c>
      <c r="AE60" s="381">
        <f>+AE56+AE57</f>
        <v>-32.199380000000005</v>
      </c>
      <c r="AF60" s="415">
        <f t="shared" si="88"/>
        <v>-5.1976236297753093E-3</v>
      </c>
      <c r="AG60" s="381">
        <f>+AG56+AG57</f>
        <v>-120.01499999999999</v>
      </c>
      <c r="AH60" s="415">
        <f t="shared" si="89"/>
        <v>-1.0961894731284927E-2</v>
      </c>
      <c r="AI60" s="381">
        <f>+AI56+AI57</f>
        <v>-107.62254000000001</v>
      </c>
      <c r="AJ60" s="415">
        <f t="shared" si="90"/>
        <v>-1.0052591128249412E-2</v>
      </c>
      <c r="AK60" s="381">
        <f t="shared" si="91"/>
        <v>87.815619999999981</v>
      </c>
      <c r="AL60" s="402">
        <f t="shared" si="92"/>
        <v>-0.73170537016206305</v>
      </c>
      <c r="AM60" s="381">
        <f t="shared" si="93"/>
        <v>75.42316000000001</v>
      </c>
      <c r="AN60" s="402">
        <f t="shared" si="94"/>
        <v>-0.7008119302889525</v>
      </c>
      <c r="AO60" s="175"/>
      <c r="BF60" s="175" t="s">
        <v>48</v>
      </c>
      <c r="BG60" s="106"/>
      <c r="BH60" s="178"/>
      <c r="BI60" s="106"/>
      <c r="BJ60" s="178"/>
      <c r="BK60" s="106"/>
      <c r="BL60" s="178"/>
      <c r="BM60" s="106"/>
      <c r="BN60" s="179"/>
      <c r="BO60" s="106"/>
      <c r="BP60" s="179"/>
      <c r="BQ60" s="354"/>
      <c r="BS60" s="9" t="s">
        <v>48</v>
      </c>
      <c r="BT60" s="5">
        <f t="shared" si="95"/>
        <v>0</v>
      </c>
      <c r="BU60" s="179" t="str">
        <f>IF(BT$44=0,"N.D.",BT60/BT$44)</f>
        <v>N.D.</v>
      </c>
      <c r="BV60" s="5">
        <f t="shared" si="96"/>
        <v>-4</v>
      </c>
      <c r="BW60" s="179">
        <f>IF(BV$44=0,"N.D.",BV60/BV$44)</f>
        <v>-4.4150110375275938E-3</v>
      </c>
      <c r="BX60" s="5">
        <f t="shared" si="97"/>
        <v>-4</v>
      </c>
      <c r="BY60" s="179">
        <f>IF(BX$44=0,"N.D.",BX60/BX$44)</f>
        <v>-7.889546351084813E-3</v>
      </c>
      <c r="BZ60" s="5">
        <f t="shared" si="98"/>
        <v>48</v>
      </c>
      <c r="CA60" s="179">
        <f>IF(BZ$44=0,"N.D.",BZ60/BZ$44)</f>
        <v>0.35294117647058826</v>
      </c>
      <c r="CB60" s="5">
        <f t="shared" si="99"/>
        <v>40</v>
      </c>
      <c r="CC60" s="179">
        <f>IF(CB$44=0,"N.D.",CB60/CB$44)</f>
        <v>2.5823111684958037E-2</v>
      </c>
    </row>
    <row r="61" spans="1:81" ht="12.5" customHeight="1" x14ac:dyDescent="0.3">
      <c r="A61" s="238"/>
      <c r="B61" t="s">
        <v>49</v>
      </c>
      <c r="C61" s="381">
        <f>C53-C60</f>
        <v>-4.6715699999999991</v>
      </c>
      <c r="D61" s="415" t="str">
        <f t="shared" si="72"/>
        <v>N.D.</v>
      </c>
      <c r="E61" s="106">
        <f>E53-E60</f>
        <v>-4.6715699999999991</v>
      </c>
      <c r="F61" s="486" t="str">
        <f t="shared" si="72"/>
        <v>N.D.</v>
      </c>
      <c r="G61" s="381">
        <f>G53-G60</f>
        <v>-4.6715699999999991</v>
      </c>
      <c r="H61" s="415" t="str">
        <f t="shared" si="83"/>
        <v>N.D.</v>
      </c>
      <c r="I61" s="381">
        <f t="shared" si="84"/>
        <v>0</v>
      </c>
      <c r="J61" s="402">
        <f t="shared" si="85"/>
        <v>0</v>
      </c>
      <c r="K61" s="381">
        <f t="shared" si="86"/>
        <v>0</v>
      </c>
      <c r="L61" s="402">
        <f t="shared" si="87"/>
        <v>0</v>
      </c>
      <c r="M61" s="175"/>
      <c r="AD61" t="s">
        <v>49</v>
      </c>
      <c r="AE61" s="381">
        <f>AE53-AE60</f>
        <v>166.81473000000051</v>
      </c>
      <c r="AF61" s="415">
        <f t="shared" si="88"/>
        <v>2.6927232215110685E-2</v>
      </c>
      <c r="AG61" s="381">
        <f>AG53-AG60</f>
        <v>222.95299999999918</v>
      </c>
      <c r="AH61" s="415">
        <f t="shared" si="89"/>
        <v>2.0364015464934878E-2</v>
      </c>
      <c r="AI61" s="381">
        <f>AI53-AI60</f>
        <v>201.96045999999996</v>
      </c>
      <c r="AJ61" s="486">
        <f t="shared" si="90"/>
        <v>1.8864319021398023E-2</v>
      </c>
      <c r="AK61" s="381">
        <f t="shared" si="91"/>
        <v>-56.13826999999867</v>
      </c>
      <c r="AL61" s="402">
        <f t="shared" si="92"/>
        <v>-0.25179418980681523</v>
      </c>
      <c r="AM61" s="381">
        <f t="shared" si="93"/>
        <v>-35.145729999999446</v>
      </c>
      <c r="AN61" s="402">
        <f t="shared" si="94"/>
        <v>-0.17402282605218589</v>
      </c>
      <c r="AO61" s="175"/>
      <c r="BF61" s="175" t="s">
        <v>49</v>
      </c>
      <c r="BG61" s="106"/>
      <c r="BH61" s="178"/>
      <c r="BI61" s="106"/>
      <c r="BJ61" s="178"/>
      <c r="BK61" s="106"/>
      <c r="BL61" s="587"/>
      <c r="BM61" s="106"/>
      <c r="BN61" s="179"/>
      <c r="BO61" s="106"/>
      <c r="BP61" s="179"/>
      <c r="BQ61" s="354"/>
      <c r="BS61" s="9" t="s">
        <v>49</v>
      </c>
      <c r="BT61" s="5">
        <f t="shared" si="95"/>
        <v>0</v>
      </c>
      <c r="BU61" s="179" t="str">
        <f>IF(BT$44=0,"N.D.",BT61/BT$44)</f>
        <v>N.D.</v>
      </c>
      <c r="BV61" s="5">
        <f t="shared" si="96"/>
        <v>14.639480023663765</v>
      </c>
      <c r="BW61" s="179">
        <f>IF(BV$44=0,"N.D.",BV61/BV$44)</f>
        <v>1.6158366472035061E-2</v>
      </c>
      <c r="BX61" s="5">
        <f t="shared" si="97"/>
        <v>-57.147111916191676</v>
      </c>
      <c r="BY61" s="179">
        <f>IF(BX$44=0,"N.D.",BX61/BX$44)</f>
        <v>-0.11271619707335637</v>
      </c>
      <c r="BZ61" s="5">
        <f t="shared" si="98"/>
        <v>51</v>
      </c>
      <c r="CA61" s="179">
        <f>IF(BZ$44=0,"N.D.",BZ61/BZ$44)</f>
        <v>0.375</v>
      </c>
      <c r="CB61" s="5">
        <f t="shared" si="99"/>
        <v>8.4923681074720889</v>
      </c>
      <c r="CC61" s="179">
        <f>IF(CB$44=0,"N.D.",CB61/CB$44)</f>
        <v>5.4824842527256869E-3</v>
      </c>
    </row>
    <row r="62" spans="1:81" ht="12.5" customHeight="1" x14ac:dyDescent="0.3">
      <c r="A62" s="238"/>
      <c r="C62" s="419"/>
      <c r="D62" s="416"/>
      <c r="E62" s="568"/>
      <c r="F62" s="416"/>
      <c r="G62" s="419"/>
      <c r="H62" s="416"/>
      <c r="I62" s="419"/>
      <c r="J62" s="352"/>
      <c r="K62" s="419"/>
      <c r="L62" s="352"/>
      <c r="M62" s="175"/>
      <c r="AE62" s="419"/>
      <c r="AF62" s="416"/>
      <c r="AG62" s="419"/>
      <c r="AH62" s="416"/>
      <c r="AI62" s="419"/>
      <c r="AJ62" s="488"/>
      <c r="AK62" s="419"/>
      <c r="AL62" s="352"/>
      <c r="AM62" s="419"/>
      <c r="AN62" s="352"/>
      <c r="AO62" s="175"/>
      <c r="BF62" s="175"/>
      <c r="BG62" s="568"/>
      <c r="BH62" s="180"/>
      <c r="BI62" s="568"/>
      <c r="BJ62" s="180"/>
      <c r="BK62" s="568"/>
      <c r="BL62" s="589"/>
      <c r="BM62" s="568"/>
      <c r="BN62" s="181"/>
      <c r="BO62" s="568"/>
      <c r="BP62" s="181"/>
      <c r="BQ62" s="352"/>
      <c r="BT62" s="6"/>
      <c r="BU62" s="181"/>
      <c r="BV62" s="6"/>
      <c r="BW62" s="181"/>
      <c r="BX62" s="6"/>
      <c r="BY62" s="181"/>
      <c r="BZ62" s="6"/>
      <c r="CA62" s="181"/>
      <c r="CB62" s="6"/>
      <c r="CC62" s="181"/>
    </row>
    <row r="63" spans="1:81" ht="12.5" customHeight="1" x14ac:dyDescent="0.25">
      <c r="A63" s="238"/>
      <c r="B63" t="s">
        <v>50</v>
      </c>
      <c r="C63" s="418">
        <f>BDER!D27/1000</f>
        <v>0</v>
      </c>
      <c r="D63" s="417" t="str">
        <f t="shared" si="72"/>
        <v>N.D.</v>
      </c>
      <c r="E63" s="569">
        <f>BDER!L27/1000</f>
        <v>0</v>
      </c>
      <c r="F63" s="417" t="str">
        <f t="shared" si="72"/>
        <v>N.D.</v>
      </c>
      <c r="G63" s="418">
        <v>0</v>
      </c>
      <c r="H63" s="417" t="str">
        <f>IF(G$44=0,"N.D.",G63/G$44)</f>
        <v>N.D.</v>
      </c>
      <c r="I63" s="418">
        <f t="shared" ref="I63:I71" si="100">C63-E63</f>
        <v>0</v>
      </c>
      <c r="J63" s="471" t="str">
        <f t="shared" ref="J63:J71" si="101">IF(E63=0,"N.D.",C63/E63-1)</f>
        <v>N.D.</v>
      </c>
      <c r="K63" s="418">
        <f t="shared" ref="K63:K71" si="102">C63-G63</f>
        <v>0</v>
      </c>
      <c r="L63" s="471" t="str">
        <f t="shared" ref="L63:L71" si="103">IF(G63=0,"N.D.",C63/G63-1)</f>
        <v>N.D.</v>
      </c>
      <c r="M63" s="175"/>
      <c r="AD63" t="s">
        <v>50</v>
      </c>
      <c r="AE63" s="418">
        <f>BDER!E27/1000</f>
        <v>0</v>
      </c>
      <c r="AF63" s="417">
        <f>IF(AE$44=0,"N.D.",AE63/AE$44)</f>
        <v>0</v>
      </c>
      <c r="AG63" s="418">
        <f>BDER!M27/1000</f>
        <v>0</v>
      </c>
      <c r="AH63" s="417">
        <f>IF(AG$44=0,"N.D.",AG63/AG$44)</f>
        <v>0</v>
      </c>
      <c r="AI63" s="418">
        <f>BDER!I27/1000</f>
        <v>0</v>
      </c>
      <c r="AJ63" s="417">
        <f>IF(AI$44=0,"N.D.",AI63/AI$44)</f>
        <v>0</v>
      </c>
      <c r="AK63" s="418">
        <f t="shared" ref="AK63:AK71" si="104">AE63-AG63</f>
        <v>0</v>
      </c>
      <c r="AL63" s="471" t="str">
        <f t="shared" ref="AL63:AL71" si="105">IF(AG63=0,"N.D.",AE63/AG63-1)</f>
        <v>N.D.</v>
      </c>
      <c r="AM63" s="418">
        <f t="shared" ref="AM63:AM71" si="106">AE63-AI63</f>
        <v>0</v>
      </c>
      <c r="AN63" s="471" t="str">
        <f t="shared" ref="AN63:AN71" si="107">IF(AI63=0,"N.D.",AE63/AI63-1)</f>
        <v>N.D.</v>
      </c>
      <c r="AO63" s="175"/>
      <c r="BF63" s="175" t="s">
        <v>50</v>
      </c>
      <c r="BG63" s="569"/>
      <c r="BH63" s="182"/>
      <c r="BI63" s="569"/>
      <c r="BJ63" s="182"/>
      <c r="BK63" s="569"/>
      <c r="BL63" s="182"/>
      <c r="BM63" s="569"/>
      <c r="BN63" s="183"/>
      <c r="BO63" s="569"/>
      <c r="BP63" s="183"/>
      <c r="BQ63" s="353"/>
      <c r="BS63" s="9" t="s">
        <v>213</v>
      </c>
      <c r="BT63" s="3">
        <f t="shared" ref="BT63:BT71" si="108">+BT28</f>
        <v>0</v>
      </c>
      <c r="BU63" s="183" t="str">
        <f t="shared" ref="BU63:BU71" si="109">IF(BT$44=0,"N.D.",BT63/BT$44)</f>
        <v>N.D.</v>
      </c>
      <c r="BV63" s="3">
        <f t="shared" ref="BV63:BV71" si="110">BV28+BX28</f>
        <v>0</v>
      </c>
      <c r="BW63" s="183">
        <f t="shared" ref="BW63:BW71" si="111">IF(BV$44=0,"N.D.",BV63/BV$44)</f>
        <v>0</v>
      </c>
      <c r="BX63" s="3">
        <f t="shared" ref="BX63:BX71" si="112">BZ28+CB28</f>
        <v>0</v>
      </c>
      <c r="BY63" s="183">
        <f t="shared" ref="BY63:BY71" si="113">IF(BX$44=0,"N.D.",BX63/BX$44)</f>
        <v>0</v>
      </c>
      <c r="BZ63" s="3">
        <f t="shared" ref="BZ63:BZ71" si="114">CD28</f>
        <v>0</v>
      </c>
      <c r="CA63" s="183">
        <f t="shared" ref="CA63:CA71" si="115">IF(BZ$44=0,"N.D.",BZ63/BZ$44)</f>
        <v>0</v>
      </c>
      <c r="CB63" s="3">
        <f t="shared" ref="CB63:CB71" si="116">BT63+BV63+BX63+BZ63</f>
        <v>0</v>
      </c>
      <c r="CC63" s="183">
        <f t="shared" ref="CC63:CC71" si="117">IF(CB$44=0,"N.D.",CB63/CB$44)</f>
        <v>0</v>
      </c>
    </row>
    <row r="64" spans="1:81" ht="12.5" customHeight="1" x14ac:dyDescent="0.25">
      <c r="A64" s="238"/>
      <c r="B64" t="s">
        <v>51</v>
      </c>
      <c r="C64" s="314">
        <f>BDER!D26/1000</f>
        <v>0</v>
      </c>
      <c r="D64" s="414" t="str">
        <f t="shared" si="72"/>
        <v>N.D.</v>
      </c>
      <c r="E64" s="570">
        <f>BDER!L26/1000</f>
        <v>0</v>
      </c>
      <c r="F64" s="414" t="str">
        <f t="shared" si="72"/>
        <v>N.D.</v>
      </c>
      <c r="G64" s="314">
        <v>0</v>
      </c>
      <c r="H64" s="414" t="str">
        <f>IF(G$44=0,"N.D.",G64/G$44)</f>
        <v>N.D.</v>
      </c>
      <c r="I64" s="314">
        <f t="shared" si="100"/>
        <v>0</v>
      </c>
      <c r="J64" s="472" t="str">
        <f t="shared" si="101"/>
        <v>N.D.</v>
      </c>
      <c r="K64" s="314">
        <f t="shared" si="102"/>
        <v>0</v>
      </c>
      <c r="L64" s="472" t="str">
        <f t="shared" si="103"/>
        <v>N.D.</v>
      </c>
      <c r="M64" s="175"/>
      <c r="AD64" t="s">
        <v>51</v>
      </c>
      <c r="AE64" s="314">
        <f>BDER!E26/1000</f>
        <v>12.436389999999999</v>
      </c>
      <c r="AF64" s="414">
        <f>IF(AE$44=0,"N.D.",AE64/AE$44)</f>
        <v>2.0074819618607982E-3</v>
      </c>
      <c r="AG64" s="314">
        <f>BDER!M26/1000</f>
        <v>0</v>
      </c>
      <c r="AH64" s="414">
        <f>IF(AG$44=0,"N.D.",AG64/AG$44)</f>
        <v>0</v>
      </c>
      <c r="AI64" s="314">
        <f>BDER!I26/1000</f>
        <v>24.62472</v>
      </c>
      <c r="AJ64" s="414">
        <f>IF(AI$44=0,"N.D.",AI64/AI$44)</f>
        <v>2.3000966322447493E-3</v>
      </c>
      <c r="AK64" s="314">
        <f t="shared" si="104"/>
        <v>12.436389999999999</v>
      </c>
      <c r="AL64" s="472" t="str">
        <f t="shared" si="105"/>
        <v>N.D.</v>
      </c>
      <c r="AM64" s="314">
        <f t="shared" si="106"/>
        <v>-12.188330000000001</v>
      </c>
      <c r="AN64" s="472">
        <f t="shared" si="107"/>
        <v>-0.49496319145963896</v>
      </c>
      <c r="AO64" s="175"/>
      <c r="BF64" s="175" t="s">
        <v>51</v>
      </c>
      <c r="BG64" s="570"/>
      <c r="BH64" s="176"/>
      <c r="BI64" s="570"/>
      <c r="BJ64" s="176"/>
      <c r="BK64" s="570"/>
      <c r="BL64" s="176"/>
      <c r="BM64" s="570"/>
      <c r="BN64" s="177"/>
      <c r="BO64" s="570"/>
      <c r="BP64" s="177"/>
      <c r="BQ64" s="353"/>
      <c r="BS64" s="9" t="s">
        <v>51</v>
      </c>
      <c r="BT64" s="4">
        <f t="shared" si="108"/>
        <v>0</v>
      </c>
      <c r="BU64" s="177" t="str">
        <f t="shared" si="109"/>
        <v>N.D.</v>
      </c>
      <c r="BV64" s="4">
        <f t="shared" si="110"/>
        <v>0</v>
      </c>
      <c r="BW64" s="177">
        <f t="shared" si="111"/>
        <v>0</v>
      </c>
      <c r="BX64" s="4">
        <f t="shared" si="112"/>
        <v>0</v>
      </c>
      <c r="BY64" s="177">
        <f t="shared" si="113"/>
        <v>0</v>
      </c>
      <c r="BZ64" s="4">
        <f t="shared" si="114"/>
        <v>0</v>
      </c>
      <c r="CA64" s="177">
        <f t="shared" si="115"/>
        <v>0</v>
      </c>
      <c r="CB64" s="4">
        <f t="shared" si="116"/>
        <v>0</v>
      </c>
      <c r="CC64" s="177">
        <f t="shared" si="117"/>
        <v>0</v>
      </c>
    </row>
    <row r="65" spans="1:81" ht="12.5" customHeight="1" x14ac:dyDescent="0.3">
      <c r="A65" s="238"/>
      <c r="B65" t="s">
        <v>53</v>
      </c>
      <c r="C65" s="381">
        <f>+C61-C63-C64</f>
        <v>-4.6715699999999991</v>
      </c>
      <c r="D65" s="415" t="str">
        <f t="shared" si="72"/>
        <v>N.D.</v>
      </c>
      <c r="E65" s="106">
        <f>+E61-E63-E64</f>
        <v>-4.6715699999999991</v>
      </c>
      <c r="F65" s="415" t="str">
        <f t="shared" si="72"/>
        <v>N.D.</v>
      </c>
      <c r="G65" s="381">
        <f>+G61-G63-G64</f>
        <v>-4.6715699999999991</v>
      </c>
      <c r="H65" s="415" t="str">
        <f>IF(G$44=0,"N.D.",G65/G$44)</f>
        <v>N.D.</v>
      </c>
      <c r="I65" s="381">
        <f t="shared" si="100"/>
        <v>0</v>
      </c>
      <c r="J65" s="402">
        <f t="shared" si="101"/>
        <v>0</v>
      </c>
      <c r="K65" s="381">
        <f t="shared" si="102"/>
        <v>0</v>
      </c>
      <c r="L65" s="402">
        <f t="shared" si="103"/>
        <v>0</v>
      </c>
      <c r="M65" s="175"/>
      <c r="AD65" t="s">
        <v>53</v>
      </c>
      <c r="AE65" s="381">
        <f>+AE61-AE63-AE64</f>
        <v>154.37834000000052</v>
      </c>
      <c r="AF65" s="415">
        <f>IF(AE$44=0,"N.D.",AE65/AE$44)</f>
        <v>2.4919750253249891E-2</v>
      </c>
      <c r="AG65" s="381">
        <f>+AG61-AG63-AG64</f>
        <v>222.95299999999918</v>
      </c>
      <c r="AH65" s="415">
        <f>IF(AG$44=0,"N.D.",AG65/AG$44)</f>
        <v>2.0364015464934878E-2</v>
      </c>
      <c r="AI65" s="381">
        <f>+AI61-AI63-AI64</f>
        <v>177.33573999999996</v>
      </c>
      <c r="AJ65" s="486">
        <f>IF(AI$44=0,"N.D.",AI65/AI$44)</f>
        <v>1.6564222389153276E-2</v>
      </c>
      <c r="AK65" s="381">
        <f t="shared" si="104"/>
        <v>-68.574659999998659</v>
      </c>
      <c r="AL65" s="402">
        <f t="shared" si="105"/>
        <v>-0.30757451121984858</v>
      </c>
      <c r="AM65" s="381">
        <f t="shared" si="106"/>
        <v>-22.957399999999438</v>
      </c>
      <c r="AN65" s="402">
        <f t="shared" si="107"/>
        <v>-0.12945726563635418</v>
      </c>
      <c r="AO65" s="175"/>
      <c r="BF65" s="175" t="s">
        <v>53</v>
      </c>
      <c r="BG65" s="106"/>
      <c r="BH65" s="178"/>
      <c r="BI65" s="106"/>
      <c r="BJ65" s="178"/>
      <c r="BK65" s="106"/>
      <c r="BL65" s="587"/>
      <c r="BM65" s="106"/>
      <c r="BN65" s="179"/>
      <c r="BO65" s="106"/>
      <c r="BP65" s="179"/>
      <c r="BQ65" s="354"/>
      <c r="BS65" s="87" t="s">
        <v>53</v>
      </c>
      <c r="BT65" s="5">
        <f t="shared" si="108"/>
        <v>0</v>
      </c>
      <c r="BU65" s="179" t="str">
        <f t="shared" si="109"/>
        <v>N.D.</v>
      </c>
      <c r="BV65" s="5">
        <f t="shared" si="110"/>
        <v>14.639480023663765</v>
      </c>
      <c r="BW65" s="179">
        <f t="shared" si="111"/>
        <v>1.6158366472035061E-2</v>
      </c>
      <c r="BX65" s="5">
        <f t="shared" si="112"/>
        <v>-57.147111916191676</v>
      </c>
      <c r="BY65" s="179">
        <f t="shared" si="113"/>
        <v>-0.11271619707335637</v>
      </c>
      <c r="BZ65" s="5">
        <f t="shared" si="114"/>
        <v>51</v>
      </c>
      <c r="CA65" s="179">
        <f t="shared" si="115"/>
        <v>0.375</v>
      </c>
      <c r="CB65" s="5">
        <f t="shared" si="116"/>
        <v>8.4923681074720889</v>
      </c>
      <c r="CC65" s="179">
        <f t="shared" si="117"/>
        <v>5.4824842527256869E-3</v>
      </c>
    </row>
    <row r="66" spans="1:81" ht="12.5" customHeight="1" x14ac:dyDescent="0.3">
      <c r="A66" s="238"/>
      <c r="B66" t="s">
        <v>122</v>
      </c>
      <c r="C66" s="381">
        <f>+C53+C51</f>
        <v>-8.9507099999999991</v>
      </c>
      <c r="D66" s="415" t="str">
        <f t="shared" si="72"/>
        <v>N.D.</v>
      </c>
      <c r="E66" s="106">
        <f>+E53+E51</f>
        <v>-8.9507099999999991</v>
      </c>
      <c r="F66" s="415" t="str">
        <f t="shared" si="72"/>
        <v>N.D.</v>
      </c>
      <c r="G66" s="381">
        <f>+G53+G51</f>
        <v>-8.9507099999999991</v>
      </c>
      <c r="H66" s="415" t="str">
        <f>IF(G$44=0,"N.D.",G66/G$44)</f>
        <v>N.D.</v>
      </c>
      <c r="I66" s="381">
        <f t="shared" si="100"/>
        <v>0</v>
      </c>
      <c r="J66" s="402">
        <f t="shared" si="101"/>
        <v>0</v>
      </c>
      <c r="K66" s="381">
        <f t="shared" si="102"/>
        <v>0</v>
      </c>
      <c r="L66" s="402">
        <f t="shared" si="103"/>
        <v>0</v>
      </c>
      <c r="M66" s="175"/>
      <c r="AD66" t="s">
        <v>122</v>
      </c>
      <c r="AE66" s="381">
        <f>+AE53+AE51</f>
        <v>196.14455000000049</v>
      </c>
      <c r="AF66" s="415">
        <f>IF(AE$44=0,"N.D.",AE66/AE$44)</f>
        <v>3.1661651495514732E-2</v>
      </c>
      <c r="AG66" s="381">
        <f>+AG53+AG51</f>
        <v>188.77999999999918</v>
      </c>
      <c r="AH66" s="415">
        <f>IF(AG$44=0,"N.D.",AG66/AG$44)</f>
        <v>1.7242732053259671E-2</v>
      </c>
      <c r="AI66" s="381">
        <f>+AI53+AI51</f>
        <v>186.63171999999994</v>
      </c>
      <c r="AJ66" s="486">
        <f>IF(AI$44=0,"N.D.",AI66/AI$44)</f>
        <v>1.7432522710595082E-2</v>
      </c>
      <c r="AK66" s="381">
        <f t="shared" si="104"/>
        <v>7.3645500000013158</v>
      </c>
      <c r="AL66" s="402">
        <f t="shared" si="105"/>
        <v>3.9011282974898531E-2</v>
      </c>
      <c r="AM66" s="381">
        <f t="shared" si="106"/>
        <v>9.5128300000005481</v>
      </c>
      <c r="AN66" s="402">
        <f t="shared" si="107"/>
        <v>5.0971131809750991E-2</v>
      </c>
      <c r="AO66" s="175"/>
      <c r="BF66" s="175" t="s">
        <v>122</v>
      </c>
      <c r="BG66" s="106"/>
      <c r="BH66" s="178"/>
      <c r="BI66" s="106"/>
      <c r="BJ66" s="178"/>
      <c r="BK66" s="106"/>
      <c r="BL66" s="587"/>
      <c r="BM66" s="106"/>
      <c r="BN66" s="179"/>
      <c r="BO66" s="106"/>
      <c r="BP66" s="179"/>
      <c r="BQ66" s="354"/>
      <c r="BS66" s="7" t="s">
        <v>122</v>
      </c>
      <c r="BT66" s="5">
        <f t="shared" si="108"/>
        <v>0</v>
      </c>
      <c r="BU66" s="179" t="str">
        <f t="shared" si="109"/>
        <v>N.D.</v>
      </c>
      <c r="BV66" s="5">
        <f t="shared" si="110"/>
        <v>13.639480023663765</v>
      </c>
      <c r="BW66" s="179">
        <f t="shared" si="111"/>
        <v>1.5054613712653162E-2</v>
      </c>
      <c r="BX66" s="5">
        <f t="shared" si="112"/>
        <v>-37.147111916191676</v>
      </c>
      <c r="BY66" s="179">
        <f t="shared" si="113"/>
        <v>-7.3268465317932296E-2</v>
      </c>
      <c r="BZ66" s="5">
        <f t="shared" si="114"/>
        <v>120</v>
      </c>
      <c r="CA66" s="179">
        <f t="shared" si="115"/>
        <v>0.88235294117647056</v>
      </c>
      <c r="CB66" s="5">
        <f t="shared" si="116"/>
        <v>96.492368107472089</v>
      </c>
      <c r="CC66" s="179">
        <f t="shared" si="117"/>
        <v>6.2293329959633367E-2</v>
      </c>
    </row>
    <row r="67" spans="1:81" ht="12.5" customHeight="1" x14ac:dyDescent="0.3">
      <c r="A67" s="238"/>
      <c r="B67" s="1" t="s">
        <v>194</v>
      </c>
      <c r="C67" s="418">
        <v>0</v>
      </c>
      <c r="D67" s="475">
        <f>IF(C$9=0,"N.D.",C67/C$9)</f>
        <v>0</v>
      </c>
      <c r="E67" s="569">
        <v>0</v>
      </c>
      <c r="F67" s="475">
        <f>IF(E$9=0,"N.D.",E67/E$9)</f>
        <v>0</v>
      </c>
      <c r="G67" s="418">
        <v>0</v>
      </c>
      <c r="H67" s="475">
        <f>IF(G$9=0,"N.D.",G67/G$9)</f>
        <v>0</v>
      </c>
      <c r="I67" s="418">
        <f t="shared" si="100"/>
        <v>0</v>
      </c>
      <c r="J67" s="471" t="str">
        <f t="shared" si="101"/>
        <v>N.D.</v>
      </c>
      <c r="K67" s="418">
        <f t="shared" si="102"/>
        <v>0</v>
      </c>
      <c r="L67" s="471" t="str">
        <f t="shared" si="103"/>
        <v>N.D.</v>
      </c>
      <c r="M67" s="175"/>
      <c r="AD67" s="1" t="s">
        <v>194</v>
      </c>
      <c r="AE67" s="418">
        <v>0</v>
      </c>
      <c r="AF67" s="475">
        <f>IF(AE$9=0,"N.D.",AE67/AE$9)</f>
        <v>0</v>
      </c>
      <c r="AG67" s="418">
        <v>0</v>
      </c>
      <c r="AH67" s="475">
        <f>IF(AG$9=0,"N.D.",AG67/AG$9)</f>
        <v>0</v>
      </c>
      <c r="AI67" s="418">
        <v>0</v>
      </c>
      <c r="AJ67" s="475">
        <f>IF(AI$9=0,"N.D.",AI67/AI$9)</f>
        <v>0</v>
      </c>
      <c r="AK67" s="418">
        <f t="shared" si="104"/>
        <v>0</v>
      </c>
      <c r="AL67" s="471" t="str">
        <f t="shared" si="105"/>
        <v>N.D.</v>
      </c>
      <c r="AM67" s="418">
        <f t="shared" si="106"/>
        <v>0</v>
      </c>
      <c r="AN67" s="471" t="str">
        <f t="shared" si="107"/>
        <v>N.D.</v>
      </c>
      <c r="AO67" s="175"/>
      <c r="BF67" s="175" t="s">
        <v>194</v>
      </c>
      <c r="BG67" s="569"/>
      <c r="BH67" s="573"/>
      <c r="BI67" s="569"/>
      <c r="BJ67" s="573"/>
      <c r="BK67" s="569"/>
      <c r="BL67" s="573"/>
      <c r="BM67" s="569"/>
      <c r="BN67" s="183"/>
      <c r="BO67" s="569"/>
      <c r="BP67" s="183"/>
      <c r="BQ67" s="354"/>
      <c r="BS67" s="1" t="s">
        <v>194</v>
      </c>
      <c r="BT67" s="3">
        <f t="shared" si="108"/>
        <v>0</v>
      </c>
      <c r="BU67" s="78" t="str">
        <f t="shared" si="109"/>
        <v>N.D.</v>
      </c>
      <c r="BV67" s="3">
        <f t="shared" si="110"/>
        <v>0</v>
      </c>
      <c r="BW67" s="78">
        <f t="shared" si="111"/>
        <v>0</v>
      </c>
      <c r="BX67" s="3">
        <f t="shared" si="112"/>
        <v>0</v>
      </c>
      <c r="BY67" s="78">
        <f t="shared" si="113"/>
        <v>0</v>
      </c>
      <c r="BZ67" s="3">
        <f t="shared" si="114"/>
        <v>0</v>
      </c>
      <c r="CA67" s="78">
        <f t="shared" si="115"/>
        <v>0</v>
      </c>
      <c r="CB67" s="3">
        <f t="shared" si="116"/>
        <v>0</v>
      </c>
      <c r="CC67" s="78">
        <f t="shared" si="117"/>
        <v>0</v>
      </c>
    </row>
    <row r="68" spans="1:81" ht="12.5" customHeight="1" x14ac:dyDescent="0.3">
      <c r="A68" s="238"/>
      <c r="B68" s="1" t="s">
        <v>123</v>
      </c>
      <c r="C68" s="314"/>
      <c r="D68" s="476">
        <f>IF(C$9=0,"N.D.",C68/C$9)</f>
        <v>0</v>
      </c>
      <c r="E68" s="570"/>
      <c r="F68" s="476">
        <f>IF(E$9=0,"N.D.",E68/E$9)</f>
        <v>0</v>
      </c>
      <c r="G68" s="314"/>
      <c r="H68" s="476">
        <f>IF(G$9=0,"N.D.",G68/G$9)</f>
        <v>0</v>
      </c>
      <c r="I68" s="314">
        <f t="shared" si="100"/>
        <v>0</v>
      </c>
      <c r="J68" s="472" t="str">
        <f t="shared" si="101"/>
        <v>N.D.</v>
      </c>
      <c r="K68" s="314">
        <f t="shared" si="102"/>
        <v>0</v>
      </c>
      <c r="L68" s="472" t="str">
        <f t="shared" si="103"/>
        <v>N.D.</v>
      </c>
      <c r="M68" s="175"/>
      <c r="AD68" s="1" t="s">
        <v>123</v>
      </c>
      <c r="AE68" s="314"/>
      <c r="AF68" s="476">
        <f>IF(AE$9=0,"N.D.",AE68/AE$9)</f>
        <v>0</v>
      </c>
      <c r="AG68" s="314"/>
      <c r="AH68" s="476">
        <f>IF(AG$9=0,"N.D.",AG68/AG$9)</f>
        <v>0</v>
      </c>
      <c r="AI68" s="314"/>
      <c r="AJ68" s="476">
        <f>IF(AI$9=0,"N.D.",AI68/AI$9)</f>
        <v>0</v>
      </c>
      <c r="AK68" s="314">
        <f t="shared" si="104"/>
        <v>0</v>
      </c>
      <c r="AL68" s="472" t="str">
        <f t="shared" si="105"/>
        <v>N.D.</v>
      </c>
      <c r="AM68" s="314">
        <f t="shared" si="106"/>
        <v>0</v>
      </c>
      <c r="AN68" s="472" t="str">
        <f t="shared" si="107"/>
        <v>N.D.</v>
      </c>
      <c r="AO68" s="175"/>
      <c r="BF68" s="175" t="s">
        <v>123</v>
      </c>
      <c r="BG68" s="570"/>
      <c r="BH68" s="574"/>
      <c r="BI68" s="570"/>
      <c r="BJ68" s="574"/>
      <c r="BK68" s="570"/>
      <c r="BL68" s="574"/>
      <c r="BM68" s="570"/>
      <c r="BN68" s="177"/>
      <c r="BO68" s="570"/>
      <c r="BP68" s="177"/>
      <c r="BQ68" s="354"/>
      <c r="BS68" s="1" t="s">
        <v>123</v>
      </c>
      <c r="BT68" s="4">
        <f t="shared" si="108"/>
        <v>0</v>
      </c>
      <c r="BU68" s="79" t="str">
        <f t="shared" si="109"/>
        <v>N.D.</v>
      </c>
      <c r="BV68" s="4">
        <f t="shared" si="110"/>
        <v>0</v>
      </c>
      <c r="BW68" s="79">
        <f t="shared" si="111"/>
        <v>0</v>
      </c>
      <c r="BX68" s="4">
        <f t="shared" si="112"/>
        <v>0</v>
      </c>
      <c r="BY68" s="79">
        <f t="shared" si="113"/>
        <v>0</v>
      </c>
      <c r="BZ68" s="4">
        <f t="shared" si="114"/>
        <v>0</v>
      </c>
      <c r="CA68" s="79">
        <f t="shared" si="115"/>
        <v>0</v>
      </c>
      <c r="CB68" s="4">
        <f t="shared" si="116"/>
        <v>0</v>
      </c>
      <c r="CC68" s="79">
        <f t="shared" si="117"/>
        <v>0</v>
      </c>
    </row>
    <row r="69" spans="1:81" ht="12.5" customHeight="1" x14ac:dyDescent="0.3">
      <c r="A69" s="238"/>
      <c r="B69" s="7" t="s">
        <v>190</v>
      </c>
      <c r="C69" s="381">
        <f>+C65+C51+C67+C68</f>
        <v>-4.6715699999999991</v>
      </c>
      <c r="D69" s="477">
        <f>IF(C$9=0,"N.D.",C69/C$9)</f>
        <v>-2.9943712688859847E-3</v>
      </c>
      <c r="E69" s="106">
        <f>+E65+E51+E67+E68</f>
        <v>-4.6715699999999991</v>
      </c>
      <c r="F69" s="477">
        <f>IF(E$9=0,"N.D.",E69/E$9)</f>
        <v>-2.7444468596337659E-3</v>
      </c>
      <c r="G69" s="381">
        <f>+G65+G51+G67+G68</f>
        <v>-4.6715699999999991</v>
      </c>
      <c r="H69" s="477">
        <f>IF(G$9=0,"N.D.",G69/G$9)</f>
        <v>-2.8298091475434137E-3</v>
      </c>
      <c r="I69" s="381">
        <f t="shared" si="100"/>
        <v>0</v>
      </c>
      <c r="J69" s="402">
        <f t="shared" si="101"/>
        <v>0</v>
      </c>
      <c r="K69" s="381">
        <f t="shared" si="102"/>
        <v>0</v>
      </c>
      <c r="L69" s="402">
        <f t="shared" si="103"/>
        <v>0</v>
      </c>
      <c r="M69" s="175"/>
      <c r="AD69" s="7" t="s">
        <v>190</v>
      </c>
      <c r="AE69" s="381">
        <f>+AE65+AE51+AE67+AE68</f>
        <v>215.90754000000052</v>
      </c>
      <c r="AF69" s="477">
        <f>IF(AE$9=0,"N.D.",AE69/AE$9)</f>
        <v>1.3830301934919754E-2</v>
      </c>
      <c r="AG69" s="381">
        <f>+AG65+AG51+AG67+AG68</f>
        <v>308.79499999999916</v>
      </c>
      <c r="AH69" s="477">
        <f>IF(AG$9=0,"N.D.",AG69/AG$9)</f>
        <v>1.4668246442120704E-2</v>
      </c>
      <c r="AI69" s="381">
        <f>+AI65+AI51+AI67+AI68</f>
        <v>269.62953999999996</v>
      </c>
      <c r="AJ69" s="477">
        <f>IF(AI$9=0,"N.D.",AI69/AI$9)</f>
        <v>1.315390448142611E-2</v>
      </c>
      <c r="AK69" s="381">
        <f t="shared" si="104"/>
        <v>-92.88745999999864</v>
      </c>
      <c r="AL69" s="402">
        <f t="shared" si="105"/>
        <v>-0.30080623067082979</v>
      </c>
      <c r="AM69" s="381">
        <f t="shared" si="106"/>
        <v>-53.72199999999944</v>
      </c>
      <c r="AN69" s="402">
        <f t="shared" si="107"/>
        <v>-0.1992437475508041</v>
      </c>
      <c r="AO69" s="175"/>
      <c r="BF69" s="172" t="s">
        <v>190</v>
      </c>
      <c r="BG69" s="106"/>
      <c r="BH69" s="575"/>
      <c r="BI69" s="106"/>
      <c r="BJ69" s="575"/>
      <c r="BK69" s="106"/>
      <c r="BL69" s="575"/>
      <c r="BM69" s="106"/>
      <c r="BN69" s="179"/>
      <c r="BO69" s="106"/>
      <c r="BP69" s="179"/>
      <c r="BQ69" s="354"/>
      <c r="BS69" s="7" t="s">
        <v>190</v>
      </c>
      <c r="BT69" s="5">
        <f t="shared" si="108"/>
        <v>0</v>
      </c>
      <c r="BU69" s="105" t="str">
        <f t="shared" si="109"/>
        <v>N.D.</v>
      </c>
      <c r="BV69" s="5">
        <f t="shared" si="110"/>
        <v>17.639480023663765</v>
      </c>
      <c r="BW69" s="105">
        <f t="shared" si="111"/>
        <v>1.9469624750180756E-2</v>
      </c>
      <c r="BX69" s="5">
        <f t="shared" si="112"/>
        <v>-33.147111916191676</v>
      </c>
      <c r="BY69" s="105">
        <f t="shared" si="113"/>
        <v>-6.5378918966847485E-2</v>
      </c>
      <c r="BZ69" s="5">
        <f t="shared" si="114"/>
        <v>72</v>
      </c>
      <c r="CA69" s="105">
        <f t="shared" si="115"/>
        <v>0.52941176470588236</v>
      </c>
      <c r="CB69" s="5">
        <f t="shared" si="116"/>
        <v>56.492368107472089</v>
      </c>
      <c r="CC69" s="105">
        <f t="shared" si="117"/>
        <v>3.647021827467533E-2</v>
      </c>
    </row>
    <row r="70" spans="1:81" ht="12.5" customHeight="1" x14ac:dyDescent="0.3">
      <c r="A70" s="238"/>
      <c r="B70" s="7" t="s">
        <v>191</v>
      </c>
      <c r="C70" s="381">
        <f>+O35</f>
        <v>0</v>
      </c>
      <c r="D70" s="477">
        <f>IF(C$9=0,"N.D.",C70/C$9)</f>
        <v>0</v>
      </c>
      <c r="E70" s="106">
        <f>+C70</f>
        <v>0</v>
      </c>
      <c r="F70" s="477">
        <f>IF(E$9=0,"N.D.",E70/E$9)</f>
        <v>0</v>
      </c>
      <c r="G70" s="381">
        <v>0</v>
      </c>
      <c r="H70" s="477">
        <f>IF(G$9=0,"N.D.",G70/G$9)</f>
        <v>0</v>
      </c>
      <c r="I70" s="381">
        <f t="shared" si="100"/>
        <v>0</v>
      </c>
      <c r="J70" s="402" t="str">
        <f t="shared" si="101"/>
        <v>N.D.</v>
      </c>
      <c r="K70" s="381">
        <f t="shared" si="102"/>
        <v>0</v>
      </c>
      <c r="L70" s="402" t="str">
        <f t="shared" si="103"/>
        <v>N.D.</v>
      </c>
      <c r="M70" s="175"/>
      <c r="AD70" s="7" t="s">
        <v>191</v>
      </c>
      <c r="AE70" s="381">
        <f>+AQ35</f>
        <v>82</v>
      </c>
      <c r="AF70" s="477">
        <f>IF(AE$9=0,"N.D.",AE70/AE$9)</f>
        <v>5.2526408233052775E-3</v>
      </c>
      <c r="AG70" s="381">
        <f>+AE70</f>
        <v>82</v>
      </c>
      <c r="AH70" s="477">
        <f>IF(AG$9=0,"N.D.",AG70/AG$9)</f>
        <v>3.8951285100273674E-3</v>
      </c>
      <c r="AI70" s="381">
        <f>+BDLT!Q10/1000</f>
        <v>214.39142999999999</v>
      </c>
      <c r="AJ70" s="477">
        <f>IF(AI$9=0,"N.D.",AI70/AI$9)</f>
        <v>1.0459107677357431E-2</v>
      </c>
      <c r="AK70" s="381">
        <f t="shared" si="104"/>
        <v>0</v>
      </c>
      <c r="AL70" s="402">
        <f t="shared" si="105"/>
        <v>0</v>
      </c>
      <c r="AM70" s="381">
        <f t="shared" si="106"/>
        <v>-132.39142999999999</v>
      </c>
      <c r="AN70" s="402">
        <f t="shared" si="107"/>
        <v>-0.61752202501751119</v>
      </c>
      <c r="AO70" s="175"/>
      <c r="BF70" s="172" t="s">
        <v>191</v>
      </c>
      <c r="BG70" s="106"/>
      <c r="BH70" s="575"/>
      <c r="BI70" s="106"/>
      <c r="BJ70" s="575"/>
      <c r="BK70" s="106"/>
      <c r="BL70" s="575"/>
      <c r="BM70" s="106"/>
      <c r="BN70" s="179"/>
      <c r="BO70" s="106"/>
      <c r="BP70" s="179"/>
      <c r="BQ70" s="354"/>
      <c r="BS70" s="7" t="s">
        <v>192</v>
      </c>
      <c r="BT70" s="106">
        <f t="shared" si="108"/>
        <v>0</v>
      </c>
      <c r="BU70" s="105" t="str">
        <f t="shared" si="109"/>
        <v>N.D.</v>
      </c>
      <c r="BV70" s="106">
        <f t="shared" si="110"/>
        <v>0</v>
      </c>
      <c r="BW70" s="105">
        <f t="shared" si="111"/>
        <v>0</v>
      </c>
      <c r="BX70" s="106">
        <f t="shared" si="112"/>
        <v>0</v>
      </c>
      <c r="BY70" s="105">
        <f t="shared" si="113"/>
        <v>0</v>
      </c>
      <c r="BZ70" s="106">
        <f t="shared" si="114"/>
        <v>54</v>
      </c>
      <c r="CA70" s="105">
        <f t="shared" si="115"/>
        <v>0.39705882352941174</v>
      </c>
      <c r="CB70" s="5">
        <f t="shared" si="116"/>
        <v>54</v>
      </c>
      <c r="CC70" s="105">
        <f t="shared" si="117"/>
        <v>3.4861200774693353E-2</v>
      </c>
    </row>
    <row r="71" spans="1:81" ht="12.5" customHeight="1" x14ac:dyDescent="0.3">
      <c r="A71" s="238"/>
      <c r="B71" s="7" t="s">
        <v>84</v>
      </c>
      <c r="C71" s="381">
        <f>C69-C70</f>
        <v>-4.6715699999999991</v>
      </c>
      <c r="D71" s="477">
        <f>IF(C$9=0,"N.D.",C71/C$9)</f>
        <v>-2.9943712688859847E-3</v>
      </c>
      <c r="E71" s="106">
        <f>E69-E70</f>
        <v>-4.6715699999999991</v>
      </c>
      <c r="F71" s="477">
        <f>IF(E$9=0,"N.D.",E71/E$9)</f>
        <v>-2.7444468596337659E-3</v>
      </c>
      <c r="G71" s="381">
        <f>G69-G70</f>
        <v>-4.6715699999999991</v>
      </c>
      <c r="H71" s="477">
        <f>IF(G$9=0,"N.D.",G71/G$9)</f>
        <v>-2.8298091475434137E-3</v>
      </c>
      <c r="I71" s="381">
        <f t="shared" si="100"/>
        <v>0</v>
      </c>
      <c r="J71" s="402">
        <f t="shared" si="101"/>
        <v>0</v>
      </c>
      <c r="K71" s="381">
        <f t="shared" si="102"/>
        <v>0</v>
      </c>
      <c r="L71" s="402">
        <f t="shared" si="103"/>
        <v>0</v>
      </c>
      <c r="M71" s="175"/>
      <c r="AD71" s="7" t="s">
        <v>84</v>
      </c>
      <c r="AE71" s="381">
        <f>AE69-AE70</f>
        <v>133.90754000000052</v>
      </c>
      <c r="AF71" s="477">
        <f>IF(AE$9=0,"N.D.",AE71/AE$9)</f>
        <v>8.5776611116144767E-3</v>
      </c>
      <c r="AG71" s="381">
        <f>AG69-AG70</f>
        <v>226.79499999999916</v>
      </c>
      <c r="AH71" s="477">
        <f>IF(AG$9=0,"N.D.",AG71/AG$9)</f>
        <v>1.0773117932093335E-2</v>
      </c>
      <c r="AI71" s="381">
        <f>AI69-AI70</f>
        <v>55.238109999999978</v>
      </c>
      <c r="AJ71" s="477">
        <f>IF(AI$9=0,"N.D.",AI71/AI$9)</f>
        <v>2.6947968040686799E-3</v>
      </c>
      <c r="AK71" s="381">
        <f t="shared" si="104"/>
        <v>-92.88745999999864</v>
      </c>
      <c r="AL71" s="402">
        <f t="shared" si="105"/>
        <v>-0.40956573116690842</v>
      </c>
      <c r="AM71" s="381">
        <f t="shared" si="106"/>
        <v>78.669430000000546</v>
      </c>
      <c r="AN71" s="402">
        <f t="shared" si="107"/>
        <v>1.42418757629471</v>
      </c>
      <c r="AO71" s="175"/>
      <c r="BF71" s="172" t="s">
        <v>84</v>
      </c>
      <c r="BG71" s="106"/>
      <c r="BH71" s="575"/>
      <c r="BI71" s="106"/>
      <c r="BJ71" s="575"/>
      <c r="BK71" s="106"/>
      <c r="BL71" s="575"/>
      <c r="BM71" s="106"/>
      <c r="BN71" s="179"/>
      <c r="BO71" s="106"/>
      <c r="BP71" s="179"/>
      <c r="BQ71" s="354"/>
      <c r="BS71" s="7" t="s">
        <v>84</v>
      </c>
      <c r="BT71" s="5">
        <f t="shared" si="108"/>
        <v>0</v>
      </c>
      <c r="BU71" s="105" t="str">
        <f t="shared" si="109"/>
        <v>N.D.</v>
      </c>
      <c r="BV71" s="5">
        <f t="shared" si="110"/>
        <v>17.639480023663765</v>
      </c>
      <c r="BW71" s="105">
        <f t="shared" si="111"/>
        <v>1.9469624750180756E-2</v>
      </c>
      <c r="BX71" s="5">
        <f t="shared" si="112"/>
        <v>-33.147111916191676</v>
      </c>
      <c r="BY71" s="105">
        <f t="shared" si="113"/>
        <v>-6.5378918966847485E-2</v>
      </c>
      <c r="BZ71" s="5">
        <f t="shared" si="114"/>
        <v>18</v>
      </c>
      <c r="CA71" s="105">
        <f t="shared" si="115"/>
        <v>0.13235294117647059</v>
      </c>
      <c r="CB71" s="5">
        <f t="shared" si="116"/>
        <v>2.4923681074720889</v>
      </c>
      <c r="CC71" s="105">
        <f t="shared" si="117"/>
        <v>1.6090174999819813E-3</v>
      </c>
    </row>
    <row r="72" spans="1:81" ht="12.5" customHeight="1" x14ac:dyDescent="0.3">
      <c r="A72" s="238"/>
      <c r="B72" s="1" t="s">
        <v>193</v>
      </c>
      <c r="C72" s="412" t="str">
        <f>IF(C70=0,"N.D.",(C69-C67-C68)/C70)</f>
        <v>N.D.</v>
      </c>
      <c r="D72" s="478"/>
      <c r="E72" s="576" t="str">
        <f>IF(E70=0,"N.D.",(E69-E67-E68)/E70)</f>
        <v>N.D.</v>
      </c>
      <c r="F72" s="478"/>
      <c r="G72" s="412" t="str">
        <f>IF(G70=0,"N.D.",(G69-G67-G68)/G70)</f>
        <v>N.D.</v>
      </c>
      <c r="H72" s="478"/>
      <c r="I72" s="479"/>
      <c r="J72" s="354"/>
      <c r="K72" s="479"/>
      <c r="L72" s="354"/>
      <c r="M72" s="175"/>
      <c r="AD72" s="1" t="s">
        <v>193</v>
      </c>
      <c r="AE72" s="412">
        <f>IF(AE70=0,"N.D.",(AE69-AE67-AE68)/AE70)</f>
        <v>2.6330187804878111</v>
      </c>
      <c r="AF72" s="478"/>
      <c r="AG72" s="412">
        <f>IF(AG70=0,"N.D.",(AG69-AG67-AG68)/AG70)</f>
        <v>3.7657926829268189</v>
      </c>
      <c r="AH72" s="478"/>
      <c r="AI72" s="412">
        <f>IF(AI70=0,"N.D.",(AI69-AI67-AI68)/AI70)</f>
        <v>1.2576507372519508</v>
      </c>
      <c r="AJ72" s="478"/>
      <c r="AK72" s="479"/>
      <c r="AL72" s="354"/>
      <c r="AM72" s="479"/>
      <c r="AN72" s="354"/>
      <c r="AO72" s="175"/>
      <c r="BF72" s="175" t="s">
        <v>193</v>
      </c>
      <c r="BG72" s="576" t="str">
        <f>IF(BG70=0,"N.D.",(BG69-BG67-BG68)/BG70)</f>
        <v>N.D.</v>
      </c>
      <c r="BH72" s="577"/>
      <c r="BI72" s="576" t="str">
        <f>IF(BI70=0,"N.D.",(BI69-BI67-BI68)/BI70)</f>
        <v>N.D.</v>
      </c>
      <c r="BJ72" s="577"/>
      <c r="BK72" s="576" t="str">
        <f>IF(BK70=0,"N.D.",(BK69-BK67-BK68)/BK70)</f>
        <v>N.D.</v>
      </c>
      <c r="BL72" s="577"/>
      <c r="BM72" s="578"/>
      <c r="BN72" s="579"/>
      <c r="BO72" s="578"/>
      <c r="BP72" s="579"/>
      <c r="BQ72" s="354"/>
      <c r="BS72" s="1" t="s">
        <v>193</v>
      </c>
      <c r="BT72" s="107" t="str">
        <f>IF(BT70=0,"N.D.",(BT69-BT67-BT68)/BT70)</f>
        <v>N.D.</v>
      </c>
      <c r="BU72" s="108"/>
      <c r="BV72" s="107" t="str">
        <f>IF(BV70=0,"N.D.",(BV69-BV67-BV68)/BV70)</f>
        <v>N.D.</v>
      </c>
      <c r="BW72" s="108"/>
      <c r="BX72" s="107" t="str">
        <f>IF(BX70=0,"N.D.",(BX69-BX67-BX68)/BX70)</f>
        <v>N.D.</v>
      </c>
      <c r="BY72" s="108"/>
      <c r="BZ72" s="107">
        <f>IF(BZ70=0,"N.D.",(BZ69-BZ67-BZ68)/BZ70)</f>
        <v>1.3333333333333333</v>
      </c>
      <c r="CA72" s="108"/>
      <c r="CB72" s="107">
        <f>IF(CB70=0,"N.D.",(CB69-CB67-CB68)/CB70)</f>
        <v>1.0461549649531869</v>
      </c>
      <c r="CC72" s="108"/>
    </row>
    <row r="73" spans="1:81" ht="12.5" customHeight="1" x14ac:dyDescent="0.25">
      <c r="C73" s="426"/>
      <c r="D73" s="462"/>
      <c r="E73" s="426"/>
      <c r="F73" s="462"/>
      <c r="G73" s="426"/>
      <c r="H73" s="462"/>
      <c r="I73" s="426"/>
      <c r="J73" s="346"/>
      <c r="M73" s="175"/>
      <c r="AE73" s="426"/>
      <c r="AF73" s="462"/>
      <c r="AG73" s="426"/>
      <c r="AH73" s="462"/>
      <c r="AI73" s="426"/>
      <c r="AJ73" s="462"/>
      <c r="AO73" s="175"/>
      <c r="BF73" s="175"/>
      <c r="BG73" s="590"/>
      <c r="BH73" s="591"/>
      <c r="BI73" s="590"/>
      <c r="BJ73" s="591"/>
      <c r="BK73" s="590"/>
      <c r="BL73" s="591"/>
      <c r="BM73" s="175"/>
      <c r="BN73" s="592"/>
      <c r="BO73" s="175"/>
      <c r="BP73" s="592"/>
    </row>
    <row r="74" spans="1:81" ht="12.5" customHeight="1" x14ac:dyDescent="0.3">
      <c r="C74" s="739" t="s">
        <v>35</v>
      </c>
      <c r="D74" s="739"/>
      <c r="E74" s="739"/>
      <c r="F74" s="739"/>
      <c r="G74" s="739"/>
      <c r="H74" s="739"/>
      <c r="I74" s="739"/>
      <c r="J74" s="739"/>
      <c r="K74" s="739"/>
      <c r="L74" s="739"/>
      <c r="M74" s="175"/>
      <c r="AE74" s="739" t="str">
        <f>C74</f>
        <v>Pollos del Sur, Inc.</v>
      </c>
      <c r="AF74" s="739"/>
      <c r="AG74" s="739"/>
      <c r="AH74" s="739"/>
      <c r="AI74" s="739"/>
      <c r="AJ74" s="739"/>
      <c r="AK74" s="739"/>
      <c r="AL74" s="739"/>
      <c r="AM74" s="739"/>
      <c r="AN74" s="739"/>
      <c r="AO74" s="175"/>
      <c r="BG74" s="739" t="str">
        <f>AE74</f>
        <v>Pollos del Sur, Inc.</v>
      </c>
      <c r="BH74" s="739"/>
      <c r="BI74" s="739"/>
      <c r="BJ74" s="739"/>
      <c r="BK74" s="739"/>
      <c r="BL74" s="739"/>
      <c r="BM74" s="739"/>
      <c r="BN74" s="739"/>
      <c r="BO74" s="739"/>
      <c r="BP74" s="739"/>
      <c r="BQ74" s="349"/>
    </row>
    <row r="75" spans="1:81" ht="12.5" customHeight="1" x14ac:dyDescent="0.3">
      <c r="C75" s="739" t="s">
        <v>18</v>
      </c>
      <c r="D75" s="739"/>
      <c r="E75" s="739"/>
      <c r="F75" s="739"/>
      <c r="G75" s="739"/>
      <c r="H75" s="739"/>
      <c r="I75" s="739"/>
      <c r="J75" s="739"/>
      <c r="K75" s="739"/>
      <c r="L75" s="739"/>
      <c r="M75" s="175"/>
      <c r="AE75" s="739" t="s">
        <v>18</v>
      </c>
      <c r="AF75" s="739"/>
      <c r="AG75" s="739"/>
      <c r="AH75" s="739"/>
      <c r="AI75" s="739"/>
      <c r="AJ75" s="739"/>
      <c r="AK75" s="739"/>
      <c r="AL75" s="739"/>
      <c r="AM75" s="739"/>
      <c r="AN75" s="739"/>
      <c r="AO75" s="175"/>
      <c r="BG75" s="739" t="s">
        <v>18</v>
      </c>
      <c r="BH75" s="739"/>
      <c r="BI75" s="739"/>
      <c r="BJ75" s="739"/>
      <c r="BK75" s="739"/>
      <c r="BL75" s="739"/>
      <c r="BM75" s="739"/>
      <c r="BN75" s="739"/>
      <c r="BO75" s="739"/>
      <c r="BP75" s="739"/>
      <c r="BQ75" s="349"/>
    </row>
    <row r="76" spans="1:81" ht="12.5" customHeight="1" x14ac:dyDescent="0.3">
      <c r="B76" s="281" t="s">
        <v>341</v>
      </c>
      <c r="C76" s="739" t="str">
        <f>PROPER(TEXT(MES_CIERRE,"MMMM "))&amp;YEAR(MES_CIERRE)</f>
        <v>Junio 2019</v>
      </c>
      <c r="D76" s="739"/>
      <c r="E76" s="739"/>
      <c r="F76" s="739"/>
      <c r="G76" s="739"/>
      <c r="H76" s="739"/>
      <c r="I76" s="739"/>
      <c r="J76" s="739"/>
      <c r="K76" s="739"/>
      <c r="L76" s="739"/>
      <c r="M76" s="175"/>
      <c r="AD76" s="311" t="str">
        <f>B76</f>
        <v>POLLOS DEL SUR</v>
      </c>
      <c r="AE76" s="740" t="str">
        <f>"Accum to "&amp;PROPER(TEXT(MES_CIERRE,"MMMM "))&amp;YEAR(MES_CIERRE)</f>
        <v>Accum to Junio 2019</v>
      </c>
      <c r="AF76" s="740"/>
      <c r="AG76" s="740"/>
      <c r="AH76" s="740"/>
      <c r="AI76" s="740"/>
      <c r="AJ76" s="740"/>
      <c r="AK76" s="740"/>
      <c r="AL76" s="740"/>
      <c r="AM76" s="740"/>
      <c r="AN76" s="740"/>
      <c r="AO76" s="175"/>
      <c r="BF76" s="113" t="str">
        <f>AD76</f>
        <v>POLLOS DEL SUR</v>
      </c>
      <c r="BG76" s="740" t="str">
        <f>$BG$41</f>
        <v>Projection- Julio 2019</v>
      </c>
      <c r="BH76" s="740"/>
      <c r="BI76" s="740"/>
      <c r="BJ76" s="740"/>
      <c r="BK76" s="740"/>
      <c r="BL76" s="740"/>
      <c r="BM76" s="740"/>
      <c r="BN76" s="740"/>
      <c r="BO76" s="740"/>
      <c r="BP76" s="740"/>
      <c r="BQ76" s="350"/>
    </row>
    <row r="77" spans="1:81" ht="12.5" customHeight="1" x14ac:dyDescent="0.3">
      <c r="A77" s="238"/>
      <c r="C77" s="394" t="s">
        <v>0</v>
      </c>
      <c r="D77" s="395"/>
      <c r="E77" s="394" t="s">
        <v>4</v>
      </c>
      <c r="F77" s="395"/>
      <c r="G77" s="394" t="s">
        <v>5</v>
      </c>
      <c r="H77" s="464"/>
      <c r="I77" s="349" t="s">
        <v>6</v>
      </c>
      <c r="J77" s="351"/>
      <c r="K77" s="349" t="s">
        <v>7</v>
      </c>
      <c r="L77" s="351"/>
      <c r="M77" s="174"/>
      <c r="AE77" s="394" t="s">
        <v>8</v>
      </c>
      <c r="AF77" s="464"/>
      <c r="AG77" s="394" t="s">
        <v>4</v>
      </c>
      <c r="AH77" s="464"/>
      <c r="AI77" s="394" t="s">
        <v>9</v>
      </c>
      <c r="AJ77" s="465"/>
      <c r="AK77" s="349" t="s">
        <v>6</v>
      </c>
      <c r="AL77" s="351"/>
      <c r="AM77" s="349" t="s">
        <v>7</v>
      </c>
      <c r="AN77" s="351"/>
      <c r="AO77" s="291"/>
      <c r="BG77" s="394" t="s">
        <v>502</v>
      </c>
      <c r="BH77" s="464"/>
      <c r="BI77" s="394" t="s">
        <v>4</v>
      </c>
      <c r="BJ77" s="464"/>
      <c r="BK77" s="394" t="s">
        <v>9</v>
      </c>
      <c r="BL77" s="465"/>
      <c r="BM77" s="349" t="s">
        <v>6</v>
      </c>
      <c r="BN77" s="351"/>
      <c r="BO77" s="349" t="s">
        <v>7</v>
      </c>
      <c r="BP77" s="351"/>
      <c r="BQ77" s="351"/>
    </row>
    <row r="78" spans="1:81" ht="12.5" customHeight="1" x14ac:dyDescent="0.25">
      <c r="A78" s="238"/>
      <c r="C78" s="469"/>
      <c r="D78" s="500"/>
      <c r="E78" s="468"/>
      <c r="F78" s="500"/>
      <c r="G78" s="469"/>
      <c r="H78" s="467"/>
      <c r="I78" s="419"/>
      <c r="J78" s="352"/>
      <c r="K78" s="419"/>
      <c r="L78" s="352"/>
      <c r="M78" s="175"/>
      <c r="AE78" s="466"/>
      <c r="AF78" s="467"/>
      <c r="AG78" s="468"/>
      <c r="AH78" s="467"/>
      <c r="AI78" s="469"/>
      <c r="AJ78" s="470"/>
      <c r="AK78" s="419"/>
      <c r="AL78" s="352"/>
      <c r="AM78" s="419"/>
      <c r="AN78" s="352"/>
      <c r="AO78" s="175"/>
      <c r="BG78" s="466"/>
      <c r="BH78" s="467"/>
      <c r="BI78" s="468"/>
      <c r="BJ78" s="467"/>
      <c r="BK78" s="469"/>
      <c r="BL78" s="470"/>
      <c r="BM78" s="419"/>
      <c r="BN78" s="352"/>
      <c r="BO78" s="419"/>
      <c r="BP78" s="352"/>
      <c r="BQ78" s="352"/>
    </row>
    <row r="79" spans="1:81" ht="12.5" customHeight="1" x14ac:dyDescent="0.25">
      <c r="A79" s="238"/>
      <c r="B79" t="s">
        <v>38</v>
      </c>
      <c r="C79" s="418">
        <f>BDER!D40/1000</f>
        <v>290.98833000000002</v>
      </c>
      <c r="D79" s="417">
        <f>IF(C$79=0,"N.D.",C79/C$79)</f>
        <v>1</v>
      </c>
      <c r="E79" s="418">
        <f>BDER!L40/1000</f>
        <v>300.29399999999998</v>
      </c>
      <c r="F79" s="417">
        <f>IF(E$79=0,"N.D.",E79/E$79)</f>
        <v>1</v>
      </c>
      <c r="G79" s="418">
        <f>BDER!F40/1000</f>
        <v>294.54413</v>
      </c>
      <c r="H79" s="417">
        <f>IF(G$79=0,"N.D.",G79/G$79)</f>
        <v>1</v>
      </c>
      <c r="I79" s="418">
        <f>C79-E79</f>
        <v>-9.3056699999999637</v>
      </c>
      <c r="J79" s="471">
        <f>IF(E79=0,"N.D.",C79/E79-1)</f>
        <v>-3.0988531239385275E-2</v>
      </c>
      <c r="K79" s="418">
        <f t="shared" ref="K79:K101" si="118">C79-G79</f>
        <v>-3.5557999999999765</v>
      </c>
      <c r="L79" s="183">
        <f>IF(G79=0,"N.D.",C79/G79-1)</f>
        <v>-1.2072214781533641E-2</v>
      </c>
      <c r="M79" s="175"/>
      <c r="AD79" t="s">
        <v>38</v>
      </c>
      <c r="AE79" s="418">
        <f>BDER!E40/1000</f>
        <v>1780.6632199999999</v>
      </c>
      <c r="AF79" s="417">
        <f>IF(AE$79=0,"N.D.",AE79/AE$79)</f>
        <v>1</v>
      </c>
      <c r="AG79" s="418">
        <f>BDER!M40/1000</f>
        <v>1836.338</v>
      </c>
      <c r="AH79" s="417">
        <f>IF(AG$79=0,"N.D.",AG79/AG$79)</f>
        <v>1</v>
      </c>
      <c r="AI79" s="418">
        <f>BDER!I40/1000</f>
        <v>1779.9593</v>
      </c>
      <c r="AJ79" s="417">
        <f>IF(AI$79=0,"N.D.",AI79/AI$79)</f>
        <v>1</v>
      </c>
      <c r="AK79" s="418">
        <f>AE79-AG79</f>
        <v>-55.674780000000055</v>
      </c>
      <c r="AL79" s="471">
        <f>IF(AG79=0,"N.D.",AE79/AG79-1)</f>
        <v>-3.0318372761441559E-2</v>
      </c>
      <c r="AM79" s="418">
        <f>AE79-AI79</f>
        <v>0.70391999999992549</v>
      </c>
      <c r="AN79" s="593">
        <f>IF(AI79=0,"N.D.",AE79/AI79-1)</f>
        <v>3.9546971663906305E-4</v>
      </c>
      <c r="AO79" s="175"/>
      <c r="BF79" s="290" t="s">
        <v>38</v>
      </c>
      <c r="BG79" s="418">
        <v>301</v>
      </c>
      <c r="BH79" s="417">
        <f>IF(BG$79=0,"N.D.",BG79/BG$79)</f>
        <v>1</v>
      </c>
      <c r="BI79" s="418">
        <f ca="1">INDIRECT(ADDRESS(MATCH(B76,BDPP!$B:$B,0)+6,MATCH(TEXT(EDATE(MES_CIERRE,1),"MMMM"),BDPP!$1:$1,0),,,"BDPP"))/1000</f>
        <v>309.33100000000002</v>
      </c>
      <c r="BJ79" s="417">
        <f ca="1">IF(BI$79=0,"N.D.",BI79/BI$79)</f>
        <v>1</v>
      </c>
      <c r="BK79" s="418">
        <f ca="1">INDIRECT(ADDRESS(MATCH(B76,INDIRECT("'"&amp;IF(MONTH(MES_CIERRE)=12,"ER ACT","ER AA")&amp;"'!$B:$B"),0)+1,MATCH(TEXT(EDATE(MES_CIERRE,1),"MMMM"),'ER AA'!$1:$1,0),,,IF(MONTH(MES_CIERRE)=12,"ER ACT","ER AA")))</f>
        <v>294.54413</v>
      </c>
      <c r="BL79" s="417">
        <f ca="1">IF(BK$79=0,"N.D.",BK79/BK$79)</f>
        <v>1</v>
      </c>
      <c r="BM79" s="418">
        <f ca="1">BG79-BI79</f>
        <v>-8.3310000000000173</v>
      </c>
      <c r="BN79" s="471">
        <f ca="1">IF(BI79=0,"N.D.",BG79/BI79-1)</f>
        <v>-2.6932315222205405E-2</v>
      </c>
      <c r="BO79" s="418">
        <f ca="1">BG79-BK79</f>
        <v>6.4558700000000044</v>
      </c>
      <c r="BP79" s="471">
        <f ca="1">IF(BK79=0,"N.D.",BG79/BK79-1)</f>
        <v>2.1918175724635836E-2</v>
      </c>
      <c r="BQ79" s="353"/>
    </row>
    <row r="80" spans="1:81" ht="12.5" customHeight="1" x14ac:dyDescent="0.25">
      <c r="A80" s="238"/>
      <c r="B80" t="s">
        <v>39</v>
      </c>
      <c r="C80" s="314">
        <f>BDER!D41/1000</f>
        <v>95.113590000000002</v>
      </c>
      <c r="D80" s="414">
        <f>IF(C$79=0,"N.D.",C80/C$79)</f>
        <v>0.32686393299690059</v>
      </c>
      <c r="E80" s="314">
        <f>BDER!L41/1000</f>
        <v>106.755</v>
      </c>
      <c r="F80" s="414">
        <f>IF(E$79=0,"N.D.",E80/E$79)</f>
        <v>0.35550160842374473</v>
      </c>
      <c r="G80" s="314">
        <f>BDER!F41/1000</f>
        <v>105.38475</v>
      </c>
      <c r="H80" s="414">
        <f>IF(G$79=0,"N.D.",G80/G$79)</f>
        <v>0.35778934042922533</v>
      </c>
      <c r="I80" s="314">
        <f>C80-E80</f>
        <v>-11.641409999999993</v>
      </c>
      <c r="J80" s="472">
        <f>IF(E80=0,"N.D.",C80/E80-1)</f>
        <v>-0.10904791344667686</v>
      </c>
      <c r="K80" s="314">
        <f t="shared" si="118"/>
        <v>-10.271159999999995</v>
      </c>
      <c r="L80" s="472">
        <f>IF(G80=0,"N.D.",C80/G80-1)</f>
        <v>-9.7463437546703835E-2</v>
      </c>
      <c r="M80" s="175"/>
      <c r="AD80" t="s">
        <v>39</v>
      </c>
      <c r="AE80" s="314">
        <f>BDER!E41/1000</f>
        <v>594.14412000000004</v>
      </c>
      <c r="AF80" s="176">
        <f>IF(AE$79=0,"N.D.",AE80/AE$79)</f>
        <v>0.33366450956402643</v>
      </c>
      <c r="AG80" s="314">
        <f>BDER!M41/1000</f>
        <v>652.81799999999998</v>
      </c>
      <c r="AH80" s="414">
        <f>IF(AG$79=0,"N.D.",AG80/AG$79)</f>
        <v>0.35549991341463283</v>
      </c>
      <c r="AI80" s="314">
        <f>BDER!I41/1000</f>
        <v>637.77168999999992</v>
      </c>
      <c r="AJ80" s="414">
        <f t="shared" ref="AJ80:AJ101" si="119">IF(AI$79=0,"N.D.",AI80/AI$79)</f>
        <v>0.35830689499473384</v>
      </c>
      <c r="AK80" s="314">
        <f>AE80-AG80</f>
        <v>-58.67387999999994</v>
      </c>
      <c r="AL80" s="472">
        <f>IF(AG80=0,"N.D.",AE80/AG80-1)</f>
        <v>-8.9877852632739841E-2</v>
      </c>
      <c r="AM80" s="314">
        <f>AE80-AI80</f>
        <v>-43.627569999999878</v>
      </c>
      <c r="AN80" s="472">
        <f>IF(AI80=0,"N.D.",AE80/AI80-1)</f>
        <v>-6.8406250518896372E-2</v>
      </c>
      <c r="AO80" s="175"/>
      <c r="BF80" s="290" t="s">
        <v>39</v>
      </c>
      <c r="BG80" s="314">
        <f>BG79*D80</f>
        <v>98.386043832067074</v>
      </c>
      <c r="BH80" s="414">
        <f>IF(BG$79=0,"N.D.",BG80/BG$79)</f>
        <v>0.32686393299690059</v>
      </c>
      <c r="BI80" s="460">
        <f ca="1">INDIRECT(ADDRESS(MATCH(B76,BDPP!$B:$B,0)+7,MATCH(TEXT(EDATE(MES_CIERRE,1),"MMMM"),BDPP!$1:$1,0),,,"BDPP"))/1000</f>
        <v>109.967</v>
      </c>
      <c r="BJ80" s="414">
        <f ca="1">IF(BI$79=0,"N.D.",BI80/BI$79)</f>
        <v>0.35549944881049744</v>
      </c>
      <c r="BK80" s="460">
        <f ca="1">INDIRECT(ADDRESS(MATCH(B76,INDIRECT("'"&amp;IF(MONTH(MES_CIERRE)=12,"ER ACT","ER AA")&amp;"'!$B:$B"),0)+2,MATCH(TEXT(EDATE(MES_CIERRE,1),"MMMM"),'ER AA'!$1:$1,0),,,IF(MONTH(MES_CIERRE)=12,"ER ACT","ER AA")))</f>
        <v>105.38475</v>
      </c>
      <c r="BL80" s="414">
        <f ca="1">IF(BK$79=0,"N.D.",BK80/BK$79)</f>
        <v>0.35778934042922533</v>
      </c>
      <c r="BM80" s="314">
        <f ca="1">BG80-BI80</f>
        <v>-11.580956167932925</v>
      </c>
      <c r="BN80" s="472">
        <f ca="1">IF(BI80=0,"N.D.",BG80/BI80-1)</f>
        <v>-0.10531301361256495</v>
      </c>
      <c r="BO80" s="314">
        <f ca="1">BG80-BK80</f>
        <v>-6.998706167932923</v>
      </c>
      <c r="BP80" s="472">
        <f ca="1">IF(BK80=0,"N.D.",BG80/BK80-1)</f>
        <v>-6.6410995594077149E-2</v>
      </c>
      <c r="BQ80" s="353"/>
    </row>
    <row r="81" spans="1:69" ht="12.5" hidden="1" customHeight="1" x14ac:dyDescent="0.25">
      <c r="A81" s="238"/>
      <c r="B81" t="s">
        <v>219</v>
      </c>
      <c r="C81" s="314">
        <f>BDER!D42/1000</f>
        <v>0</v>
      </c>
      <c r="D81" s="414">
        <f>IF(C$79=0,"N.D.",C81/C$79)</f>
        <v>0</v>
      </c>
      <c r="E81" s="314">
        <f>BDER!L42/1000</f>
        <v>0</v>
      </c>
      <c r="F81" s="414">
        <f>IF(E$79=0,"N.D.",E81/E$79)</f>
        <v>0</v>
      </c>
      <c r="G81" s="314">
        <f>BDER!F42/1000</f>
        <v>0</v>
      </c>
      <c r="H81" s="414">
        <f>IF(G$79=0,"N.D.",G81/G$79)</f>
        <v>0</v>
      </c>
      <c r="I81" s="314">
        <f>C81-E81</f>
        <v>0</v>
      </c>
      <c r="J81" s="472" t="str">
        <f>IF(E81=0,"N.D.",C81/E81-1)</f>
        <v>N.D.</v>
      </c>
      <c r="K81" s="314">
        <f t="shared" si="118"/>
        <v>0</v>
      </c>
      <c r="L81" s="472" t="str">
        <f>IF(G81=0,"N.D.",C81/G81-1)</f>
        <v>N.D.</v>
      </c>
      <c r="M81" s="175"/>
      <c r="AD81" t="s">
        <v>219</v>
      </c>
      <c r="AE81" s="314">
        <f>BDER!E42/1000</f>
        <v>0</v>
      </c>
      <c r="AF81" s="176">
        <f>IF(AE$79=0,"N.D.",AE81/AE$79)</f>
        <v>0</v>
      </c>
      <c r="AG81" s="314">
        <f>BDER!M42/1000</f>
        <v>0</v>
      </c>
      <c r="AH81" s="414">
        <f>IF(AG$79=0,"N.D.",AG81/AG$79)</f>
        <v>0</v>
      </c>
      <c r="AI81" s="314">
        <f>BDER!I42/1000</f>
        <v>0</v>
      </c>
      <c r="AJ81" s="414">
        <f t="shared" si="119"/>
        <v>0</v>
      </c>
      <c r="AK81" s="314">
        <f>AE81-AG81</f>
        <v>0</v>
      </c>
      <c r="AL81" s="472" t="str">
        <f>IF(AG81=0,"N.D.",AE81/AG81-1)</f>
        <v>N.D.</v>
      </c>
      <c r="AM81" s="314">
        <f>AE81-AI81</f>
        <v>0</v>
      </c>
      <c r="AN81" s="472" t="str">
        <f>IF(AI81=0,"N.D.",AE81/AI81-1)</f>
        <v>N.D.</v>
      </c>
      <c r="AO81" s="175"/>
      <c r="BF81" s="290" t="s">
        <v>219</v>
      </c>
      <c r="BG81" s="314">
        <f>BDER!Q42/1000</f>
        <v>0</v>
      </c>
      <c r="BH81" s="414">
        <f>IF(BG$79=0,"N.D.",BG81/BG$79)</f>
        <v>0</v>
      </c>
      <c r="BI81" s="314">
        <f>BDER!Y41/1000</f>
        <v>0</v>
      </c>
      <c r="BJ81" s="414">
        <f ca="1">IF(BI$79=0,"N.D.",BI81/BI$79)</f>
        <v>0</v>
      </c>
      <c r="BK81" s="314">
        <f>BDER!U41/1000</f>
        <v>0</v>
      </c>
      <c r="BL81" s="414">
        <f ca="1">IF(BK$79=0,"N.D.",BK81/BK$79)</f>
        <v>0</v>
      </c>
      <c r="BM81" s="314">
        <f>BG81-BI81</f>
        <v>0</v>
      </c>
      <c r="BN81" s="472" t="str">
        <f>IF(BI81=0,"N.D.",BG81/BI81-1)</f>
        <v>N.D.</v>
      </c>
      <c r="BO81" s="314">
        <f>BG81-BK81</f>
        <v>0</v>
      </c>
      <c r="BP81" s="472" t="str">
        <f>IF(BK81=0,"N.D.",BG81/BK81-1)</f>
        <v>N.D.</v>
      </c>
      <c r="BQ81" s="353"/>
    </row>
    <row r="82" spans="1:69" ht="12.5" customHeight="1" x14ac:dyDescent="0.3">
      <c r="A82" s="238"/>
      <c r="B82" t="s">
        <v>40</v>
      </c>
      <c r="C82" s="381">
        <f>C79-C80-C81</f>
        <v>195.87474000000003</v>
      </c>
      <c r="D82" s="415">
        <f>IF(C$79=0,"N.D.",C82/C$79)</f>
        <v>0.67313606700309947</v>
      </c>
      <c r="E82" s="381">
        <f>E79-E80-E81</f>
        <v>193.53899999999999</v>
      </c>
      <c r="F82" s="415">
        <f>IF(E$79=0,"N.D.",E82/E$79)</f>
        <v>0.64449839157625521</v>
      </c>
      <c r="G82" s="381">
        <f>G79-G80-G81</f>
        <v>189.15938</v>
      </c>
      <c r="H82" s="415">
        <f>IF(G$79=0,"N.D.",G82/G$79)</f>
        <v>0.64221065957077472</v>
      </c>
      <c r="I82" s="381">
        <f>C82-E82</f>
        <v>2.3357400000000439</v>
      </c>
      <c r="J82" s="402">
        <f>IF(E82=0,"N.D.",C82/E82-1)</f>
        <v>1.2068575325903552E-2</v>
      </c>
      <c r="K82" s="381">
        <f t="shared" si="118"/>
        <v>6.7153600000000324</v>
      </c>
      <c r="L82" s="402">
        <f>IF(G82=0,"N.D.",C82/G82-1)</f>
        <v>3.5501067935409969E-2</v>
      </c>
      <c r="M82" s="175"/>
      <c r="AD82" t="s">
        <v>40</v>
      </c>
      <c r="AE82" s="381">
        <f>AE79-AE80-AE81</f>
        <v>1186.5191</v>
      </c>
      <c r="AF82" s="178">
        <f>IF(AE$79=0,"N.D.",AE82/AE$79)</f>
        <v>0.66633549043597362</v>
      </c>
      <c r="AG82" s="381">
        <f>AG79-AG80-AG81</f>
        <v>1183.52</v>
      </c>
      <c r="AH82" s="415">
        <f>IF(AG$79=0,"N.D.",AG82/AG$79)</f>
        <v>0.64450008658536717</v>
      </c>
      <c r="AI82" s="381">
        <f>AI79-AI80-AI81</f>
        <v>1142.1876099999999</v>
      </c>
      <c r="AJ82" s="415">
        <f t="shared" si="119"/>
        <v>0.64169310500526611</v>
      </c>
      <c r="AK82" s="381">
        <f>AE82-AG82</f>
        <v>2.9990999999999985</v>
      </c>
      <c r="AL82" s="402">
        <f>IF(AG82=0,"N.D.",AE82/AG82-1)</f>
        <v>2.5340509666080813E-3</v>
      </c>
      <c r="AM82" s="381">
        <f>AE82-AI82</f>
        <v>44.331490000000031</v>
      </c>
      <c r="AN82" s="402">
        <f>IF(AI82=0,"N.D.",AE82/AI82-1)</f>
        <v>3.8812791884513587E-2</v>
      </c>
      <c r="AO82" s="175"/>
      <c r="BF82" s="290" t="s">
        <v>40</v>
      </c>
      <c r="BG82" s="381">
        <f>BG79-BG80-BG81</f>
        <v>202.61395616793294</v>
      </c>
      <c r="BH82" s="415">
        <f>IF(BG$79=0,"N.D.",BG82/BG$79)</f>
        <v>0.67313606700309947</v>
      </c>
      <c r="BI82" s="381">
        <f ca="1">BI79-BI80-BI81</f>
        <v>199.36400000000003</v>
      </c>
      <c r="BJ82" s="415">
        <f ca="1">IF(BI$79=0,"N.D.",BI82/BI$79)</f>
        <v>0.64450055118950256</v>
      </c>
      <c r="BK82" s="381">
        <f ca="1">BK79-BK80-BK81</f>
        <v>189.15938</v>
      </c>
      <c r="BL82" s="415">
        <f ca="1">IF(BK$79=0,"N.D.",BK82/BK$79)</f>
        <v>0.64221065957077472</v>
      </c>
      <c r="BM82" s="381">
        <f ca="1">BG82-BI82</f>
        <v>3.2499561679329076</v>
      </c>
      <c r="BN82" s="402">
        <f ca="1">IF(BI82=0,"N.D.",BG82/BI82-1)</f>
        <v>1.6301619991236693E-2</v>
      </c>
      <c r="BO82" s="381">
        <f ca="1">BG82-BK82</f>
        <v>13.454576167932942</v>
      </c>
      <c r="BP82" s="402">
        <f ca="1">IF(BK82=0,"N.D.",BG82/BK82-1)</f>
        <v>7.1128252629782063E-2</v>
      </c>
      <c r="BQ82" s="354"/>
    </row>
    <row r="83" spans="1:69" ht="12.5" customHeight="1" x14ac:dyDescent="0.25">
      <c r="A83" s="238"/>
      <c r="C83" s="419"/>
      <c r="D83" s="416"/>
      <c r="E83" s="419"/>
      <c r="F83" s="416"/>
      <c r="G83" s="419"/>
      <c r="H83" s="416"/>
      <c r="I83" s="419"/>
      <c r="J83" s="352"/>
      <c r="K83" s="419"/>
      <c r="L83" s="352"/>
      <c r="M83" s="175"/>
      <c r="AE83" s="419"/>
      <c r="AF83" s="180"/>
      <c r="AG83" s="419"/>
      <c r="AH83" s="416"/>
      <c r="AI83" s="419"/>
      <c r="AJ83" s="416"/>
      <c r="AK83" s="419"/>
      <c r="AL83" s="352"/>
      <c r="AM83" s="419"/>
      <c r="AN83" s="352"/>
      <c r="AO83" s="175"/>
      <c r="BG83" s="419"/>
      <c r="BH83" s="416"/>
      <c r="BI83" s="419"/>
      <c r="BJ83" s="416"/>
      <c r="BK83" s="419"/>
      <c r="BL83" s="416"/>
      <c r="BM83" s="419"/>
      <c r="BN83" s="352"/>
      <c r="BO83" s="419"/>
      <c r="BP83" s="352"/>
      <c r="BQ83" s="352"/>
    </row>
    <row r="84" spans="1:69" ht="12.5" customHeight="1" x14ac:dyDescent="0.25">
      <c r="A84" s="238"/>
      <c r="B84" t="s">
        <v>41</v>
      </c>
      <c r="C84" s="418">
        <f>BDER!D44/1000</f>
        <v>190.69368</v>
      </c>
      <c r="D84" s="417">
        <f>IF(C$79=0,"N.D.",C84/C$79)</f>
        <v>0.65533102306886326</v>
      </c>
      <c r="E84" s="418">
        <f>BDER!L44/1000</f>
        <v>202.387</v>
      </c>
      <c r="F84" s="417">
        <f>IF(E$79=0,"N.D.",E84/E$79)</f>
        <v>0.67396284974058762</v>
      </c>
      <c r="G84" s="418">
        <f>BDER!F44/1000</f>
        <v>200.70060999999998</v>
      </c>
      <c r="H84" s="417">
        <f>IF(G$79=0,"N.D.",G84/G$79)</f>
        <v>0.68139402404658345</v>
      </c>
      <c r="I84" s="418">
        <f>C84-E84</f>
        <v>-11.69332</v>
      </c>
      <c r="J84" s="471">
        <f>IF(E84=0,"N.D.",C84/E84-1)</f>
        <v>-5.7777031133422585E-2</v>
      </c>
      <c r="K84" s="418">
        <f t="shared" si="118"/>
        <v>-10.006929999999983</v>
      </c>
      <c r="L84" s="471">
        <f>IF(G84=0,"N.D.",C84/G84-1)</f>
        <v>-4.9859987969144592E-2</v>
      </c>
      <c r="M84" s="175"/>
      <c r="AD84" t="s">
        <v>41</v>
      </c>
      <c r="AE84" s="418">
        <f>BDER!E44/1000</f>
        <v>1131.3700200000001</v>
      </c>
      <c r="AF84" s="182">
        <f>IF(AE$79=0,"N.D.",AE84/AE$79)</f>
        <v>0.63536440091125157</v>
      </c>
      <c r="AG84" s="418">
        <f>BDER!M44/1000</f>
        <v>1224.047</v>
      </c>
      <c r="AH84" s="417">
        <f>IF(AG$79=0,"N.D.",AG84/AG$79)</f>
        <v>0.66656955309970167</v>
      </c>
      <c r="AI84" s="418">
        <f>BDER!I44/1000</f>
        <v>1205.86797</v>
      </c>
      <c r="AJ84" s="417">
        <f t="shared" si="119"/>
        <v>0.67746940618248974</v>
      </c>
      <c r="AK84" s="418">
        <f>AE84-AG84</f>
        <v>-92.676979999999958</v>
      </c>
      <c r="AL84" s="471">
        <f>IF(AG84=0,"N.D.",AE84/AG84-1)</f>
        <v>-7.5713579625618865E-2</v>
      </c>
      <c r="AM84" s="418">
        <f>AE84-AI84</f>
        <v>-74.497949999999946</v>
      </c>
      <c r="AN84" s="471">
        <f>IF(AI84=0,"N.D.",AE84/AI84-1)</f>
        <v>-6.1779524668857388E-2</v>
      </c>
      <c r="AO84" s="175"/>
      <c r="BF84" s="290" t="s">
        <v>41</v>
      </c>
      <c r="BG84" s="418">
        <f>BG79*D84</f>
        <v>197.25463794372783</v>
      </c>
      <c r="BH84" s="417">
        <f>IF(BG$79=0,"N.D.",BG84/BG$79)</f>
        <v>0.65533102306886326</v>
      </c>
      <c r="BI84" s="418">
        <f ca="1">INDIRECT(ADDRESS(MATCH(B76,BDPP!$B:$B,0)+10,MATCH(TEXT(EDATE(MES_CIERRE,1),"MMMM"),BDPP!$1:$1,0),,,"BDPP"))/1000</f>
        <v>202.066</v>
      </c>
      <c r="BJ84" s="417">
        <f ca="1">IF(BI$79=0,"N.D.",BI84/BI$79)</f>
        <v>0.65323553087146125</v>
      </c>
      <c r="BK84" s="418">
        <f ca="1">INDIRECT(ADDRESS(MATCH(B76,INDIRECT("'"&amp;IF(MONTH(MES_CIERRE)=10,"ER ACT","ER AA")&amp;"'!$B:$B"),0)+6,MATCH(TEXT(EDATE(MES_CIERRE,1),"MMMM"),'ER AA'!$1:$1,0),,,IF(MONTH(MES_CIERRE)=12,"ER ACT","ER AA")))</f>
        <v>200.70060999999998</v>
      </c>
      <c r="BL84" s="417">
        <f ca="1">IF(BK$79=0,"N.D.",BK84/BK$79)</f>
        <v>0.68139402404658345</v>
      </c>
      <c r="BM84" s="418">
        <f ca="1">BG84-BI84</f>
        <v>-4.8113620562721735</v>
      </c>
      <c r="BN84" s="471">
        <f ca="1">IF(BI84=0,"N.D.",BG84/BI84-1)</f>
        <v>-2.3810844260153452E-2</v>
      </c>
      <c r="BO84" s="418">
        <f ca="1">BG84-BK84</f>
        <v>-3.4459720562721543</v>
      </c>
      <c r="BP84" s="471">
        <f ca="1">IF(BK84=0,"N.D.",BG84/BK84-1)</f>
        <v>-1.7169713915030749E-2</v>
      </c>
      <c r="BQ84" s="353"/>
    </row>
    <row r="85" spans="1:69" ht="12.5" customHeight="1" x14ac:dyDescent="0.25">
      <c r="A85" s="238"/>
      <c r="B85" t="s">
        <v>42</v>
      </c>
      <c r="C85" s="314">
        <f>BDER!D45/1000</f>
        <v>8.8756500000000003</v>
      </c>
      <c r="D85" s="414">
        <f>IF(C$79=0,"N.D.",C85/C$79)</f>
        <v>3.0501738677973785E-2</v>
      </c>
      <c r="E85" s="314">
        <f>BDER!L45/1000</f>
        <v>13.423</v>
      </c>
      <c r="F85" s="414">
        <f>IF(E$79=0,"N.D.",E85/E$79)</f>
        <v>4.4699527796093166E-2</v>
      </c>
      <c r="G85" s="314">
        <f>BDER!F45/1000</f>
        <v>15.25639</v>
      </c>
      <c r="H85" s="414">
        <f>IF(G$79=0,"N.D.",G85/G$79)</f>
        <v>5.1796618727387299E-2</v>
      </c>
      <c r="I85" s="314">
        <f>C85-E85</f>
        <v>-4.5473499999999998</v>
      </c>
      <c r="J85" s="472">
        <f>IF(E85=0,"N.D.",C85/E85-1)</f>
        <v>-0.33877300156447887</v>
      </c>
      <c r="K85" s="314">
        <f t="shared" si="118"/>
        <v>-6.3807399999999994</v>
      </c>
      <c r="L85" s="472">
        <f>IF(G85=0,"N.D.",C85/G85-1)</f>
        <v>-0.41823393345345783</v>
      </c>
      <c r="M85" s="175"/>
      <c r="AD85" t="s">
        <v>42</v>
      </c>
      <c r="AE85" s="314">
        <f>BDER!E45/1000</f>
        <v>67.55104</v>
      </c>
      <c r="AF85" s="414">
        <f>IF(AE$79=0,"N.D.",AE85/AE$79)</f>
        <v>3.793588773064005E-2</v>
      </c>
      <c r="AG85" s="314">
        <f>BDER!M45/1000</f>
        <v>84.003</v>
      </c>
      <c r="AH85" s="414">
        <f>IF(AG$79=0,"N.D.",AG85/AG$79)</f>
        <v>4.5744846536966505E-2</v>
      </c>
      <c r="AI85" s="314">
        <f>BDER!I45/1000</f>
        <v>87.670009999999991</v>
      </c>
      <c r="AJ85" s="414">
        <f t="shared" si="119"/>
        <v>4.9253940806399332E-2</v>
      </c>
      <c r="AK85" s="314">
        <f>AE85-AG85</f>
        <v>-16.45196</v>
      </c>
      <c r="AL85" s="472">
        <f>IF(AG85=0,"N.D.",AE85/AG85-1)</f>
        <v>-0.1958496720355225</v>
      </c>
      <c r="AM85" s="314">
        <f>AE85-AI85</f>
        <v>-20.11896999999999</v>
      </c>
      <c r="AN85" s="472">
        <f>IF(AI85=0,"N.D.",AE85/AI85-1)</f>
        <v>-0.22948520252250448</v>
      </c>
      <c r="AO85" s="175"/>
      <c r="BF85" s="290" t="s">
        <v>42</v>
      </c>
      <c r="BG85" s="314">
        <v>12</v>
      </c>
      <c r="BH85" s="414">
        <f>IF(BG$79=0,"N.D.",BG85/BG$79)</f>
        <v>3.9867109634551492E-2</v>
      </c>
      <c r="BI85" s="314">
        <f ca="1">INDIRECT(ADDRESS(MATCH(B76,BDPP!$B:$B,0)+11,MATCH(TEXT(EDATE(MES_CIERRE,1),"MMMM"),BDPP!$1:$1,0),,,"BDPP"))/1000</f>
        <v>10.77</v>
      </c>
      <c r="BJ85" s="414">
        <f ca="1">IF(BI$79=0,"N.D.",BI85/BI$79)</f>
        <v>3.4817072973610787E-2</v>
      </c>
      <c r="BK85" s="314">
        <f ca="1">INDIRECT(ADDRESS(MATCH(B76,INDIRECT("'"&amp;IF(MONTH(MES_CIERRE)=10,"ER ACT","ER AA")&amp;"'!$B:$B"),0)+7,MATCH(TEXT(EDATE(MES_CIERRE,1),"MMMM"),'ER AA'!$1:$1,0),,,IF(MONTH(MES_CIERRE)=12,"ER ACT","ER AA")))</f>
        <v>15.25639</v>
      </c>
      <c r="BL85" s="414">
        <f ca="1">IF(BK$79=0,"N.D.",BK85/BK$79)</f>
        <v>5.1796618727387299E-2</v>
      </c>
      <c r="BM85" s="314">
        <f ca="1">BG85-BI85</f>
        <v>1.2300000000000004</v>
      </c>
      <c r="BN85" s="472">
        <f ca="1">IF(BI85=0,"N.D.",BG85/BI85-1)</f>
        <v>0.11420612813370479</v>
      </c>
      <c r="BO85" s="314">
        <f ca="1">BG85-BK85</f>
        <v>-3.2563899999999997</v>
      </c>
      <c r="BP85" s="472">
        <f ca="1">IF(BK85=0,"N.D.",BG85/BK85-1)</f>
        <v>-0.21344433381684658</v>
      </c>
      <c r="BQ85" s="353"/>
    </row>
    <row r="86" spans="1:69" ht="12.5" customHeight="1" x14ac:dyDescent="0.25">
      <c r="A86" s="238"/>
      <c r="B86" t="s">
        <v>43</v>
      </c>
      <c r="C86" s="314">
        <f>BDER!D46/1000</f>
        <v>1.8633199999999999</v>
      </c>
      <c r="D86" s="414">
        <f>IF(C$79=0,"N.D.",C86/C$79)</f>
        <v>6.4034183089060641E-3</v>
      </c>
      <c r="E86" s="314">
        <f>BDER!L46/1000</f>
        <v>0</v>
      </c>
      <c r="F86" s="414">
        <f>IF(E$79=0,"N.D.",E86/E$79)</f>
        <v>0</v>
      </c>
      <c r="G86" s="314">
        <f>BDER!F46/1000</f>
        <v>1.8633199999999999</v>
      </c>
      <c r="H86" s="414">
        <f>IF(G$79=0,"N.D.",G86/G$79)</f>
        <v>6.3261148677449452E-3</v>
      </c>
      <c r="I86" s="314">
        <f>C86-E86</f>
        <v>1.8633199999999999</v>
      </c>
      <c r="J86" s="472" t="str">
        <f>IF(E86=0,"N.D.",C86/E86-1)</f>
        <v>N.D.</v>
      </c>
      <c r="K86" s="314">
        <f t="shared" si="118"/>
        <v>0</v>
      </c>
      <c r="L86" s="472">
        <f>IF(G86=0,"N.D.",C86/G86-1)</f>
        <v>0</v>
      </c>
      <c r="M86" s="175"/>
      <c r="AD86" t="s">
        <v>43</v>
      </c>
      <c r="AE86" s="314">
        <f>BDER!E46/1000</f>
        <v>10.423639999999999</v>
      </c>
      <c r="AF86" s="414">
        <f>IF(AE$79=0,"N.D.",AE86/AE$79)</f>
        <v>5.8537964298493233E-3</v>
      </c>
      <c r="AG86" s="314">
        <f>BDER!M46/1000</f>
        <v>0</v>
      </c>
      <c r="AH86" s="414">
        <f>IF(AG$79=0,"N.D.",AG86/AG$79)</f>
        <v>0</v>
      </c>
      <c r="AI86" s="314">
        <f>BDER!I46/1000</f>
        <v>11.179919999999999</v>
      </c>
      <c r="AJ86" s="414">
        <f t="shared" si="119"/>
        <v>6.2809975486518141E-3</v>
      </c>
      <c r="AK86" s="314">
        <f>AE86-AG86</f>
        <v>10.423639999999999</v>
      </c>
      <c r="AL86" s="472" t="str">
        <f>IF(AG86=0,"N.D.",AE86/AG86-1)</f>
        <v>N.D.</v>
      </c>
      <c r="AM86" s="314">
        <f>AE86-AI86</f>
        <v>-0.75628000000000029</v>
      </c>
      <c r="AN86" s="472">
        <f>IF(AI86=0,"N.D.",AE86/AI86-1)</f>
        <v>-6.764628011649465E-2</v>
      </c>
      <c r="AO86" s="175"/>
      <c r="BF86" s="290" t="s">
        <v>43</v>
      </c>
      <c r="BG86" s="460">
        <v>0</v>
      </c>
      <c r="BH86" s="414">
        <f>IF(BG$79=0,"N.D.",BG86/BG$79)</f>
        <v>0</v>
      </c>
      <c r="BI86" s="314">
        <f ca="1">INDIRECT(ADDRESS(MATCH(B76,BDPP!$B:$B,0)+12,MATCH(TEXT(EDATE(MES_CIERRE,1),"MMMM"),BDPP!$1:$1,0),,,"BDPP"))/1000</f>
        <v>0</v>
      </c>
      <c r="BJ86" s="414">
        <f ca="1">IF(BI$79=0,"N.D.",BI86/BI$79)</f>
        <v>0</v>
      </c>
      <c r="BK86" s="314">
        <f ca="1">INDIRECT(ADDRESS(MATCH(B76,INDIRECT("'"&amp;IF(MONTH(MES_CIERRE)=10,"ER ACT","ER AA")&amp;"'!$B:$B"),0)+8,MATCH(TEXT(EDATE(MES_CIERRE,1),"MMMM"),'ER AA'!$1:$1,0),,,IF(MONTH(MES_CIERRE)=12,"ER ACT","ER AA")))</f>
        <v>1.8633199999999999</v>
      </c>
      <c r="BL86" s="414">
        <f ca="1">IF(BK$79=0,"N.D.",BK86/BK$79)</f>
        <v>6.3261148677449452E-3</v>
      </c>
      <c r="BM86" s="314">
        <f ca="1">BG86-BI86</f>
        <v>0</v>
      </c>
      <c r="BN86" s="472" t="str">
        <f ca="1">IF(BI86=0,"N.D.",BG86/BI86-1)</f>
        <v>N.D.</v>
      </c>
      <c r="BO86" s="314">
        <f ca="1">BG86-BK86</f>
        <v>-1.8633199999999999</v>
      </c>
      <c r="BP86" s="472">
        <f ca="1">IF(BK86=0,"N.D.",BG86/BK86-1)</f>
        <v>-1</v>
      </c>
      <c r="BQ86" s="353"/>
    </row>
    <row r="87" spans="1:69" ht="12.5" customHeight="1" x14ac:dyDescent="0.3">
      <c r="A87" s="238"/>
      <c r="B87" t="s">
        <v>44</v>
      </c>
      <c r="C87" s="381">
        <f>C84+C85+C86</f>
        <v>201.43265</v>
      </c>
      <c r="D87" s="415">
        <f>IF(C$79=0,"N.D.",C87/C$79)</f>
        <v>0.69223618005574306</v>
      </c>
      <c r="E87" s="381">
        <f>E84+E85+E86</f>
        <v>215.81</v>
      </c>
      <c r="F87" s="415">
        <f>IF(E$79=0,"N.D.",E87/E$79)</f>
        <v>0.71866237753668072</v>
      </c>
      <c r="G87" s="381">
        <f>G84+G85+G86</f>
        <v>217.82031999999998</v>
      </c>
      <c r="H87" s="415">
        <f>IF(G$79=0,"N.D.",G87/G$79)</f>
        <v>0.73951675764171565</v>
      </c>
      <c r="I87" s="381">
        <f>C87-E87</f>
        <v>-14.377350000000007</v>
      </c>
      <c r="J87" s="402">
        <f>IF(E87=0,"N.D.",C87/E87-1)</f>
        <v>-6.6620406839349444E-2</v>
      </c>
      <c r="K87" s="381">
        <f t="shared" si="118"/>
        <v>-16.387669999999986</v>
      </c>
      <c r="L87" s="402">
        <f>IF(G87=0,"N.D.",C87/G87-1)</f>
        <v>-7.5234808212567117E-2</v>
      </c>
      <c r="M87" s="175"/>
      <c r="AD87" t="s">
        <v>44</v>
      </c>
      <c r="AE87" s="381">
        <f>AE84+AE85+AE86</f>
        <v>1209.3447000000001</v>
      </c>
      <c r="AF87" s="415">
        <f>IF(AE$79=0,"N.D.",AE87/AE$79)</f>
        <v>0.67915408507174091</v>
      </c>
      <c r="AG87" s="381">
        <f>AG84+AG85+AG86</f>
        <v>1308.05</v>
      </c>
      <c r="AH87" s="415">
        <f>IF(AG$79=0,"N.D.",AG87/AG$79)</f>
        <v>0.71231439963666821</v>
      </c>
      <c r="AI87" s="381">
        <f>AI84+AI85+AI86</f>
        <v>1304.7179000000001</v>
      </c>
      <c r="AJ87" s="415">
        <f t="shared" si="119"/>
        <v>0.73300434453754093</v>
      </c>
      <c r="AK87" s="381">
        <f>AE87-AG87</f>
        <v>-98.705299999999852</v>
      </c>
      <c r="AL87" s="402">
        <f>IF(AG87=0,"N.D.",AE87/AG87-1)</f>
        <v>-7.5459883031994024E-2</v>
      </c>
      <c r="AM87" s="381">
        <f>AE87-AI87</f>
        <v>-95.373199999999997</v>
      </c>
      <c r="AN87" s="402">
        <f>IF(AI87=0,"N.D.",AE87/AI87-1)</f>
        <v>-7.3098713522670278E-2</v>
      </c>
      <c r="AO87" s="175"/>
      <c r="BF87" s="290" t="s">
        <v>44</v>
      </c>
      <c r="BG87" s="381">
        <f>BG84+BG85+BG86</f>
        <v>209.25463794372783</v>
      </c>
      <c r="BH87" s="415">
        <f>IF(BG$79=0,"N.D.",BG87/BG$79)</f>
        <v>0.69519813270341468</v>
      </c>
      <c r="BI87" s="381">
        <f ca="1">BI84+BI85+BI86</f>
        <v>212.83600000000001</v>
      </c>
      <c r="BJ87" s="415">
        <f ca="1">IF(BI$79=0,"N.D.",BI87/BI$79)</f>
        <v>0.68805260384507216</v>
      </c>
      <c r="BK87" s="381">
        <f ca="1">BK84+BK85+BK86</f>
        <v>217.82031999999998</v>
      </c>
      <c r="BL87" s="415">
        <f ca="1">IF(BK$79=0,"N.D.",BK87/BK$79)</f>
        <v>0.73951675764171565</v>
      </c>
      <c r="BM87" s="381">
        <f ca="1">BG87-BI87</f>
        <v>-3.5813620562721837</v>
      </c>
      <c r="BN87" s="402">
        <f ca="1">IF(BI87=0,"N.D.",BG87/BI87-1)</f>
        <v>-1.6826862261422826E-2</v>
      </c>
      <c r="BO87" s="381">
        <f ca="1">BG87-BK87</f>
        <v>-8.5656820562721521</v>
      </c>
      <c r="BP87" s="402">
        <f ca="1">IF(BK87=0,"N.D.",BG87/BK87-1)</f>
        <v>-3.9324531596832468E-2</v>
      </c>
      <c r="BQ87" s="354"/>
    </row>
    <row r="88" spans="1:69" ht="12.5" customHeight="1" x14ac:dyDescent="0.3">
      <c r="A88" s="238"/>
      <c r="B88" t="s">
        <v>45</v>
      </c>
      <c r="C88" s="381">
        <f>C82-C87</f>
        <v>-5.5579099999999642</v>
      </c>
      <c r="D88" s="415">
        <f>IF(C$79=0,"N.D.",C88/C$79)</f>
        <v>-1.9100113052643603E-2</v>
      </c>
      <c r="E88" s="381">
        <f>E82-E87</f>
        <v>-22.271000000000015</v>
      </c>
      <c r="F88" s="415">
        <f>IF(E$79=0,"N.D.",E88/E$79)</f>
        <v>-7.4163985960425505E-2</v>
      </c>
      <c r="G88" s="381">
        <f>G82-G87</f>
        <v>-28.660939999999982</v>
      </c>
      <c r="H88" s="415">
        <f>IF(G$79=0,"N.D.",G88/G$79)</f>
        <v>-9.7306098070940955E-2</v>
      </c>
      <c r="I88" s="381">
        <f>C88-E88</f>
        <v>16.713090000000051</v>
      </c>
      <c r="J88" s="402">
        <f>IF(E88=0,"N.D.",C88/E88-1)</f>
        <v>-0.75044183018275068</v>
      </c>
      <c r="K88" s="381">
        <f t="shared" si="118"/>
        <v>23.103030000000018</v>
      </c>
      <c r="L88" s="402">
        <f>IF(G88=0,"N.D.",C88/G88-1)</f>
        <v>-0.80608067983813625</v>
      </c>
      <c r="M88" s="175"/>
      <c r="AD88" t="s">
        <v>45</v>
      </c>
      <c r="AE88" s="381">
        <f>AE82-AE87</f>
        <v>-22.825600000000122</v>
      </c>
      <c r="AF88" s="415">
        <f>IF(AE$79=0,"N.D.",AE88/AE$79)</f>
        <v>-1.2818594635767297E-2</v>
      </c>
      <c r="AG88" s="381">
        <f>AG82-AG87</f>
        <v>-124.52999999999997</v>
      </c>
      <c r="AH88" s="415">
        <f>IF(AG$79=0,"N.D.",AG88/AG$79)</f>
        <v>-6.7814313051301006E-2</v>
      </c>
      <c r="AI88" s="381">
        <f>AI82-AI87</f>
        <v>-162.53029000000015</v>
      </c>
      <c r="AJ88" s="415">
        <f t="shared" si="119"/>
        <v>-9.1311239532274782E-2</v>
      </c>
      <c r="AK88" s="381">
        <f>AE88-AG88</f>
        <v>101.70439999999985</v>
      </c>
      <c r="AL88" s="402">
        <f>IF(AG88=0,"N.D.",AE88/AG88-1)</f>
        <v>-0.81670601461495118</v>
      </c>
      <c r="AM88" s="381">
        <f>AE88-AI88</f>
        <v>139.70469000000003</v>
      </c>
      <c r="AN88" s="402">
        <f>IF(AI88=0,"N.D.",AE88/AI88-1)</f>
        <v>-0.85956094707023478</v>
      </c>
      <c r="AO88" s="175"/>
      <c r="BF88" s="290" t="s">
        <v>45</v>
      </c>
      <c r="BG88" s="381">
        <f>BG82-BG87</f>
        <v>-6.6406817757948886</v>
      </c>
      <c r="BH88" s="415">
        <f>IF(BG$79=0,"N.D.",BG88/BG$79)</f>
        <v>-2.2062065700315246E-2</v>
      </c>
      <c r="BI88" s="381">
        <f ca="1">BI82-BI87</f>
        <v>-13.47199999999998</v>
      </c>
      <c r="BJ88" s="415">
        <f ca="1">IF(BI$79=0,"N.D.",BI88/BI$79)</f>
        <v>-4.355205265556953E-2</v>
      </c>
      <c r="BK88" s="381">
        <f ca="1">BK82-BK87</f>
        <v>-28.660939999999982</v>
      </c>
      <c r="BL88" s="415">
        <f ca="1">IF(BK$79=0,"N.D.",BK88/BK$79)</f>
        <v>-9.7306098070940955E-2</v>
      </c>
      <c r="BM88" s="381">
        <f ca="1">BG88-BI88</f>
        <v>6.8313182242050914</v>
      </c>
      <c r="BN88" s="402">
        <f ca="1">IF(BI88=0,"N.D.",BG88/BI88-1)</f>
        <v>-0.50707528386320533</v>
      </c>
      <c r="BO88" s="381">
        <f ca="1">BG88-BK88</f>
        <v>22.020258224205094</v>
      </c>
      <c r="BP88" s="402">
        <f ca="1">IF(BK88=0,"N.D.",BG88/BK88-1)</f>
        <v>-0.76830202443482687</v>
      </c>
      <c r="BQ88" s="354"/>
    </row>
    <row r="89" spans="1:69" ht="12.5" customHeight="1" x14ac:dyDescent="0.25">
      <c r="A89" s="238"/>
      <c r="C89" s="437"/>
      <c r="D89" s="487"/>
      <c r="E89" s="437"/>
      <c r="F89" s="437"/>
      <c r="G89" s="437"/>
      <c r="H89" s="487"/>
      <c r="I89" s="437"/>
      <c r="J89" s="473"/>
      <c r="K89" s="437"/>
      <c r="L89" s="473"/>
      <c r="M89" s="175"/>
      <c r="AE89" s="437"/>
      <c r="AF89" s="487"/>
      <c r="AG89" s="437"/>
      <c r="AH89" s="487"/>
      <c r="AI89" s="437"/>
      <c r="AJ89" s="487"/>
      <c r="AK89" s="437"/>
      <c r="AL89" s="473"/>
      <c r="AM89" s="437"/>
      <c r="AN89" s="473"/>
      <c r="AO89" s="175"/>
      <c r="BG89" s="437"/>
      <c r="BH89" s="487"/>
      <c r="BI89" s="437"/>
      <c r="BJ89" s="487"/>
      <c r="BK89" s="437"/>
      <c r="BL89" s="487"/>
      <c r="BM89" s="437"/>
      <c r="BN89" s="473"/>
      <c r="BO89" s="437"/>
      <c r="BP89" s="473"/>
      <c r="BQ89" s="352"/>
    </row>
    <row r="90" spans="1:69" ht="12.5" hidden="1" customHeight="1" x14ac:dyDescent="0.25">
      <c r="A90" s="238"/>
      <c r="C90" s="418">
        <v>0</v>
      </c>
      <c r="D90" s="417">
        <f t="shared" ref="D90:D96" si="120">IF(C$79=0,"N.D.",C90/C$79)</f>
        <v>0</v>
      </c>
      <c r="E90" s="418">
        <v>0</v>
      </c>
      <c r="F90" s="417">
        <f t="shared" ref="F90:H96" si="121">IF(E$79=0,"N.D.",E90/E$79)</f>
        <v>0</v>
      </c>
      <c r="G90" s="418">
        <v>0</v>
      </c>
      <c r="H90" s="417">
        <f t="shared" si="121"/>
        <v>0</v>
      </c>
      <c r="I90" s="418">
        <f t="shared" ref="I90:I96" si="122">C90-E90</f>
        <v>0</v>
      </c>
      <c r="J90" s="471" t="str">
        <f t="shared" ref="J90:J96" si="123">IF(E90=0,"N.D.",C90/E90-1)</f>
        <v>N.D.</v>
      </c>
      <c r="K90" s="418">
        <f t="shared" si="118"/>
        <v>0</v>
      </c>
      <c r="L90" s="471" t="str">
        <f t="shared" ref="L90:L96" si="124">IF(G90=0,"N.D.",C90/G90-1)</f>
        <v>N.D.</v>
      </c>
      <c r="M90" s="175"/>
      <c r="AE90" s="418">
        <v>0</v>
      </c>
      <c r="AF90" s="417">
        <f t="shared" ref="AF90:AF96" si="125">IF(AE$79=0,"N.D.",AE90/AE$79)</f>
        <v>0</v>
      </c>
      <c r="AG90" s="418">
        <v>0</v>
      </c>
      <c r="AH90" s="417">
        <f t="shared" ref="AH90:AH96" si="126">IF(AG$79=0,"N.D.",AG90/AG$79)</f>
        <v>0</v>
      </c>
      <c r="AI90" s="418">
        <v>0</v>
      </c>
      <c r="AJ90" s="417">
        <f t="shared" si="119"/>
        <v>0</v>
      </c>
      <c r="AK90" s="418">
        <f t="shared" ref="AK90:AK96" si="127">AE90-AG90</f>
        <v>0</v>
      </c>
      <c r="AL90" s="471" t="str">
        <f t="shared" ref="AL90:AL96" si="128">IF(AG90=0,"N.D.",AE90/AG90-1)</f>
        <v>N.D.</v>
      </c>
      <c r="AM90" s="418">
        <f t="shared" ref="AM90:AM96" si="129">AE90-AI90</f>
        <v>0</v>
      </c>
      <c r="AN90" s="471" t="str">
        <f t="shared" ref="AN90:AN96" si="130">IF(AI90=0,"N.D.",AE90/AI90-1)</f>
        <v>N.D.</v>
      </c>
      <c r="AO90" s="175"/>
      <c r="BG90" s="418"/>
      <c r="BH90" s="417">
        <f>IF(BG$79=0,"N.D.",BG90/BG$79)</f>
        <v>0</v>
      </c>
      <c r="BI90" s="418">
        <f ca="1">INDIRECT(ADDRESS(MATCH(B76,BDPP!$B:$B,0)+15,MATCH(TEXT(EDATE(MES_CIERRE,1),"MMMM"),BDPP!$1:$1,0),,,"BDPP"))/1000</f>
        <v>0</v>
      </c>
      <c r="BJ90" s="417">
        <f ca="1">IF(BI$79=0,"N.D.",BI90/BI$79)</f>
        <v>0</v>
      </c>
      <c r="BK90" s="418">
        <f ca="1">INDIRECT(ADDRESS(MATCH(B76,INDIRECT("'"&amp;IF(MONTH(MES_CIERRE)=10,"ER ACT","ER AA")&amp;"'!$B:$B"),0)+12,MATCH(TEXT(EDATE(MES_CIERRE,1),"MMMM"),'ER AA'!$1:$1,0),,,IF(MONTH(MES_CIERRE)=12,"ER ACT","ER AA")))</f>
        <v>0</v>
      </c>
      <c r="BL90" s="417">
        <f ca="1">IF(BK$79=0,"N.D.",BK90/BK$79)</f>
        <v>0</v>
      </c>
      <c r="BM90" s="418">
        <f ca="1">BG90-BI90</f>
        <v>0</v>
      </c>
      <c r="BN90" s="471" t="str">
        <f ca="1">IF(BI90=0,"N.D.",BG90/BI90-1)</f>
        <v>N.D.</v>
      </c>
      <c r="BO90" s="418">
        <f ca="1">BG90-BK90</f>
        <v>0</v>
      </c>
      <c r="BP90" s="471" t="str">
        <f ca="1">IF(BK90=0,"N.D.",BG90/BK90-1)</f>
        <v>N.D.</v>
      </c>
      <c r="BQ90" s="353"/>
    </row>
    <row r="91" spans="1:69" ht="12.5" customHeight="1" x14ac:dyDescent="0.25">
      <c r="A91" s="238"/>
      <c r="B91" t="s">
        <v>52</v>
      </c>
      <c r="C91" s="314">
        <f>BDER!D50/1000</f>
        <v>-1.7802100000000001</v>
      </c>
      <c r="D91" s="414">
        <f t="shared" si="120"/>
        <v>-6.1178054803778551E-3</v>
      </c>
      <c r="E91" s="314">
        <f>BDER!L50/1000</f>
        <v>-1.55</v>
      </c>
      <c r="F91" s="414">
        <f t="shared" si="121"/>
        <v>-5.1616082905419358E-3</v>
      </c>
      <c r="G91" s="314">
        <f>BDER!F50/1000</f>
        <v>-3.4971199999999998</v>
      </c>
      <c r="H91" s="414">
        <f t="shared" si="121"/>
        <v>-1.1872991663422388E-2</v>
      </c>
      <c r="I91" s="314">
        <f t="shared" si="122"/>
        <v>-0.23021000000000003</v>
      </c>
      <c r="J91" s="472">
        <f t="shared" si="123"/>
        <v>0.14852258064516133</v>
      </c>
      <c r="K91" s="314">
        <f t="shared" si="118"/>
        <v>1.7169099999999997</v>
      </c>
      <c r="L91" s="472">
        <f t="shared" si="124"/>
        <v>-0.49094969574964542</v>
      </c>
      <c r="M91" s="175"/>
      <c r="AD91" t="s">
        <v>52</v>
      </c>
      <c r="AE91" s="314">
        <f>BDER!E50/1000</f>
        <v>-9.3946200000000015</v>
      </c>
      <c r="AF91" s="414">
        <f t="shared" si="125"/>
        <v>-5.2759106239078733E-3</v>
      </c>
      <c r="AG91" s="314">
        <f>BDER!M50/1000</f>
        <v>-9.3000000000000007</v>
      </c>
      <c r="AH91" s="414">
        <f t="shared" si="126"/>
        <v>-5.0644271370521117E-3</v>
      </c>
      <c r="AI91" s="314">
        <f>BDER!I50/1000</f>
        <v>-7.4189600000000002</v>
      </c>
      <c r="AJ91" s="414">
        <f t="shared" si="119"/>
        <v>-4.1680503593537225E-3</v>
      </c>
      <c r="AK91" s="314">
        <f t="shared" si="127"/>
        <v>-9.4620000000000815E-2</v>
      </c>
      <c r="AL91" s="472">
        <f t="shared" si="128"/>
        <v>1.0174193548387223E-2</v>
      </c>
      <c r="AM91" s="314">
        <f t="shared" si="129"/>
        <v>-1.9756600000000013</v>
      </c>
      <c r="AN91" s="472">
        <f t="shared" si="130"/>
        <v>0.26629878042205402</v>
      </c>
      <c r="AO91" s="175"/>
      <c r="BF91" s="290" t="s">
        <v>52</v>
      </c>
      <c r="BG91" s="314">
        <v>-2</v>
      </c>
      <c r="BH91" s="414">
        <f>IF(BG$79=0,"N.D.",BG91/BG$79)</f>
        <v>-6.6445182724252493E-3</v>
      </c>
      <c r="BI91" s="314">
        <f ca="1">INDIRECT(ADDRESS(MATCH(B76,BDPP!$B:$B,0)+16,MATCH(TEXT(EDATE(MES_CIERRE,1),"MMMM"),BDPP!$1:$1,0),,,"BDPP"))/1000</f>
        <v>-1.55</v>
      </c>
      <c r="BJ91" s="414">
        <f ca="1">IF(BI$79=0,"N.D.",BI91/BI$79)</f>
        <v>-5.0108136591547562E-3</v>
      </c>
      <c r="BK91" s="314">
        <f ca="1">INDIRECT(ADDRESS(MATCH(B76,INDIRECT("'"&amp;IF(MONTH(MES_CIERRE)=10,"ER ACT","ER AA")&amp;"'!$B:$B"),0)+13,MATCH(TEXT(EDATE(MES_CIERRE,1),"MMMM"),'ER AA'!$1:$1,0),,,IF(MONTH(MES_CIERRE)=12,"ER ACT","ER AA")))</f>
        <v>-3.4971199999999998</v>
      </c>
      <c r="BL91" s="414">
        <f ca="1">IF(BK$79=0,"N.D.",BK91/BK$79)</f>
        <v>-1.1872991663422388E-2</v>
      </c>
      <c r="BM91" s="314">
        <f ca="1">BG91-BI91</f>
        <v>-0.44999999999999996</v>
      </c>
      <c r="BN91" s="472">
        <f ca="1">IF(BI91=0,"N.D.",BG91/BI91-1)</f>
        <v>0.29032258064516125</v>
      </c>
      <c r="BO91" s="314">
        <f ca="1">BG91-BK91</f>
        <v>1.4971199999999998</v>
      </c>
      <c r="BP91" s="472">
        <f ca="1">IF(BK91=0,"N.D.",BG91/BK91-1)</f>
        <v>-0.42810083726037418</v>
      </c>
      <c r="BQ91" s="353"/>
    </row>
    <row r="92" spans="1:69" ht="12.5" customHeight="1" x14ac:dyDescent="0.25">
      <c r="A92" s="238"/>
      <c r="B92" t="s">
        <v>184</v>
      </c>
      <c r="C92" s="314">
        <f>BDER!D51/1000</f>
        <v>0</v>
      </c>
      <c r="D92" s="414">
        <f t="shared" si="120"/>
        <v>0</v>
      </c>
      <c r="E92" s="314">
        <f>BDER!L51/1000</f>
        <v>0</v>
      </c>
      <c r="F92" s="414">
        <f t="shared" si="121"/>
        <v>0</v>
      </c>
      <c r="G92" s="314">
        <f>BDER!F51/1000</f>
        <v>1.05182</v>
      </c>
      <c r="H92" s="414">
        <f t="shared" si="121"/>
        <v>3.5710098856833439E-3</v>
      </c>
      <c r="I92" s="314">
        <f t="shared" si="122"/>
        <v>0</v>
      </c>
      <c r="J92" s="472" t="str">
        <f t="shared" si="123"/>
        <v>N.D.</v>
      </c>
      <c r="K92" s="314">
        <f t="shared" si="118"/>
        <v>-1.05182</v>
      </c>
      <c r="L92" s="472">
        <f t="shared" si="124"/>
        <v>-1</v>
      </c>
      <c r="M92" s="175"/>
      <c r="AD92" t="s">
        <v>184</v>
      </c>
      <c r="AE92" s="314">
        <f>BDER!E51/1000</f>
        <v>4.0886700000000005</v>
      </c>
      <c r="AF92" s="414">
        <f t="shared" si="125"/>
        <v>2.2961500827764617E-3</v>
      </c>
      <c r="AG92" s="314">
        <f>BDER!M51/1000+1</f>
        <v>5.4039999999999999</v>
      </c>
      <c r="AH92" s="414">
        <f t="shared" si="126"/>
        <v>2.9428133600676999E-3</v>
      </c>
      <c r="AI92" s="314">
        <f>BDER!I51/1000</f>
        <v>6.1073199999999996</v>
      </c>
      <c r="AJ92" s="414">
        <f t="shared" si="119"/>
        <v>3.4311571056708993E-3</v>
      </c>
      <c r="AK92" s="314">
        <f t="shared" si="127"/>
        <v>-1.3153299999999994</v>
      </c>
      <c r="AL92" s="472">
        <f t="shared" si="128"/>
        <v>-0.24339933382679491</v>
      </c>
      <c r="AM92" s="314">
        <f t="shared" si="129"/>
        <v>-2.0186499999999992</v>
      </c>
      <c r="AN92" s="472">
        <f t="shared" si="130"/>
        <v>-0.33052959399540216</v>
      </c>
      <c r="AO92" s="175"/>
      <c r="BF92" s="290" t="s">
        <v>184</v>
      </c>
      <c r="BG92" s="314">
        <v>0</v>
      </c>
      <c r="BH92" s="414">
        <f>IF(BG$79=0,"N.D.",BG92/BG$79)</f>
        <v>0</v>
      </c>
      <c r="BI92" s="314">
        <f ca="1">INDIRECT(ADDRESS(MATCH(B76,BDPP!$B:$B,0)+17,MATCH(TEXT(EDATE(MES_CIERRE,1),"MMMM"),BDPP!$1:$1,0),,,"BDPP"))/1000</f>
        <v>0.86799999999999999</v>
      </c>
      <c r="BJ92" s="414">
        <f ca="1">IF(BI$79=0,"N.D.",BI92/BI$79)</f>
        <v>2.8060556491266635E-3</v>
      </c>
      <c r="BK92" s="314">
        <f ca="1">INDIRECT(ADDRESS(MATCH(B76,INDIRECT("'"&amp;IF(MONTH(MES_CIERRE)=10,"ER ACT","ER AA")&amp;"'!$B:$B"),0)+14,MATCH(TEXT(EDATE(MES_CIERRE,1),"MMMM"),'ER AA'!$1:$1,0),,,IF(MONTH(MES_CIERRE)=12,"ER ACT","ER AA")))</f>
        <v>1.05182</v>
      </c>
      <c r="BL92" s="414">
        <f ca="1">IF(BK$79=0,"N.D.",BK92/BK$79)</f>
        <v>3.5710098856833439E-3</v>
      </c>
      <c r="BM92" s="314">
        <f ca="1">BG92-BI92</f>
        <v>-0.86799999999999999</v>
      </c>
      <c r="BN92" s="472">
        <f ca="1">IF(BI92=0,"N.D.",BG92/BI92-1)</f>
        <v>-1</v>
      </c>
      <c r="BO92" s="314">
        <f ca="1">BG92-BK92</f>
        <v>-1.05182</v>
      </c>
      <c r="BP92" s="472">
        <f ca="1">IF(BK92=0,"N.D.",BG92/BK92-1)</f>
        <v>-1</v>
      </c>
      <c r="BQ92" s="353"/>
    </row>
    <row r="93" spans="1:69" ht="12.5" customHeight="1" x14ac:dyDescent="0.25">
      <c r="A93" s="238"/>
      <c r="B93" t="s">
        <v>47</v>
      </c>
      <c r="C93" s="314">
        <f>BDER!D52/1000</f>
        <v>0</v>
      </c>
      <c r="D93" s="414">
        <f t="shared" si="120"/>
        <v>0</v>
      </c>
      <c r="E93" s="314">
        <f>BDER!L52/1000</f>
        <v>0</v>
      </c>
      <c r="F93" s="414">
        <f t="shared" si="121"/>
        <v>0</v>
      </c>
      <c r="G93" s="314">
        <f>BDER!F52/1000</f>
        <v>0</v>
      </c>
      <c r="H93" s="414">
        <f t="shared" si="121"/>
        <v>0</v>
      </c>
      <c r="I93" s="314">
        <f t="shared" si="122"/>
        <v>0</v>
      </c>
      <c r="J93" s="472" t="str">
        <f t="shared" si="123"/>
        <v>N.D.</v>
      </c>
      <c r="K93" s="314">
        <f t="shared" si="118"/>
        <v>0</v>
      </c>
      <c r="L93" s="472" t="str">
        <f t="shared" si="124"/>
        <v>N.D.</v>
      </c>
      <c r="M93" s="175"/>
      <c r="AD93" t="s">
        <v>47</v>
      </c>
      <c r="AE93" s="314">
        <f>BDER!E52/1000</f>
        <v>0</v>
      </c>
      <c r="AF93" s="414">
        <f t="shared" si="125"/>
        <v>0</v>
      </c>
      <c r="AG93" s="314">
        <f>BDER!M52/1000</f>
        <v>0</v>
      </c>
      <c r="AH93" s="414">
        <f t="shared" si="126"/>
        <v>0</v>
      </c>
      <c r="AI93" s="314">
        <f>BDER!I52/1000</f>
        <v>0</v>
      </c>
      <c r="AJ93" s="414">
        <f t="shared" si="119"/>
        <v>0</v>
      </c>
      <c r="AK93" s="314">
        <f t="shared" si="127"/>
        <v>0</v>
      </c>
      <c r="AL93" s="472" t="str">
        <f t="shared" si="128"/>
        <v>N.D.</v>
      </c>
      <c r="AM93" s="314">
        <f t="shared" si="129"/>
        <v>0</v>
      </c>
      <c r="AN93" s="472" t="str">
        <f t="shared" si="130"/>
        <v>N.D.</v>
      </c>
      <c r="AO93" s="175"/>
      <c r="BF93" s="290" t="s">
        <v>47</v>
      </c>
      <c r="BG93" s="314">
        <v>0</v>
      </c>
      <c r="BH93" s="414">
        <f>IF(BG$79=0,"N.D.",BG93/BG$79)</f>
        <v>0</v>
      </c>
      <c r="BI93" s="314">
        <f ca="1">INDIRECT(ADDRESS(MATCH(B76,BDPP!$B:$B,0)+18,MATCH(TEXT(EDATE(MES_CIERRE,1),"MMMM"),BDPP!$1:$1,0),,,"BDPP"))/1000</f>
        <v>0</v>
      </c>
      <c r="BJ93" s="414">
        <f ca="1">IF(BI$79=0,"N.D.",BI93/BI$79)</f>
        <v>0</v>
      </c>
      <c r="BK93" s="314">
        <f ca="1">INDIRECT(ADDRESS(MATCH(B76,INDIRECT("'"&amp;IF(MONTH(MES_CIERRE)=10,"ER ACT","ER AA")&amp;"'!$B:$B"),0)+15,MATCH(TEXT(EDATE(MES_CIERRE,1),"MMMM"),'ER AA'!$1:$1,0),,,IF(MONTH(MES_CIERRE)=12,"ER ACT","ER AA")))</f>
        <v>0</v>
      </c>
      <c r="BL93" s="414">
        <f ca="1">IF(BK$79=0,"N.D.",BK93/BK$79)</f>
        <v>0</v>
      </c>
      <c r="BM93" s="314">
        <f ca="1">BG93-BI93</f>
        <v>0</v>
      </c>
      <c r="BN93" s="472" t="str">
        <f ca="1">IF(BI93=0,"N.D.",BG93/BI93-1)</f>
        <v>N.D.</v>
      </c>
      <c r="BO93" s="314">
        <f ca="1">BG93-BK93</f>
        <v>0</v>
      </c>
      <c r="BP93" s="472" t="str">
        <f ca="1">IF(BK93=0,"N.D.",BG93/BK93-1)</f>
        <v>N.D.</v>
      </c>
      <c r="BQ93" s="353"/>
    </row>
    <row r="94" spans="1:69" ht="12.5" hidden="1" customHeight="1" x14ac:dyDescent="0.25">
      <c r="A94" s="238"/>
      <c r="C94" s="314"/>
      <c r="D94" s="414"/>
      <c r="E94" s="314"/>
      <c r="F94" s="414"/>
      <c r="G94" s="314"/>
      <c r="H94" s="414"/>
      <c r="I94" s="314"/>
      <c r="J94" s="472"/>
      <c r="K94" s="314"/>
      <c r="L94" s="472"/>
      <c r="M94" s="175"/>
      <c r="AE94" s="314"/>
      <c r="AF94" s="414"/>
      <c r="AG94" s="314"/>
      <c r="AH94" s="414"/>
      <c r="AI94" s="314"/>
      <c r="AJ94" s="414"/>
      <c r="AK94" s="314"/>
      <c r="AL94" s="472"/>
      <c r="AM94" s="314"/>
      <c r="AN94" s="472"/>
      <c r="AO94" s="175"/>
      <c r="BG94" s="314"/>
      <c r="BH94" s="414"/>
      <c r="BI94" s="314"/>
      <c r="BJ94" s="414"/>
      <c r="BK94" s="314"/>
      <c r="BL94" s="414"/>
      <c r="BM94" s="314"/>
      <c r="BN94" s="472"/>
      <c r="BO94" s="314"/>
      <c r="BP94" s="472"/>
      <c r="BQ94" s="353"/>
    </row>
    <row r="95" spans="1:69" ht="12.5" customHeight="1" x14ac:dyDescent="0.3">
      <c r="A95" s="238"/>
      <c r="B95" t="s">
        <v>48</v>
      </c>
      <c r="C95" s="381">
        <f>+C91+C92</f>
        <v>-1.7802100000000001</v>
      </c>
      <c r="D95" s="415">
        <f t="shared" si="120"/>
        <v>-6.1178054803778551E-3</v>
      </c>
      <c r="E95" s="381">
        <f>+E91+E92</f>
        <v>-1.55</v>
      </c>
      <c r="F95" s="415">
        <f t="shared" si="121"/>
        <v>-5.1616082905419358E-3</v>
      </c>
      <c r="G95" s="381">
        <f>+G91+G92</f>
        <v>-2.4452999999999996</v>
      </c>
      <c r="H95" s="415">
        <f t="shared" si="121"/>
        <v>-8.3019817777390433E-3</v>
      </c>
      <c r="I95" s="381">
        <f t="shared" si="122"/>
        <v>-0.23021000000000003</v>
      </c>
      <c r="J95" s="402">
        <f t="shared" si="123"/>
        <v>0.14852258064516133</v>
      </c>
      <c r="K95" s="381">
        <f t="shared" si="118"/>
        <v>0.66508999999999951</v>
      </c>
      <c r="L95" s="402">
        <f t="shared" si="124"/>
        <v>-0.27198707725023497</v>
      </c>
      <c r="M95" s="175"/>
      <c r="AD95" t="s">
        <v>48</v>
      </c>
      <c r="AE95" s="381">
        <f>+AE91+AE92</f>
        <v>-5.3059500000000011</v>
      </c>
      <c r="AF95" s="415">
        <f t="shared" si="125"/>
        <v>-2.9797605411314115E-3</v>
      </c>
      <c r="AG95" s="381">
        <f>+AG91+AG92</f>
        <v>-3.8960000000000008</v>
      </c>
      <c r="AH95" s="415">
        <f t="shared" si="126"/>
        <v>-2.1216137769844118E-3</v>
      </c>
      <c r="AI95" s="381">
        <f>+AI91+AI92</f>
        <v>-1.3116400000000006</v>
      </c>
      <c r="AJ95" s="415">
        <f t="shared" si="119"/>
        <v>-7.368932536828233E-4</v>
      </c>
      <c r="AK95" s="381">
        <f t="shared" si="127"/>
        <v>-1.4099500000000003</v>
      </c>
      <c r="AL95" s="402">
        <f t="shared" si="128"/>
        <v>0.36189681724846001</v>
      </c>
      <c r="AM95" s="381">
        <f t="shared" si="129"/>
        <v>-3.9943100000000005</v>
      </c>
      <c r="AN95" s="402">
        <f t="shared" si="130"/>
        <v>3.0452791924613454</v>
      </c>
      <c r="AO95" s="175"/>
      <c r="BF95" s="290" t="s">
        <v>48</v>
      </c>
      <c r="BG95" s="381">
        <f>+BG91+BG92</f>
        <v>-2</v>
      </c>
      <c r="BH95" s="415">
        <f>IF(BG$79=0,"N.D.",BG95/BG$79)</f>
        <v>-6.6445182724252493E-3</v>
      </c>
      <c r="BI95" s="381">
        <f ca="1">+BI91+BI92</f>
        <v>-0.68200000000000005</v>
      </c>
      <c r="BJ95" s="415">
        <f ca="1">IF(BI$79=0,"N.D.",BI95/BI$79)</f>
        <v>-2.2047580100280927E-3</v>
      </c>
      <c r="BK95" s="381">
        <f ca="1">+BK91+BK92</f>
        <v>-2.4452999999999996</v>
      </c>
      <c r="BL95" s="415">
        <f ca="1">IF(BK$79=0,"N.D.",BK95/BK$79)</f>
        <v>-8.3019817777390433E-3</v>
      </c>
      <c r="BM95" s="381">
        <f ca="1">BG95-BI95</f>
        <v>-1.3180000000000001</v>
      </c>
      <c r="BN95" s="402">
        <f ca="1">IF(BI95=0,"N.D.",BG95/BI95-1)</f>
        <v>1.9325513196480935</v>
      </c>
      <c r="BO95" s="381">
        <f ca="1">BG95-BK95</f>
        <v>0.44529999999999959</v>
      </c>
      <c r="BP95" s="402">
        <f ca="1">IF(BK95=0,"N.D.",BG95/BK95-1)</f>
        <v>-0.18210444526233982</v>
      </c>
      <c r="BQ95" s="354"/>
    </row>
    <row r="96" spans="1:69" ht="12.5" customHeight="1" x14ac:dyDescent="0.3">
      <c r="A96" s="238"/>
      <c r="B96" t="s">
        <v>49</v>
      </c>
      <c r="C96" s="381">
        <f>+C88-C95</f>
        <v>-3.7776999999999639</v>
      </c>
      <c r="D96" s="415">
        <f t="shared" si="120"/>
        <v>-1.2982307572265745E-2</v>
      </c>
      <c r="E96" s="381">
        <f>+E88-E95</f>
        <v>-20.721000000000014</v>
      </c>
      <c r="F96" s="415">
        <f t="shared" si="121"/>
        <v>-6.9002377669883569E-2</v>
      </c>
      <c r="G96" s="381">
        <f>+G88-G95</f>
        <v>-26.215639999999983</v>
      </c>
      <c r="H96" s="415">
        <f t="shared" si="121"/>
        <v>-8.9004116293201915E-2</v>
      </c>
      <c r="I96" s="381">
        <f t="shared" si="122"/>
        <v>16.94330000000005</v>
      </c>
      <c r="J96" s="402">
        <f t="shared" si="123"/>
        <v>-0.81768737030066307</v>
      </c>
      <c r="K96" s="381">
        <f t="shared" si="118"/>
        <v>22.437940000000019</v>
      </c>
      <c r="L96" s="402">
        <f t="shared" si="124"/>
        <v>-0.85589899769755895</v>
      </c>
      <c r="M96" s="175"/>
      <c r="AD96" t="s">
        <v>49</v>
      </c>
      <c r="AE96" s="381">
        <f>+AE88-AE95</f>
        <v>-17.519650000000119</v>
      </c>
      <c r="AF96" s="415">
        <f t="shared" si="125"/>
        <v>-9.8388340946358854E-3</v>
      </c>
      <c r="AG96" s="381">
        <f>+AG88-AG95</f>
        <v>-120.63399999999997</v>
      </c>
      <c r="AH96" s="415">
        <f t="shared" si="126"/>
        <v>-6.5692699274316591E-2</v>
      </c>
      <c r="AI96" s="381">
        <f>+AI88-AI95</f>
        <v>-161.21865000000014</v>
      </c>
      <c r="AJ96" s="415">
        <f t="shared" si="119"/>
        <v>-9.0574346278591955E-2</v>
      </c>
      <c r="AK96" s="381">
        <f t="shared" si="127"/>
        <v>103.11434999999986</v>
      </c>
      <c r="AL96" s="402">
        <f t="shared" si="128"/>
        <v>-0.85477021403584297</v>
      </c>
      <c r="AM96" s="381">
        <f t="shared" si="129"/>
        <v>143.69900000000001</v>
      </c>
      <c r="AN96" s="402">
        <f t="shared" si="130"/>
        <v>-0.89132988025889004</v>
      </c>
      <c r="AO96" s="175"/>
      <c r="BF96" s="290" t="s">
        <v>49</v>
      </c>
      <c r="BG96" s="381">
        <f>+BG88-BG95</f>
        <v>-4.6406817757948886</v>
      </c>
      <c r="BH96" s="415">
        <f>IF(BG$79=0,"N.D.",BG96/BG$79)</f>
        <v>-1.5417547427889996E-2</v>
      </c>
      <c r="BI96" s="381">
        <f ca="1">BI88-BI95</f>
        <v>-12.78999999999998</v>
      </c>
      <c r="BJ96" s="415">
        <f ca="1">IF(BI$79=0,"N.D.",BI96/BI$79)</f>
        <v>-4.1347294645541439E-2</v>
      </c>
      <c r="BK96" s="381">
        <f ca="1">BK88-BK95</f>
        <v>-26.215639999999983</v>
      </c>
      <c r="BL96" s="415">
        <f ca="1">IF(BK$79=0,"N.D.",BK96/BK$79)</f>
        <v>-8.9004116293201915E-2</v>
      </c>
      <c r="BM96" s="381">
        <f ca="1">BG96-BI96</f>
        <v>8.149318224205091</v>
      </c>
      <c r="BN96" s="402">
        <f ca="1">IF(BI96=0,"N.D.",BG96/BI96-1)</f>
        <v>-0.63716327007076656</v>
      </c>
      <c r="BO96" s="381">
        <f ca="1">BG96-BK96</f>
        <v>21.574958224205094</v>
      </c>
      <c r="BP96" s="402">
        <f ca="1">IF(BK96=0,"N.D.",BG96/BK96-1)</f>
        <v>-0.82298041261648036</v>
      </c>
      <c r="BQ96" s="354"/>
    </row>
    <row r="97" spans="1:69" ht="12.5" customHeight="1" x14ac:dyDescent="0.25">
      <c r="A97" s="238"/>
      <c r="C97" s="419"/>
      <c r="D97" s="416"/>
      <c r="E97" s="419"/>
      <c r="F97" s="416"/>
      <c r="G97" s="419"/>
      <c r="H97" s="416"/>
      <c r="I97" s="419"/>
      <c r="J97" s="352"/>
      <c r="K97" s="419"/>
      <c r="L97" s="352"/>
      <c r="M97" s="175"/>
      <c r="AE97" s="419"/>
      <c r="AF97" s="416"/>
      <c r="AG97" s="419"/>
      <c r="AH97" s="416"/>
      <c r="AI97" s="419"/>
      <c r="AJ97" s="416"/>
      <c r="AK97" s="419"/>
      <c r="AL97" s="352"/>
      <c r="AM97" s="419"/>
      <c r="AN97" s="352"/>
      <c r="AO97" s="175"/>
      <c r="BG97" s="419"/>
      <c r="BH97" s="416"/>
      <c r="BI97" s="419"/>
      <c r="BJ97" s="416"/>
      <c r="BK97" s="419"/>
      <c r="BL97" s="416"/>
      <c r="BM97" s="419"/>
      <c r="BN97" s="352"/>
      <c r="BO97" s="419"/>
      <c r="BP97" s="352"/>
      <c r="BQ97" s="352"/>
    </row>
    <row r="98" spans="1:69" ht="12.5" customHeight="1" x14ac:dyDescent="0.25">
      <c r="A98" s="238"/>
      <c r="B98" t="s">
        <v>50</v>
      </c>
      <c r="C98" s="418">
        <f>BDER!D56/1000</f>
        <v>0</v>
      </c>
      <c r="D98" s="417">
        <f>IF(C$79=0,"N.D.",C98/C$79)</f>
        <v>0</v>
      </c>
      <c r="E98" s="418">
        <f>BDER!L56/1000</f>
        <v>0</v>
      </c>
      <c r="F98" s="417">
        <f>IF(E$79=0,"N.D.",E98/E$79)</f>
        <v>0</v>
      </c>
      <c r="G98" s="418">
        <f>BDER!F56/1000</f>
        <v>0</v>
      </c>
      <c r="H98" s="417">
        <f>IF(G$79=0,"N.D.",G98/G$79)</f>
        <v>0</v>
      </c>
      <c r="I98" s="418">
        <f t="shared" ref="I98:I106" si="131">C98-E98</f>
        <v>0</v>
      </c>
      <c r="J98" s="471" t="str">
        <f t="shared" ref="J98:J106" si="132">IF(E98=0,"N.D.",C98/E98-1)</f>
        <v>N.D.</v>
      </c>
      <c r="K98" s="418">
        <f t="shared" si="118"/>
        <v>0</v>
      </c>
      <c r="L98" s="471" t="str">
        <f t="shared" ref="L98:L106" si="133">IF(G98=0,"N.D.",C98/G98-1)</f>
        <v>N.D.</v>
      </c>
      <c r="M98" s="175"/>
      <c r="AD98" t="s">
        <v>50</v>
      </c>
      <c r="AE98" s="418">
        <f>BDER!E56/1000</f>
        <v>0</v>
      </c>
      <c r="AF98" s="417">
        <f>IF(AE$79=0,"N.D.",AE98/AE$79)</f>
        <v>0</v>
      </c>
      <c r="AG98" s="418">
        <f>BDER!M56/1000</f>
        <v>0</v>
      </c>
      <c r="AH98" s="417">
        <f>IF(AG$79=0,"N.D.",AG98/AG$79)</f>
        <v>0</v>
      </c>
      <c r="AI98" s="418">
        <f>BDER!I56/1000</f>
        <v>0</v>
      </c>
      <c r="AJ98" s="417">
        <f t="shared" si="119"/>
        <v>0</v>
      </c>
      <c r="AK98" s="418">
        <f t="shared" ref="AK98:AK106" si="134">AE98-AG98</f>
        <v>0</v>
      </c>
      <c r="AL98" s="471" t="str">
        <f t="shared" ref="AL98:AL106" si="135">IF(AG98=0,"N.D.",AE98/AG98-1)</f>
        <v>N.D.</v>
      </c>
      <c r="AM98" s="418">
        <f t="shared" ref="AM98:AM106" si="136">AE98-AI98</f>
        <v>0</v>
      </c>
      <c r="AN98" s="471" t="str">
        <f t="shared" ref="AN98:AN106" si="137">IF(AI98=0,"N.D.",AE98/AI98-1)</f>
        <v>N.D.</v>
      </c>
      <c r="AO98" s="175"/>
      <c r="BF98" s="290" t="s">
        <v>50</v>
      </c>
      <c r="BG98" s="418">
        <v>0</v>
      </c>
      <c r="BH98" s="417">
        <f>IF(BG$79=0,"N.D.",BG98/BG$79)</f>
        <v>0</v>
      </c>
      <c r="BI98" s="418">
        <f ca="1">INDIRECT(ADDRESS(MATCH(B76,BDPP!$B:$B,0)+22,MATCH(TEXT(EDATE(MES_CIERRE,1),"MMMM"),BDPP!$1:$1,0),,,"BDPP"))/1000</f>
        <v>0</v>
      </c>
      <c r="BJ98" s="417">
        <f ca="1">IF(BI$79=0,"N.D.",BI98/BI$79)</f>
        <v>0</v>
      </c>
      <c r="BK98" s="418">
        <f ca="1">INDIRECT(ADDRESS(MATCH(B76,INDIRECT("'"&amp;IF(MONTH(MES_CIERRE)=10,"ER ACT","ER AA")&amp;"'!$B:$B"),0)+20,MATCH(TEXT(EDATE(MES_CIERRE,1),"MMMM"),'ER AA'!$1:$1,0),,,IF(MONTH(MES_CIERRE)=12,"ER ACT","ER AA")))</f>
        <v>0</v>
      </c>
      <c r="BL98" s="417">
        <f ca="1">IF(BK$79=0,"N.D.",BK98/BK$79)</f>
        <v>0</v>
      </c>
      <c r="BM98" s="418">
        <f t="shared" ref="BM98:BM106" ca="1" si="138">BG98-BI98</f>
        <v>0</v>
      </c>
      <c r="BN98" s="471" t="str">
        <f t="shared" ref="BN98:BN106" ca="1" si="139">IF(BI98=0,"N.D.",BG98/BI98-1)</f>
        <v>N.D.</v>
      </c>
      <c r="BO98" s="418">
        <f t="shared" ref="BO98:BO106" ca="1" si="140">BG98-BK98</f>
        <v>0</v>
      </c>
      <c r="BP98" s="471" t="str">
        <f t="shared" ref="BP98:BP106" ca="1" si="141">IF(BK98=0,"N.D.",BG98/BK98-1)</f>
        <v>N.D.</v>
      </c>
      <c r="BQ98" s="353"/>
    </row>
    <row r="99" spans="1:69" ht="12.5" customHeight="1" x14ac:dyDescent="0.25">
      <c r="A99" s="238"/>
      <c r="B99" t="s">
        <v>51</v>
      </c>
      <c r="C99" s="314">
        <f>BDER!D57/1000</f>
        <v>0</v>
      </c>
      <c r="D99" s="414">
        <f>IF(C$79=0,"N.D.",C99/C$79)</f>
        <v>0</v>
      </c>
      <c r="E99" s="314">
        <f>BDER!L57/1000</f>
        <v>0</v>
      </c>
      <c r="F99" s="414">
        <f>IF(E$79=0,"N.D.",E99/E$79)</f>
        <v>0</v>
      </c>
      <c r="G99" s="314">
        <f>BDER!F57/1000</f>
        <v>0</v>
      </c>
      <c r="H99" s="414">
        <f>IF(G$79=0,"N.D.",G99/G$79)</f>
        <v>0</v>
      </c>
      <c r="I99" s="314">
        <f t="shared" si="131"/>
        <v>0</v>
      </c>
      <c r="J99" s="472" t="str">
        <f t="shared" si="132"/>
        <v>N.D.</v>
      </c>
      <c r="K99" s="314">
        <f t="shared" si="118"/>
        <v>0</v>
      </c>
      <c r="L99" s="472" t="str">
        <f t="shared" si="133"/>
        <v>N.D.</v>
      </c>
      <c r="M99" s="175"/>
      <c r="AD99" t="s">
        <v>51</v>
      </c>
      <c r="AE99" s="314">
        <f>BDER!E57/1000</f>
        <v>0</v>
      </c>
      <c r="AF99" s="414">
        <f>IF(AE$79=0,"N.D.",AE99/AE$79)</f>
        <v>0</v>
      </c>
      <c r="AG99" s="314">
        <f>BDER!M57/1000</f>
        <v>0</v>
      </c>
      <c r="AH99" s="414">
        <f>IF(AG$79=0,"N.D.",AG99/AG$79)</f>
        <v>0</v>
      </c>
      <c r="AI99" s="314">
        <f>BDER!I57/1000</f>
        <v>0</v>
      </c>
      <c r="AJ99" s="414">
        <f t="shared" si="119"/>
        <v>0</v>
      </c>
      <c r="AK99" s="314">
        <f t="shared" si="134"/>
        <v>0</v>
      </c>
      <c r="AL99" s="472" t="str">
        <f t="shared" si="135"/>
        <v>N.D.</v>
      </c>
      <c r="AM99" s="314">
        <f t="shared" si="136"/>
        <v>0</v>
      </c>
      <c r="AN99" s="472" t="str">
        <f t="shared" si="137"/>
        <v>N.D.</v>
      </c>
      <c r="AO99" s="175"/>
      <c r="BF99" s="290" t="s">
        <v>51</v>
      </c>
      <c r="BG99" s="314">
        <v>0</v>
      </c>
      <c r="BH99" s="414">
        <f>IF(BG$79=0,"N.D.",BG99/BG$79)</f>
        <v>0</v>
      </c>
      <c r="BI99" s="314">
        <f ca="1">INDIRECT(ADDRESS(MATCH(B76,BDPP!$B:$B,0)+23,MATCH(TEXT(EDATE(MES_CIERRE,1),"MMMM"),BDPP!$1:$1,0),,,"BDPP"))/1000</f>
        <v>0</v>
      </c>
      <c r="BJ99" s="414">
        <f ca="1">IF(BI$79=0,"N.D.",BI99/BI$79)</f>
        <v>0</v>
      </c>
      <c r="BK99" s="314">
        <f ca="1">INDIRECT(ADDRESS(MATCH(B76,INDIRECT("'"&amp;IF(MONTH(MES_CIERRE)=10,"ER ACT","ER AA")&amp;"'!$B:$B"),0)+21,MATCH(TEXT(EDATE(MES_CIERRE,1),"MMMM"),'ER AA'!$1:$1,0),,,IF(MONTH(MES_CIERRE)=12,"ER ACT","ER AA")))</f>
        <v>0</v>
      </c>
      <c r="BL99" s="414">
        <f ca="1">IF(BK$79=0,"N.D.",BK99/BK$79)</f>
        <v>0</v>
      </c>
      <c r="BM99" s="314">
        <f t="shared" ca="1" si="138"/>
        <v>0</v>
      </c>
      <c r="BN99" s="472" t="str">
        <f t="shared" ca="1" si="139"/>
        <v>N.D.</v>
      </c>
      <c r="BO99" s="314">
        <f t="shared" ca="1" si="140"/>
        <v>0</v>
      </c>
      <c r="BP99" s="472" t="str">
        <f t="shared" ca="1" si="141"/>
        <v>N.D.</v>
      </c>
      <c r="BQ99" s="353"/>
    </row>
    <row r="100" spans="1:69" ht="12.5" customHeight="1" x14ac:dyDescent="0.3">
      <c r="A100" s="238"/>
      <c r="B100" t="s">
        <v>53</v>
      </c>
      <c r="C100" s="381">
        <f>+C96-C98-C99</f>
        <v>-3.7776999999999639</v>
      </c>
      <c r="D100" s="415">
        <f>IF(C$79=0,"N.D.",C100/C$79)</f>
        <v>-1.2982307572265745E-2</v>
      </c>
      <c r="E100" s="381">
        <f>+E96-E98-E99</f>
        <v>-20.721000000000014</v>
      </c>
      <c r="F100" s="415">
        <f>IF(E$79=0,"N.D.",E100/E$79)</f>
        <v>-6.9002377669883569E-2</v>
      </c>
      <c r="G100" s="381">
        <f>+G96-G98-G99</f>
        <v>-26.215639999999983</v>
      </c>
      <c r="H100" s="415">
        <f>IF(G$79=0,"N.D.",G100/G$79)</f>
        <v>-8.9004116293201915E-2</v>
      </c>
      <c r="I100" s="381">
        <f t="shared" si="131"/>
        <v>16.94330000000005</v>
      </c>
      <c r="J100" s="402">
        <f t="shared" si="132"/>
        <v>-0.81768737030066307</v>
      </c>
      <c r="K100" s="381">
        <f t="shared" si="118"/>
        <v>22.437940000000019</v>
      </c>
      <c r="L100" s="402">
        <f t="shared" si="133"/>
        <v>-0.85589899769755895</v>
      </c>
      <c r="M100" s="175"/>
      <c r="AD100" t="s">
        <v>53</v>
      </c>
      <c r="AE100" s="381">
        <f>+AE96-AE98-AE99</f>
        <v>-17.519650000000119</v>
      </c>
      <c r="AF100" s="415">
        <f>IF(AE$79=0,"N.D.",AE100/AE$79)</f>
        <v>-9.8388340946358854E-3</v>
      </c>
      <c r="AG100" s="381">
        <f>+AG96-AG98-AG99</f>
        <v>-120.63399999999997</v>
      </c>
      <c r="AH100" s="415">
        <f>IF(AG$79=0,"N.D.",AG100/AG$79)</f>
        <v>-6.5692699274316591E-2</v>
      </c>
      <c r="AI100" s="381">
        <f>+AI96-AI98-AI99</f>
        <v>-161.21865000000014</v>
      </c>
      <c r="AJ100" s="415">
        <f t="shared" si="119"/>
        <v>-9.0574346278591955E-2</v>
      </c>
      <c r="AK100" s="381">
        <f t="shared" si="134"/>
        <v>103.11434999999986</v>
      </c>
      <c r="AL100" s="402">
        <f t="shared" si="135"/>
        <v>-0.85477021403584297</v>
      </c>
      <c r="AM100" s="381">
        <f t="shared" si="136"/>
        <v>143.69900000000001</v>
      </c>
      <c r="AN100" s="402">
        <f t="shared" si="137"/>
        <v>-0.89132988025889004</v>
      </c>
      <c r="AO100" s="175"/>
      <c r="BF100" s="290" t="s">
        <v>53</v>
      </c>
      <c r="BG100" s="381">
        <f>+BG96-BG98-BG99</f>
        <v>-4.6406817757948886</v>
      </c>
      <c r="BH100" s="415">
        <f>IF(BG$79=0,"N.D.",BG100/BG$79)</f>
        <v>-1.5417547427889996E-2</v>
      </c>
      <c r="BI100" s="381">
        <f ca="1">+BI96-BI98-BI99</f>
        <v>-12.78999999999998</v>
      </c>
      <c r="BJ100" s="415">
        <f ca="1">IF(BI$79=0,"N.D.",BI100/BI$79)</f>
        <v>-4.1347294645541439E-2</v>
      </c>
      <c r="BK100" s="381">
        <f ca="1">+BK96-BK98-BK99</f>
        <v>-26.215639999999983</v>
      </c>
      <c r="BL100" s="415">
        <f ca="1">IF(BK$79=0,"N.D.",BK100/BK$79)</f>
        <v>-8.9004116293201915E-2</v>
      </c>
      <c r="BM100" s="381">
        <f t="shared" ca="1" si="138"/>
        <v>8.149318224205091</v>
      </c>
      <c r="BN100" s="402">
        <f t="shared" ca="1" si="139"/>
        <v>-0.63716327007076656</v>
      </c>
      <c r="BO100" s="381">
        <f t="shared" ca="1" si="140"/>
        <v>21.574958224205094</v>
      </c>
      <c r="BP100" s="402">
        <f t="shared" ca="1" si="141"/>
        <v>-0.82298041261648036</v>
      </c>
      <c r="BQ100" s="354"/>
    </row>
    <row r="101" spans="1:69" ht="12.5" customHeight="1" x14ac:dyDescent="0.3">
      <c r="A101" s="238"/>
      <c r="B101" t="s">
        <v>122</v>
      </c>
      <c r="C101" s="381">
        <f>+C88+C86</f>
        <v>-3.6945899999999643</v>
      </c>
      <c r="D101" s="415">
        <f>IF(C$79=0,"N.D.",C101/C$79)</f>
        <v>-1.2696694743737538E-2</v>
      </c>
      <c r="E101" s="381">
        <f>+E88+E86</f>
        <v>-22.271000000000015</v>
      </c>
      <c r="F101" s="415">
        <f>IF(E$79=0,"N.D.",E101/E$79)</f>
        <v>-7.4163985960425505E-2</v>
      </c>
      <c r="G101" s="381">
        <f>+G88+G86</f>
        <v>-26.797619999999981</v>
      </c>
      <c r="H101" s="415">
        <f>IF(G$79=0,"N.D.",G101/G$79)</f>
        <v>-9.0979983203196002E-2</v>
      </c>
      <c r="I101" s="381">
        <f t="shared" si="131"/>
        <v>18.576410000000052</v>
      </c>
      <c r="J101" s="402">
        <f t="shared" si="132"/>
        <v>-0.83410758385344341</v>
      </c>
      <c r="K101" s="381">
        <f t="shared" si="118"/>
        <v>23.103030000000018</v>
      </c>
      <c r="L101" s="402">
        <f t="shared" si="133"/>
        <v>-0.86212992049294057</v>
      </c>
      <c r="M101" s="175"/>
      <c r="AD101" t="s">
        <v>122</v>
      </c>
      <c r="AE101" s="381">
        <f>+AE88+AE86</f>
        <v>-12.401960000000123</v>
      </c>
      <c r="AF101" s="415">
        <f>IF(AE$79=0,"N.D.",AE101/AE$79)</f>
        <v>-6.9647982059179749E-3</v>
      </c>
      <c r="AG101" s="381">
        <f>+AG88+AG86</f>
        <v>-124.52999999999997</v>
      </c>
      <c r="AH101" s="415">
        <f>IF(AG$79=0,"N.D.",AG101/AG$79)</f>
        <v>-6.7814313051301006E-2</v>
      </c>
      <c r="AI101" s="381">
        <f>+AI88+AI86</f>
        <v>-151.35037000000014</v>
      </c>
      <c r="AJ101" s="415">
        <f t="shared" si="119"/>
        <v>-8.5030241983622967E-2</v>
      </c>
      <c r="AK101" s="381">
        <f t="shared" si="134"/>
        <v>112.12803999999986</v>
      </c>
      <c r="AL101" s="402">
        <f t="shared" si="135"/>
        <v>-0.90040986107765097</v>
      </c>
      <c r="AM101" s="381">
        <f t="shared" si="136"/>
        <v>138.94841000000002</v>
      </c>
      <c r="AN101" s="402">
        <f t="shared" si="137"/>
        <v>-0.91805794726501089</v>
      </c>
      <c r="AO101" s="175"/>
      <c r="BF101" s="290" t="s">
        <v>122</v>
      </c>
      <c r="BG101" s="381">
        <f>+BG88+BG86</f>
        <v>-6.6406817757948886</v>
      </c>
      <c r="BH101" s="415">
        <f>IF(BG$79=0,"N.D.",BG101/BG$79)</f>
        <v>-2.2062065700315246E-2</v>
      </c>
      <c r="BI101" s="381">
        <f ca="1">+BI88+BI86</f>
        <v>-13.47199999999998</v>
      </c>
      <c r="BJ101" s="415">
        <f ca="1">IF(BI$79=0,"N.D.",BI101/BI$79)</f>
        <v>-4.355205265556953E-2</v>
      </c>
      <c r="BK101" s="381">
        <f ca="1">+BK88+BK86</f>
        <v>-26.797619999999981</v>
      </c>
      <c r="BL101" s="415">
        <f ca="1">IF(BK$79=0,"N.D.",BK101/BK$79)</f>
        <v>-9.0979983203196002E-2</v>
      </c>
      <c r="BM101" s="381">
        <f t="shared" ca="1" si="138"/>
        <v>6.8313182242050914</v>
      </c>
      <c r="BN101" s="402">
        <f t="shared" ca="1" si="139"/>
        <v>-0.50707528386320533</v>
      </c>
      <c r="BO101" s="381">
        <f t="shared" ca="1" si="140"/>
        <v>20.156938224205092</v>
      </c>
      <c r="BP101" s="402">
        <f t="shared" ca="1" si="141"/>
        <v>-0.75219135968810313</v>
      </c>
      <c r="BQ101" s="354"/>
    </row>
    <row r="102" spans="1:69" ht="12.5" customHeight="1" x14ac:dyDescent="0.3">
      <c r="A102" s="238"/>
      <c r="B102" s="1" t="s">
        <v>194</v>
      </c>
      <c r="C102" s="418">
        <v>0</v>
      </c>
      <c r="D102" s="475">
        <f>IF(C$9=0,"N.D.",C102/C$9)</f>
        <v>0</v>
      </c>
      <c r="E102" s="418">
        <v>0</v>
      </c>
      <c r="F102" s="475">
        <f>IF(E$9=0,"N.D.",E102/E$9)</f>
        <v>0</v>
      </c>
      <c r="G102" s="418">
        <v>0</v>
      </c>
      <c r="H102" s="475">
        <f>IF(G$9=0,"N.D.",G102/G$9)</f>
        <v>0</v>
      </c>
      <c r="I102" s="418">
        <f t="shared" si="131"/>
        <v>0</v>
      </c>
      <c r="J102" s="471" t="str">
        <f t="shared" si="132"/>
        <v>N.D.</v>
      </c>
      <c r="K102" s="418">
        <f>C102-G102</f>
        <v>0</v>
      </c>
      <c r="L102" s="471" t="str">
        <f t="shared" si="133"/>
        <v>N.D.</v>
      </c>
      <c r="M102" s="175"/>
      <c r="AD102" s="1" t="s">
        <v>194</v>
      </c>
      <c r="AE102" s="418">
        <v>0</v>
      </c>
      <c r="AF102" s="475">
        <f>IF(AE$9=0,"N.D.",AE102/AE$9)</f>
        <v>0</v>
      </c>
      <c r="AG102" s="418">
        <v>0</v>
      </c>
      <c r="AH102" s="475">
        <f>IF(AG$9=0,"N.D.",AG102/AG$9)</f>
        <v>0</v>
      </c>
      <c r="AI102" s="418">
        <v>0</v>
      </c>
      <c r="AJ102" s="475">
        <f>IF(AI$9=0,"N.D.",AI102/AI$9)</f>
        <v>0</v>
      </c>
      <c r="AK102" s="418">
        <f t="shared" si="134"/>
        <v>0</v>
      </c>
      <c r="AL102" s="471" t="str">
        <f t="shared" si="135"/>
        <v>N.D.</v>
      </c>
      <c r="AM102" s="418">
        <f t="shared" si="136"/>
        <v>0</v>
      </c>
      <c r="AN102" s="471" t="str">
        <f t="shared" si="137"/>
        <v>N.D.</v>
      </c>
      <c r="AO102" s="175"/>
      <c r="BF102" s="1" t="s">
        <v>194</v>
      </c>
      <c r="BG102" s="418">
        <v>0</v>
      </c>
      <c r="BH102" s="475">
        <f>IF(BG$9=0,"N.D.",BG102/BG$9)</f>
        <v>0</v>
      </c>
      <c r="BI102" s="418">
        <v>0</v>
      </c>
      <c r="BJ102" s="475">
        <f ca="1">IF(BI$9=0,"N.D.",BI102/BI$9)</f>
        <v>0</v>
      </c>
      <c r="BK102" s="418">
        <v>0</v>
      </c>
      <c r="BL102" s="475">
        <f ca="1">IF(BK$9=0,"N.D.",BK102/BK$9)</f>
        <v>0</v>
      </c>
      <c r="BM102" s="418">
        <f t="shared" si="138"/>
        <v>0</v>
      </c>
      <c r="BN102" s="471" t="str">
        <f t="shared" si="139"/>
        <v>N.D.</v>
      </c>
      <c r="BO102" s="418">
        <f t="shared" si="140"/>
        <v>0</v>
      </c>
      <c r="BP102" s="471" t="str">
        <f t="shared" si="141"/>
        <v>N.D.</v>
      </c>
      <c r="BQ102" s="354"/>
    </row>
    <row r="103" spans="1:69" ht="12.5" customHeight="1" x14ac:dyDescent="0.3">
      <c r="A103" s="238"/>
      <c r="B103" s="1" t="s">
        <v>123</v>
      </c>
      <c r="C103" s="314"/>
      <c r="D103" s="476">
        <f>IF(C$9=0,"N.D.",C103/C$9)</f>
        <v>0</v>
      </c>
      <c r="E103" s="314"/>
      <c r="F103" s="476">
        <f>IF(E$9=0,"N.D.",E103/E$9)</f>
        <v>0</v>
      </c>
      <c r="G103" s="314"/>
      <c r="H103" s="476">
        <f>IF(G$9=0,"N.D.",G103/G$9)</f>
        <v>0</v>
      </c>
      <c r="I103" s="314">
        <f t="shared" si="131"/>
        <v>0</v>
      </c>
      <c r="J103" s="472" t="str">
        <f t="shared" si="132"/>
        <v>N.D.</v>
      </c>
      <c r="K103" s="314">
        <f>C103-G103</f>
        <v>0</v>
      </c>
      <c r="L103" s="472" t="str">
        <f t="shared" si="133"/>
        <v>N.D.</v>
      </c>
      <c r="M103" s="175"/>
      <c r="AD103" s="1" t="s">
        <v>123</v>
      </c>
      <c r="AE103" s="314"/>
      <c r="AF103" s="476">
        <f>IF(AE$9=0,"N.D.",AE103/AE$9)</f>
        <v>0</v>
      </c>
      <c r="AG103" s="314"/>
      <c r="AH103" s="476">
        <f>IF(AG$9=0,"N.D.",AG103/AG$9)</f>
        <v>0</v>
      </c>
      <c r="AI103" s="314"/>
      <c r="AJ103" s="476">
        <f>IF(AI$9=0,"N.D.",AI103/AI$9)</f>
        <v>0</v>
      </c>
      <c r="AK103" s="314">
        <f t="shared" si="134"/>
        <v>0</v>
      </c>
      <c r="AL103" s="472" t="str">
        <f t="shared" si="135"/>
        <v>N.D.</v>
      </c>
      <c r="AM103" s="314">
        <f t="shared" si="136"/>
        <v>0</v>
      </c>
      <c r="AN103" s="472" t="str">
        <f t="shared" si="137"/>
        <v>N.D.</v>
      </c>
      <c r="AO103" s="175"/>
      <c r="BF103" s="1" t="s">
        <v>123</v>
      </c>
      <c r="BG103" s="314"/>
      <c r="BH103" s="476">
        <f>IF(BG$9=0,"N.D.",BG103/BG$9)</f>
        <v>0</v>
      </c>
      <c r="BI103" s="314"/>
      <c r="BJ103" s="476">
        <f ca="1">IF(BI$9=0,"N.D.",BI103/BI$9)</f>
        <v>0</v>
      </c>
      <c r="BK103" s="314"/>
      <c r="BL103" s="476">
        <f ca="1">IF(BK$9=0,"N.D.",BK103/BK$9)</f>
        <v>0</v>
      </c>
      <c r="BM103" s="314">
        <f t="shared" si="138"/>
        <v>0</v>
      </c>
      <c r="BN103" s="472" t="str">
        <f t="shared" si="139"/>
        <v>N.D.</v>
      </c>
      <c r="BO103" s="314">
        <f t="shared" si="140"/>
        <v>0</v>
      </c>
      <c r="BP103" s="472" t="str">
        <f t="shared" si="141"/>
        <v>N.D.</v>
      </c>
      <c r="BQ103" s="354"/>
    </row>
    <row r="104" spans="1:69" ht="12.5" customHeight="1" x14ac:dyDescent="0.3">
      <c r="A104" s="238"/>
      <c r="B104" s="7" t="s">
        <v>190</v>
      </c>
      <c r="C104" s="381">
        <f>+C100+C86+C102+C103</f>
        <v>-1.914379999999964</v>
      </c>
      <c r="D104" s="477">
        <f>IF(C$9=0,"N.D.",C104/C$9)</f>
        <v>-1.2270745102245808E-3</v>
      </c>
      <c r="E104" s="381">
        <f>+E100+E86+E102+E103</f>
        <v>-20.721000000000014</v>
      </c>
      <c r="F104" s="477">
        <f>IF(E$9=0,"N.D.",E104/E$9)</f>
        <v>-1.217314165868676E-2</v>
      </c>
      <c r="G104" s="381">
        <f>+G100+G86+G102+G103</f>
        <v>-24.352319999999985</v>
      </c>
      <c r="H104" s="477">
        <f>IF(G$9=0,"N.D.",G104/G$9)</f>
        <v>-1.4751447136595276E-2</v>
      </c>
      <c r="I104" s="381">
        <f t="shared" si="131"/>
        <v>18.806620000000052</v>
      </c>
      <c r="J104" s="402">
        <f t="shared" si="132"/>
        <v>-0.90761160175667377</v>
      </c>
      <c r="K104" s="381">
        <f>C104-G104</f>
        <v>22.437940000000019</v>
      </c>
      <c r="L104" s="402">
        <f t="shared" si="133"/>
        <v>-0.92138818806586131</v>
      </c>
      <c r="M104" s="175"/>
      <c r="AD104" s="7" t="s">
        <v>190</v>
      </c>
      <c r="AE104" s="381">
        <f>+AE100+AE86+AE102+AE103</f>
        <v>-7.0960100000001205</v>
      </c>
      <c r="AF104" s="477">
        <f>IF(AE$9=0,"N.D.",AE104/AE$9)</f>
        <v>-4.5454624156808678E-4</v>
      </c>
      <c r="AG104" s="381">
        <f>+AG100+AG86+AG102+AG103</f>
        <v>-120.63399999999997</v>
      </c>
      <c r="AH104" s="477">
        <f>IF(AG$9=0,"N.D.",AG104/AG$9)</f>
        <v>-5.7303040570566019E-3</v>
      </c>
      <c r="AI104" s="381">
        <f>+AI100+AI86+AI102+AI103</f>
        <v>-150.03873000000013</v>
      </c>
      <c r="AJ104" s="477">
        <f>IF(AI$9=0,"N.D.",AI104/AI$9)</f>
        <v>-7.3196546748345312E-3</v>
      </c>
      <c r="AK104" s="381">
        <f t="shared" si="134"/>
        <v>113.53798999999985</v>
      </c>
      <c r="AL104" s="402">
        <f t="shared" si="135"/>
        <v>-0.94117736293250553</v>
      </c>
      <c r="AM104" s="381">
        <f t="shared" si="136"/>
        <v>142.94272000000001</v>
      </c>
      <c r="AN104" s="402">
        <f t="shared" si="137"/>
        <v>-0.95270547811221729</v>
      </c>
      <c r="AO104" s="175"/>
      <c r="BF104" s="7" t="s">
        <v>190</v>
      </c>
      <c r="BG104" s="381">
        <f>+BG100+BG86+BG102+BG103</f>
        <v>-4.6406817757948886</v>
      </c>
      <c r="BH104" s="477">
        <f>IF(BG$9=0,"N.D.",BG104/BG$9)</f>
        <v>-2.9959210947675201E-3</v>
      </c>
      <c r="BI104" s="381">
        <f ca="1">+BI100+BI86+BI102+BI103</f>
        <v>-12.78999999999998</v>
      </c>
      <c r="BJ104" s="477">
        <f ca="1">IF(BI$9=0,"N.D.",BI104/BI$9)</f>
        <v>-7.7017014798828306E-3</v>
      </c>
      <c r="BK104" s="381">
        <f ca="1">+BK100+BK86+BK102+BK103</f>
        <v>-24.352319999999985</v>
      </c>
      <c r="BL104" s="477">
        <f ca="1">IF(BK$9=0,"N.D.",BK104/BK$9)</f>
        <v>-1.4751447136595276E-2</v>
      </c>
      <c r="BM104" s="381">
        <f t="shared" ca="1" si="138"/>
        <v>8.149318224205091</v>
      </c>
      <c r="BN104" s="402">
        <f t="shared" ca="1" si="139"/>
        <v>-0.63716327007076656</v>
      </c>
      <c r="BO104" s="381">
        <f t="shared" ca="1" si="140"/>
        <v>19.711638224205096</v>
      </c>
      <c r="BP104" s="402">
        <f t="shared" ca="1" si="141"/>
        <v>-0.80943574263992546</v>
      </c>
      <c r="BQ104" s="354"/>
    </row>
    <row r="105" spans="1:69" ht="12.5" customHeight="1" x14ac:dyDescent="0.3">
      <c r="A105" s="238"/>
      <c r="B105" s="7" t="s">
        <v>191</v>
      </c>
      <c r="C105" s="106">
        <f>+Q35</f>
        <v>0</v>
      </c>
      <c r="D105" s="477">
        <f>IF(C$9=0,"N.D.",C105/C$9)</f>
        <v>0</v>
      </c>
      <c r="E105" s="381">
        <f>+C105</f>
        <v>0</v>
      </c>
      <c r="F105" s="477">
        <f>IF(E$9=0,"N.D.",E105/E$9)</f>
        <v>0</v>
      </c>
      <c r="G105" s="381">
        <f>+BDLT!P14/1000</f>
        <v>1.1745699999999999</v>
      </c>
      <c r="H105" s="477">
        <f>IF(G$9=0,"N.D.",G105/G$9)</f>
        <v>7.1149719054409283E-4</v>
      </c>
      <c r="I105" s="381">
        <f t="shared" si="131"/>
        <v>0</v>
      </c>
      <c r="J105" s="402" t="str">
        <f t="shared" si="132"/>
        <v>N.D.</v>
      </c>
      <c r="K105" s="381">
        <f>C105-G105</f>
        <v>-1.1745699999999999</v>
      </c>
      <c r="L105" s="402">
        <f t="shared" si="133"/>
        <v>-1</v>
      </c>
      <c r="M105" s="175"/>
      <c r="AD105" s="7" t="s">
        <v>191</v>
      </c>
      <c r="AE105" s="381">
        <f>+AS35</f>
        <v>3.01471</v>
      </c>
      <c r="AF105" s="477">
        <f>IF(AE$9=0,"N.D.",AE105/AE$9)</f>
        <v>1.9311205873691041E-4</v>
      </c>
      <c r="AG105" s="381">
        <f>+AE105</f>
        <v>3.01471</v>
      </c>
      <c r="AH105" s="477">
        <f>IF(AG$9=0,"N.D.",AG105/AG$9)</f>
        <v>1.4320344963981226E-4</v>
      </c>
      <c r="AI105" s="381">
        <f>+BDLT!Q14/1000</f>
        <v>7.2510200000000005</v>
      </c>
      <c r="AJ105" s="477">
        <f>IF(AI$9=0,"N.D.",AI105/AI$9)</f>
        <v>3.5374174681642958E-4</v>
      </c>
      <c r="AK105" s="381">
        <f t="shared" si="134"/>
        <v>0</v>
      </c>
      <c r="AL105" s="402">
        <f t="shared" si="135"/>
        <v>0</v>
      </c>
      <c r="AM105" s="381">
        <f t="shared" si="136"/>
        <v>-4.2363100000000005</v>
      </c>
      <c r="AN105" s="402">
        <f t="shared" si="137"/>
        <v>-0.58423642466852943</v>
      </c>
      <c r="AO105" s="175"/>
      <c r="BF105" s="7" t="s">
        <v>191</v>
      </c>
      <c r="BG105" s="381">
        <v>0</v>
      </c>
      <c r="BH105" s="477">
        <f>IF(BG$9=0,"N.D.",BG105/BG$9)</f>
        <v>0</v>
      </c>
      <c r="BI105" s="381">
        <f>+BG105</f>
        <v>0</v>
      </c>
      <c r="BJ105" s="477">
        <f ca="1">IF(BI$9=0,"N.D.",BI105/BI$9)</f>
        <v>0</v>
      </c>
      <c r="BK105" s="381">
        <f>+BDLT!AC14/1000</f>
        <v>0</v>
      </c>
      <c r="BL105" s="477">
        <f ca="1">IF(BK$9=0,"N.D.",BK105/BK$9)</f>
        <v>0</v>
      </c>
      <c r="BM105" s="381">
        <f t="shared" si="138"/>
        <v>0</v>
      </c>
      <c r="BN105" s="402" t="str">
        <f t="shared" si="139"/>
        <v>N.D.</v>
      </c>
      <c r="BO105" s="381">
        <f t="shared" si="140"/>
        <v>0</v>
      </c>
      <c r="BP105" s="402" t="str">
        <f t="shared" si="141"/>
        <v>N.D.</v>
      </c>
      <c r="BQ105" s="354"/>
    </row>
    <row r="106" spans="1:69" ht="12.5" customHeight="1" x14ac:dyDescent="0.3">
      <c r="A106" s="238"/>
      <c r="B106" s="7" t="s">
        <v>84</v>
      </c>
      <c r="C106" s="381">
        <f>C104-C105</f>
        <v>-1.914379999999964</v>
      </c>
      <c r="D106" s="477">
        <f>IF(C$9=0,"N.D.",C106/C$9)</f>
        <v>-1.2270745102245808E-3</v>
      </c>
      <c r="E106" s="381">
        <f>E104-E105</f>
        <v>-20.721000000000014</v>
      </c>
      <c r="F106" s="477">
        <f>IF(E$9=0,"N.D.",E106/E$9)</f>
        <v>-1.217314165868676E-2</v>
      </c>
      <c r="G106" s="381">
        <f>G104-G105</f>
        <v>-25.526889999999984</v>
      </c>
      <c r="H106" s="477">
        <f>IF(G$9=0,"N.D.",G106/G$9)</f>
        <v>-1.5462944327139369E-2</v>
      </c>
      <c r="I106" s="381">
        <f t="shared" si="131"/>
        <v>18.806620000000052</v>
      </c>
      <c r="J106" s="402">
        <f t="shared" si="132"/>
        <v>-0.90761160175667377</v>
      </c>
      <c r="K106" s="381">
        <f>C106-G106</f>
        <v>23.612510000000022</v>
      </c>
      <c r="L106" s="402">
        <f t="shared" si="133"/>
        <v>-0.92500535709598919</v>
      </c>
      <c r="M106" s="175"/>
      <c r="AD106" s="7" t="s">
        <v>84</v>
      </c>
      <c r="AE106" s="381">
        <f>AE104-AE105</f>
        <v>-10.110720000000121</v>
      </c>
      <c r="AF106" s="477">
        <f>IF(AE$9=0,"N.D.",AE106/AE$9)</f>
        <v>-6.4765830030499719E-4</v>
      </c>
      <c r="AG106" s="381">
        <f>AG104-AG105</f>
        <v>-123.64870999999997</v>
      </c>
      <c r="AH106" s="477">
        <f>IF(AG$9=0,"N.D.",AG106/AG$9)</f>
        <v>-5.8735075066964132E-3</v>
      </c>
      <c r="AI106" s="381">
        <f>AI104-AI105</f>
        <v>-157.28975000000014</v>
      </c>
      <c r="AJ106" s="477">
        <f>IF(AI$9=0,"N.D.",AI106/AI$9)</f>
        <v>-7.6733964216509614E-3</v>
      </c>
      <c r="AK106" s="381">
        <f t="shared" si="134"/>
        <v>113.53798999999984</v>
      </c>
      <c r="AL106" s="402">
        <f t="shared" si="135"/>
        <v>-0.91823028319502786</v>
      </c>
      <c r="AM106" s="381">
        <f t="shared" si="136"/>
        <v>147.17903000000001</v>
      </c>
      <c r="AN106" s="402">
        <f t="shared" si="137"/>
        <v>-0.93571914253789512</v>
      </c>
      <c r="AO106" s="175"/>
      <c r="BF106" s="7" t="s">
        <v>84</v>
      </c>
      <c r="BG106" s="381">
        <f>BG104-BG105</f>
        <v>-4.6406817757948886</v>
      </c>
      <c r="BH106" s="477">
        <f>IF(BG$9=0,"N.D.",BG106/BG$9)</f>
        <v>-2.9959210947675201E-3</v>
      </c>
      <c r="BI106" s="381">
        <f ca="1">BI104-BI105</f>
        <v>-12.78999999999998</v>
      </c>
      <c r="BJ106" s="477">
        <f ca="1">IF(BI$9=0,"N.D.",BI106/BI$9)</f>
        <v>-7.7017014798828306E-3</v>
      </c>
      <c r="BK106" s="381">
        <f ca="1">BK104-BK105</f>
        <v>-24.352319999999985</v>
      </c>
      <c r="BL106" s="477">
        <f ca="1">IF(BK$9=0,"N.D.",BK106/BK$9)</f>
        <v>-1.4751447136595276E-2</v>
      </c>
      <c r="BM106" s="381">
        <f t="shared" ca="1" si="138"/>
        <v>8.149318224205091</v>
      </c>
      <c r="BN106" s="402">
        <f t="shared" ca="1" si="139"/>
        <v>-0.63716327007076656</v>
      </c>
      <c r="BO106" s="381">
        <f t="shared" ca="1" si="140"/>
        <v>19.711638224205096</v>
      </c>
      <c r="BP106" s="402">
        <f t="shared" ca="1" si="141"/>
        <v>-0.80943574263992546</v>
      </c>
      <c r="BQ106" s="354"/>
    </row>
    <row r="107" spans="1:69" ht="12.5" customHeight="1" x14ac:dyDescent="0.3">
      <c r="A107" s="238"/>
      <c r="B107" s="1" t="s">
        <v>193</v>
      </c>
      <c r="C107" s="412" t="str">
        <f>IF(C105=0,"N.D.",(C104-C102-C103)/C105)</f>
        <v>N.D.</v>
      </c>
      <c r="D107" s="478"/>
      <c r="E107" s="412" t="str">
        <f>IF(E105=0,"N.D.",(E104-E102-E103)/E105)</f>
        <v>N.D.</v>
      </c>
      <c r="F107" s="478"/>
      <c r="G107" s="412">
        <f>IF(G105=0,"N.D.",(G104-G102-G103)/G105)</f>
        <v>-20.732966106745437</v>
      </c>
      <c r="H107" s="478"/>
      <c r="I107" s="479"/>
      <c r="J107" s="354"/>
      <c r="K107" s="479"/>
      <c r="L107" s="354"/>
      <c r="M107" s="175"/>
      <c r="AD107" s="1" t="s">
        <v>193</v>
      </c>
      <c r="AE107" s="412">
        <f>IF(AE105=0,"N.D.",(AE104-AE102-AE103)/AE105)</f>
        <v>-2.3537952240846121</v>
      </c>
      <c r="AF107" s="478"/>
      <c r="AG107" s="412">
        <f>IF(AG105=0,"N.D.",(AG104-AG102-AG103)/AG105)</f>
        <v>-40.015125832998855</v>
      </c>
      <c r="AH107" s="478"/>
      <c r="AI107" s="412">
        <f>IF(AI105=0,"N.D.",(AI104-AI102-AI103)/AI105)</f>
        <v>-20.692086078924085</v>
      </c>
      <c r="AJ107" s="478"/>
      <c r="AK107" s="479"/>
      <c r="AL107" s="354"/>
      <c r="AM107" s="479"/>
      <c r="AN107" s="354"/>
      <c r="AO107" s="175"/>
      <c r="BF107" s="1" t="s">
        <v>193</v>
      </c>
      <c r="BG107" s="412" t="str">
        <f>IF(BG105=0,"N.D.",(BG104-BG102-BG103)/BG105)</f>
        <v>N.D.</v>
      </c>
      <c r="BH107" s="478"/>
      <c r="BI107" s="412" t="str">
        <f>IF(BI105=0,"N.D.",(BI104-BI102-BI103)/BI105)</f>
        <v>N.D.</v>
      </c>
      <c r="BJ107" s="478"/>
      <c r="BK107" s="412" t="str">
        <f>IF(BK105=0,"N.D.",(BK104-BK102-BK103)/BK105)</f>
        <v>N.D.</v>
      </c>
      <c r="BL107" s="478"/>
      <c r="BM107" s="479"/>
      <c r="BN107" s="354"/>
      <c r="BO107" s="479"/>
      <c r="BP107" s="354"/>
      <c r="BQ107" s="354"/>
    </row>
    <row r="108" spans="1:69" ht="12.5" customHeight="1" x14ac:dyDescent="0.25">
      <c r="M108" s="175"/>
      <c r="AO108" s="175"/>
    </row>
    <row r="109" spans="1:69" ht="12.5" customHeight="1" x14ac:dyDescent="0.3">
      <c r="C109" s="739" t="s">
        <v>36</v>
      </c>
      <c r="D109" s="743"/>
      <c r="E109" s="743"/>
      <c r="F109" s="743"/>
      <c r="G109" s="743"/>
      <c r="H109" s="743"/>
      <c r="I109" s="743"/>
      <c r="J109" s="744"/>
      <c r="K109" s="743"/>
      <c r="L109" s="744"/>
      <c r="M109" s="175"/>
      <c r="AE109" s="739" t="str">
        <f>C109</f>
        <v>Pollos del Centro, Inc.</v>
      </c>
      <c r="AF109" s="739"/>
      <c r="AG109" s="739"/>
      <c r="AH109" s="739"/>
      <c r="AI109" s="739"/>
      <c r="AJ109" s="739"/>
      <c r="AK109" s="739"/>
      <c r="AL109" s="739"/>
      <c r="AM109" s="739"/>
      <c r="AN109" s="739"/>
      <c r="AO109" s="175"/>
      <c r="BG109" s="739" t="str">
        <f>AE109</f>
        <v>Pollos del Centro, Inc.</v>
      </c>
      <c r="BH109" s="739"/>
      <c r="BI109" s="739"/>
      <c r="BJ109" s="739"/>
      <c r="BK109" s="739"/>
      <c r="BL109" s="739"/>
      <c r="BM109" s="739"/>
      <c r="BN109" s="739"/>
      <c r="BO109" s="739"/>
      <c r="BP109" s="739"/>
      <c r="BQ109" s="349"/>
    </row>
    <row r="110" spans="1:69" ht="12.5" customHeight="1" x14ac:dyDescent="0.3">
      <c r="C110" s="739" t="s">
        <v>18</v>
      </c>
      <c r="D110" s="743"/>
      <c r="E110" s="743"/>
      <c r="F110" s="743"/>
      <c r="G110" s="743"/>
      <c r="H110" s="743"/>
      <c r="I110" s="743"/>
      <c r="J110" s="744"/>
      <c r="K110" s="743"/>
      <c r="L110" s="744"/>
      <c r="M110" s="175"/>
      <c r="AE110" s="739" t="s">
        <v>18</v>
      </c>
      <c r="AF110" s="739"/>
      <c r="AG110" s="739"/>
      <c r="AH110" s="739"/>
      <c r="AI110" s="739"/>
      <c r="AJ110" s="739"/>
      <c r="AK110" s="739"/>
      <c r="AL110" s="739"/>
      <c r="AM110" s="739"/>
      <c r="AN110" s="739"/>
      <c r="AO110" s="175"/>
      <c r="BG110" s="739" t="s">
        <v>18</v>
      </c>
      <c r="BH110" s="739"/>
      <c r="BI110" s="739"/>
      <c r="BJ110" s="739"/>
      <c r="BK110" s="739"/>
      <c r="BL110" s="739"/>
      <c r="BM110" s="739"/>
      <c r="BN110" s="739"/>
      <c r="BO110" s="739"/>
      <c r="BP110" s="739"/>
      <c r="BQ110" s="349"/>
    </row>
    <row r="111" spans="1:69" ht="12.5" customHeight="1" x14ac:dyDescent="0.3">
      <c r="B111" s="281" t="s">
        <v>342</v>
      </c>
      <c r="C111" s="739" t="str">
        <f>PROPER(TEXT(MES_CIERRE,"MMMM "))&amp;YEAR(MES_CIERRE)</f>
        <v>Junio 2019</v>
      </c>
      <c r="D111" s="739"/>
      <c r="E111" s="739"/>
      <c r="F111" s="739"/>
      <c r="G111" s="739"/>
      <c r="H111" s="739"/>
      <c r="I111" s="739"/>
      <c r="J111" s="739"/>
      <c r="K111" s="739"/>
      <c r="L111" s="739"/>
      <c r="M111" s="175"/>
      <c r="AD111" s="311" t="str">
        <f>B111</f>
        <v>POLLOS DEL CENTRO</v>
      </c>
      <c r="AE111" s="740" t="str">
        <f>"Accum to "&amp;PROPER(TEXT(MES_CIERRE,"MMMM "))&amp;YEAR(MES_CIERRE)</f>
        <v>Accum to Junio 2019</v>
      </c>
      <c r="AF111" s="740"/>
      <c r="AG111" s="740"/>
      <c r="AH111" s="740"/>
      <c r="AI111" s="740"/>
      <c r="AJ111" s="740"/>
      <c r="AK111" s="740"/>
      <c r="AL111" s="740"/>
      <c r="AM111" s="740"/>
      <c r="AN111" s="740"/>
      <c r="AO111" s="175"/>
      <c r="BF111" s="113" t="str">
        <f>AD111</f>
        <v>POLLOS DEL CENTRO</v>
      </c>
      <c r="BG111" s="740" t="str">
        <f>$BG$41</f>
        <v>Projection- Julio 2019</v>
      </c>
      <c r="BH111" s="740"/>
      <c r="BI111" s="740"/>
      <c r="BJ111" s="740"/>
      <c r="BK111" s="740"/>
      <c r="BL111" s="740"/>
      <c r="BM111" s="740"/>
      <c r="BN111" s="740"/>
      <c r="BO111" s="740"/>
      <c r="BP111" s="740"/>
      <c r="BQ111" s="350"/>
    </row>
    <row r="112" spans="1:69" ht="12.5" customHeight="1" x14ac:dyDescent="0.3">
      <c r="A112" s="238"/>
      <c r="C112" s="394" t="s">
        <v>0</v>
      </c>
      <c r="D112" s="395"/>
      <c r="E112" s="394" t="s">
        <v>4</v>
      </c>
      <c r="F112" s="395"/>
      <c r="G112" s="394" t="s">
        <v>5</v>
      </c>
      <c r="H112" s="464"/>
      <c r="I112" s="349" t="s">
        <v>6</v>
      </c>
      <c r="J112" s="351"/>
      <c r="K112" s="349" t="s">
        <v>7</v>
      </c>
      <c r="L112" s="351"/>
      <c r="M112" s="174"/>
      <c r="AE112" s="394" t="s">
        <v>8</v>
      </c>
      <c r="AF112" s="464"/>
      <c r="AG112" s="394" t="s">
        <v>4</v>
      </c>
      <c r="AH112" s="464"/>
      <c r="AI112" s="394" t="s">
        <v>9</v>
      </c>
      <c r="AJ112" s="465"/>
      <c r="AK112" s="349" t="s">
        <v>6</v>
      </c>
      <c r="AL112" s="351"/>
      <c r="AM112" s="349" t="s">
        <v>7</v>
      </c>
      <c r="AN112" s="351"/>
      <c r="AO112" s="291"/>
      <c r="BG112" s="394" t="s">
        <v>502</v>
      </c>
      <c r="BH112" s="464"/>
      <c r="BI112" s="394" t="s">
        <v>4</v>
      </c>
      <c r="BJ112" s="464"/>
      <c r="BK112" s="394" t="s">
        <v>9</v>
      </c>
      <c r="BL112" s="465"/>
      <c r="BM112" s="349" t="s">
        <v>6</v>
      </c>
      <c r="BN112" s="351"/>
      <c r="BO112" s="349" t="s">
        <v>7</v>
      </c>
      <c r="BP112" s="351"/>
      <c r="BQ112" s="351"/>
    </row>
    <row r="113" spans="1:69" ht="12.5" customHeight="1" x14ac:dyDescent="0.25">
      <c r="A113" s="238"/>
      <c r="C113" s="469"/>
      <c r="D113" s="500"/>
      <c r="E113" s="468"/>
      <c r="F113" s="500"/>
      <c r="G113" s="469"/>
      <c r="H113" s="467"/>
      <c r="I113" s="419"/>
      <c r="J113" s="352"/>
      <c r="K113" s="419"/>
      <c r="L113" s="352"/>
      <c r="M113" s="175"/>
      <c r="AE113" s="466"/>
      <c r="AF113" s="467"/>
      <c r="AG113" s="468"/>
      <c r="AH113" s="467"/>
      <c r="AI113" s="469"/>
      <c r="AJ113" s="470"/>
      <c r="AK113" s="419"/>
      <c r="AL113" s="352"/>
      <c r="AM113" s="419"/>
      <c r="AN113" s="352"/>
      <c r="AO113" s="175"/>
      <c r="BG113" s="466"/>
      <c r="BH113" s="467"/>
      <c r="BI113" s="468"/>
      <c r="BJ113" s="467"/>
      <c r="BK113" s="469"/>
      <c r="BL113" s="470"/>
      <c r="BM113" s="419"/>
      <c r="BN113" s="352"/>
      <c r="BO113" s="419"/>
      <c r="BP113" s="352"/>
      <c r="BQ113" s="352"/>
    </row>
    <row r="114" spans="1:69" ht="12.5" customHeight="1" x14ac:dyDescent="0.25">
      <c r="A114" s="238"/>
      <c r="B114" t="s">
        <v>38</v>
      </c>
      <c r="C114" s="418">
        <f>BDER!D70/1000</f>
        <v>617.27277000000004</v>
      </c>
      <c r="D114" s="417">
        <f>IF(C$114=0,"N.D.",C114/C$114)</f>
        <v>1</v>
      </c>
      <c r="E114" s="418">
        <f>BDER!L70/1000</f>
        <v>692.15899999999999</v>
      </c>
      <c r="F114" s="471">
        <f>IF(E$114=0,"N.D.",E114/E$114)</f>
        <v>1</v>
      </c>
      <c r="G114" s="418">
        <f>BDER!F70/1000</f>
        <v>657.41998999999998</v>
      </c>
      <c r="H114" s="471">
        <f>IF(G$114=0,"N.D.",G114/G$114)</f>
        <v>1</v>
      </c>
      <c r="I114" s="418">
        <f>C114-E114</f>
        <v>-74.886229999999955</v>
      </c>
      <c r="J114" s="471">
        <f>IF(E114=0,"N.D.",C114/E114-1)</f>
        <v>-0.10819223617694773</v>
      </c>
      <c r="K114" s="418">
        <f>C114-G114</f>
        <v>-40.147219999999948</v>
      </c>
      <c r="L114" s="183">
        <f>IF(G114=0,"N.D.",C114/G114-1)</f>
        <v>-6.1067841882933793E-2</v>
      </c>
      <c r="M114" s="175"/>
      <c r="AD114" t="s">
        <v>38</v>
      </c>
      <c r="AE114" s="418">
        <f>BDER!E70/1000</f>
        <v>3681.9625799999999</v>
      </c>
      <c r="AF114" s="471">
        <f>IF(AE$114=0,"N.D.",AE114/AE$114)</f>
        <v>1</v>
      </c>
      <c r="AG114" s="418">
        <f>BDER!M70/1000</f>
        <v>4027.56</v>
      </c>
      <c r="AH114" s="471">
        <f>IF(AG$114=0,"N.D.",AG114/AG$114)</f>
        <v>1</v>
      </c>
      <c r="AI114" s="418">
        <f>BDER!I70/1000</f>
        <v>3822.52621</v>
      </c>
      <c r="AJ114" s="471">
        <f>IF(AI$114=0,"N.D.",AI114/AI$114)</f>
        <v>1</v>
      </c>
      <c r="AK114" s="418">
        <f>AE114-AG114</f>
        <v>-345.59742000000006</v>
      </c>
      <c r="AL114" s="471">
        <f>IF(AG114=0,"N.D.",AE114/AG114-1)</f>
        <v>-8.5808136936507462E-2</v>
      </c>
      <c r="AM114" s="418">
        <f>AE114-AI114</f>
        <v>-140.5636300000001</v>
      </c>
      <c r="AN114" s="183">
        <f>IF(AI114=0,"N.D.",AE114/AI114-1)</f>
        <v>-3.6772443739502836E-2</v>
      </c>
      <c r="AO114" s="175"/>
      <c r="BF114" s="290" t="s">
        <v>38</v>
      </c>
      <c r="BG114" s="418">
        <v>605</v>
      </c>
      <c r="BH114" s="471">
        <f>IF(BG$114=0,"N.D.",BG114/BG$114)</f>
        <v>1</v>
      </c>
      <c r="BI114" s="418">
        <f ca="1">INDIRECT(ADDRESS(MATCH(B111,BDPP!$B:$B,0)+6,MATCH(TEXT(EDATE(MES_CIERRE,1),"MMMM"),BDPP!$1:$1,0),,,"BDPP"))/1000</f>
        <v>677.78499999999997</v>
      </c>
      <c r="BJ114" s="471">
        <f ca="1">IF(BI$114=0,"N.D.",BI114/BI$114)</f>
        <v>1</v>
      </c>
      <c r="BK114" s="418">
        <f ca="1">INDIRECT(ADDRESS(MATCH(B111,INDIRECT("'"&amp;IF(MONTH(MES_CIERRE)=12,"ER ACT","ER AA")&amp;"'!$B:$B"),0)+1,MATCH(TEXT(EDATE(MES_CIERRE,1),"MMMM"),'ER AA'!$1:$1,0),,,IF(MONTH(MES_CIERRE)=12,"ER ACT","ER AA")))</f>
        <v>657.41998999999998</v>
      </c>
      <c r="BL114" s="471">
        <f ca="1">IF(BK$114=0,"N.D.",BK114/BK$114)</f>
        <v>1</v>
      </c>
      <c r="BM114" s="418">
        <f ca="1">BG114-BI114</f>
        <v>-72.784999999999968</v>
      </c>
      <c r="BN114" s="471">
        <f ca="1">IF(BI114=0,"N.D.",BG114/BI114-1)</f>
        <v>-0.10738656063500962</v>
      </c>
      <c r="BO114" s="418">
        <f ca="1">BG114-BK114</f>
        <v>-52.419989999999984</v>
      </c>
      <c r="BP114" s="471">
        <f ca="1">IF(BK114=0,"N.D.",BG114/BK114-1)</f>
        <v>-7.9735923454350655E-2</v>
      </c>
      <c r="BQ114" s="353"/>
    </row>
    <row r="115" spans="1:69" ht="12.5" customHeight="1" x14ac:dyDescent="0.25">
      <c r="A115" s="238"/>
      <c r="B115" t="s">
        <v>39</v>
      </c>
      <c r="C115" s="314">
        <f>BDER!D71/1000</f>
        <v>199.33366000000001</v>
      </c>
      <c r="D115" s="414">
        <f>IF(C$114=0,"N.D.",C115/C$114)</f>
        <v>0.32292637823631842</v>
      </c>
      <c r="E115" s="314">
        <f>BDER!L71/1000</f>
        <v>245.024</v>
      </c>
      <c r="F115" s="472">
        <f>IF(E$114=0,"N.D.",E115/E$114)</f>
        <v>0.35399958680014276</v>
      </c>
      <c r="G115" s="314">
        <f>BDER!F71/1000</f>
        <v>231.77472</v>
      </c>
      <c r="H115" s="472">
        <f>IF(G$114=0,"N.D.",G115/G$114)</f>
        <v>0.35255198126847348</v>
      </c>
      <c r="I115" s="314">
        <f>C115-E115</f>
        <v>-45.690339999999992</v>
      </c>
      <c r="J115" s="472">
        <f>IF(E115=0,"N.D.",C115/E115-1)</f>
        <v>-0.18647291693874879</v>
      </c>
      <c r="K115" s="314">
        <f>C115-G115</f>
        <v>-32.441059999999993</v>
      </c>
      <c r="L115" s="472">
        <f>IF(G115=0,"N.D.",C115/G115-1)</f>
        <v>-0.13996806899389191</v>
      </c>
      <c r="M115" s="175"/>
      <c r="AD115" t="s">
        <v>39</v>
      </c>
      <c r="AE115" s="314">
        <f>BDER!E71/1000</f>
        <v>1247.1598100000001</v>
      </c>
      <c r="AF115" s="177">
        <f>IF(AE$114=0,"N.D.",AE115/AE$114)</f>
        <v>0.33872147880438269</v>
      </c>
      <c r="AG115" s="314">
        <f>BDER!M71/1000</f>
        <v>1425.7560000000001</v>
      </c>
      <c r="AH115" s="472">
        <f>IF(AG$114=0,"N.D.",AG115/AG$114)</f>
        <v>0.3539999404105712</v>
      </c>
      <c r="AI115" s="314">
        <f>BDER!I71/1000</f>
        <v>1354.7755500000001</v>
      </c>
      <c r="AJ115" s="472">
        <f>IF(AI$114=0,"N.D.",AI115/AI$114)</f>
        <v>0.35441890403676268</v>
      </c>
      <c r="AK115" s="314">
        <f>AE115-AG115</f>
        <v>-178.59618999999998</v>
      </c>
      <c r="AL115" s="472">
        <f>IF(AG115=0,"N.D.",AE115/AG115-1)</f>
        <v>-0.12526420369263747</v>
      </c>
      <c r="AM115" s="314">
        <f>AE115-AI115</f>
        <v>-107.61573999999996</v>
      </c>
      <c r="AN115" s="472">
        <f>IF(AI115=0,"N.D.",AE115/AI115-1)</f>
        <v>-7.9434368298128777E-2</v>
      </c>
      <c r="AO115" s="175"/>
      <c r="BF115" s="290" t="s">
        <v>39</v>
      </c>
      <c r="BG115" s="314">
        <f>BG114*D115</f>
        <v>195.37045883297264</v>
      </c>
      <c r="BH115" s="472">
        <f>IF(BG$114=0,"N.D.",BG115/BG$114)</f>
        <v>0.32292637823631842</v>
      </c>
      <c r="BI115" s="460">
        <f ca="1">INDIRECT(ADDRESS(MATCH(B111,BDPP!$B:$B,0)+7,MATCH(TEXT(EDATE(MES_CIERRE,1),"MMMM"),BDPP!$1:$1,0),,,"BDPP"))/1000</f>
        <v>239.93600000000001</v>
      </c>
      <c r="BJ115" s="472">
        <f ca="1">IF(BI$114=0,"N.D.",BI115/BI$114)</f>
        <v>0.35400016229335263</v>
      </c>
      <c r="BK115" s="460">
        <f ca="1">INDIRECT(ADDRESS(MATCH(B111,INDIRECT("'"&amp;IF(MONTH(MES_CIERRE)=12,"ER ACT","ER AA")&amp;"'!$B:$B"),0)+2,MATCH(TEXT(EDATE(MES_CIERRE,1),"MMMM"),'ER AA'!$1:$1,0),,,IF(MONTH(MES_CIERRE)=12,"ER ACT","ER AA")))</f>
        <v>231.77472</v>
      </c>
      <c r="BL115" s="472">
        <f ca="1">IF(BK$114=0,"N.D.",BK115/BK$114)</f>
        <v>0.35255198126847348</v>
      </c>
      <c r="BM115" s="314">
        <f ca="1">BG115-BI115</f>
        <v>-44.565541167027362</v>
      </c>
      <c r="BN115" s="472">
        <f ca="1">IF(BI115=0,"N.D.",BG115/BI115-1)</f>
        <v>-0.18573928533870432</v>
      </c>
      <c r="BO115" s="314">
        <f ca="1">BG115-BK115</f>
        <v>-36.404261167027357</v>
      </c>
      <c r="BP115" s="472">
        <f ca="1">IF(BK115=0,"N.D.",BG115/BK115-1)</f>
        <v>-0.157067436720568</v>
      </c>
      <c r="BQ115" s="353"/>
    </row>
    <row r="116" spans="1:69" ht="12.5" hidden="1" customHeight="1" x14ac:dyDescent="0.25">
      <c r="A116" s="238"/>
      <c r="B116" t="s">
        <v>219</v>
      </c>
      <c r="C116" s="314">
        <f>BDER!D72/1000</f>
        <v>0</v>
      </c>
      <c r="D116" s="414">
        <f>IF(C$114=0,"N.D.",C116/C$114)</f>
        <v>0</v>
      </c>
      <c r="E116" s="314">
        <f>BDER!L72/1000</f>
        <v>0</v>
      </c>
      <c r="F116" s="472">
        <f>IF(E$114=0,"N.D.",E116/E$114)</f>
        <v>0</v>
      </c>
      <c r="G116" s="314">
        <f>BDER!F72/1000</f>
        <v>0</v>
      </c>
      <c r="H116" s="472">
        <f>IF(G$114=0,"N.D.",G116/G$114)</f>
        <v>0</v>
      </c>
      <c r="I116" s="314">
        <f>C116-E116</f>
        <v>0</v>
      </c>
      <c r="J116" s="472"/>
      <c r="K116" s="314">
        <f>C116-G116</f>
        <v>0</v>
      </c>
      <c r="L116" s="472" t="str">
        <f>IF(G116=0,"N.D.",C116/G116-1)</f>
        <v>N.D.</v>
      </c>
      <c r="M116" s="175"/>
      <c r="AD116" t="s">
        <v>219</v>
      </c>
      <c r="AE116" s="314">
        <f>BDER!E72/1000</f>
        <v>0</v>
      </c>
      <c r="AF116" s="177">
        <f>IF(AE$114=0,"N.D.",AE116/AE$114)</f>
        <v>0</v>
      </c>
      <c r="AG116" s="314">
        <f>BDER!M72/1000</f>
        <v>0</v>
      </c>
      <c r="AH116" s="472">
        <f>IF(AG$114=0,"N.D.",AG116/AG$114)</f>
        <v>0</v>
      </c>
      <c r="AI116" s="314">
        <f>BDER!I72/1000</f>
        <v>0</v>
      </c>
      <c r="AJ116" s="472">
        <f>IF(AI$114=0,"N.D.",AI116/AI$114)</f>
        <v>0</v>
      </c>
      <c r="AK116" s="314">
        <f>AE116-AG116</f>
        <v>0</v>
      </c>
      <c r="AL116" s="472" t="str">
        <f>IF(AG116=0,"N.D.",AE116/AG116-1)</f>
        <v>N.D.</v>
      </c>
      <c r="AM116" s="314">
        <f>AE116-AI116</f>
        <v>0</v>
      </c>
      <c r="AN116" s="472" t="str">
        <f>IF(AI116=0,"N.D.",AE116/AI116-1)</f>
        <v>N.D.</v>
      </c>
      <c r="AO116" s="175"/>
      <c r="BF116" s="290" t="s">
        <v>219</v>
      </c>
      <c r="BG116" s="314">
        <f>BDER!Q72/1000</f>
        <v>0</v>
      </c>
      <c r="BH116" s="472">
        <f>IF(BG$114=0,"N.D.",BG116/BG$114)</f>
        <v>0</v>
      </c>
      <c r="BI116" s="314">
        <f>BDER!Y70/1000</f>
        <v>0</v>
      </c>
      <c r="BJ116" s="472">
        <f ca="1">IF(BI$114=0,"N.D.",BI116/BI$114)</f>
        <v>0</v>
      </c>
      <c r="BK116" s="314">
        <f>BDER!U70/1000</f>
        <v>0</v>
      </c>
      <c r="BL116" s="472">
        <f ca="1">IF(BK$114=0,"N.D.",BK116/BK$114)</f>
        <v>0</v>
      </c>
      <c r="BM116" s="314">
        <f>BG116-BI116</f>
        <v>0</v>
      </c>
      <c r="BN116" s="472" t="str">
        <f>IF(BI116=0,"N.D.",BG116/BI116-1)</f>
        <v>N.D.</v>
      </c>
      <c r="BO116" s="314">
        <f>BG116-BK116</f>
        <v>0</v>
      </c>
      <c r="BP116" s="472" t="str">
        <f>IF(BK116=0,"N.D.",BG116/BK116-1)</f>
        <v>N.D.</v>
      </c>
      <c r="BQ116" s="353"/>
    </row>
    <row r="117" spans="1:69" ht="12.5" customHeight="1" x14ac:dyDescent="0.3">
      <c r="A117" s="238"/>
      <c r="B117" t="s">
        <v>40</v>
      </c>
      <c r="C117" s="381">
        <f>C114-C115-C116</f>
        <v>417.93911000000003</v>
      </c>
      <c r="D117" s="415">
        <f>IF(C$114=0,"N.D.",C117/C$114)</f>
        <v>0.67707362176368158</v>
      </c>
      <c r="E117" s="381">
        <f>E114-E115-E116</f>
        <v>447.13499999999999</v>
      </c>
      <c r="F117" s="402">
        <f>IF(E$114=0,"N.D.",E117/E$114)</f>
        <v>0.64600041319985724</v>
      </c>
      <c r="G117" s="381">
        <f>G114-G115-G116</f>
        <v>425.64526999999998</v>
      </c>
      <c r="H117" s="402">
        <f>IF(G$114=0,"N.D.",G117/G$114)</f>
        <v>0.64744801873152658</v>
      </c>
      <c r="I117" s="381">
        <f>C117-E117</f>
        <v>-29.195889999999963</v>
      </c>
      <c r="J117" s="402">
        <f>IF(E117=0,"N.D.",C117/E117-1)</f>
        <v>-6.5295470048195692E-2</v>
      </c>
      <c r="K117" s="381">
        <f>C117-G117</f>
        <v>-7.7061599999999544</v>
      </c>
      <c r="L117" s="402">
        <f>IF(G117=0,"N.D.",C117/G117-1)</f>
        <v>-1.8104653201009291E-2</v>
      </c>
      <c r="M117" s="175"/>
      <c r="AD117" t="s">
        <v>40</v>
      </c>
      <c r="AE117" s="381">
        <f>AE114-AE115-AE116</f>
        <v>2434.8027699999998</v>
      </c>
      <c r="AF117" s="179">
        <f>IF(AE$114=0,"N.D.",AE117/AE$114)</f>
        <v>0.66127852119561736</v>
      </c>
      <c r="AG117" s="381">
        <f>AG114-AG115-AG116</f>
        <v>2601.8040000000001</v>
      </c>
      <c r="AH117" s="402">
        <f>IF(AG$114=0,"N.D.",AG117/AG$114)</f>
        <v>0.64600005958942885</v>
      </c>
      <c r="AI117" s="381">
        <f>AI114-AI115-AI116</f>
        <v>2467.7506599999997</v>
      </c>
      <c r="AJ117" s="402">
        <f>IF(AI$114=0,"N.D.",AI117/AI$114)</f>
        <v>0.64558109596323732</v>
      </c>
      <c r="AK117" s="381">
        <f>AE117-AG117</f>
        <v>-167.00123000000031</v>
      </c>
      <c r="AL117" s="402">
        <f>IF(AG117=0,"N.D.",AE117/AG117-1)</f>
        <v>-6.4186706608184263E-2</v>
      </c>
      <c r="AM117" s="381">
        <f>AE117-AI117</f>
        <v>-32.947889999999916</v>
      </c>
      <c r="AN117" s="402">
        <f>IF(AI117=0,"N.D.",AE117/AI117-1)</f>
        <v>-1.3351385346200173E-2</v>
      </c>
      <c r="AO117" s="175"/>
      <c r="BF117" s="290" t="s">
        <v>40</v>
      </c>
      <c r="BG117" s="381">
        <f>BG114-BG115-BG116</f>
        <v>409.62954116702736</v>
      </c>
      <c r="BH117" s="402">
        <f>IF(BG$114=0,"N.D.",BG117/BG$114)</f>
        <v>0.67707362176368158</v>
      </c>
      <c r="BI117" s="381">
        <f ca="1">BI114-BI115-BI116</f>
        <v>437.84899999999993</v>
      </c>
      <c r="BJ117" s="402">
        <f ca="1">IF(BI$114=0,"N.D.",BI117/BI$114)</f>
        <v>0.64599983770664737</v>
      </c>
      <c r="BK117" s="381">
        <f ca="1">BK114-BK115-BK116</f>
        <v>425.64526999999998</v>
      </c>
      <c r="BL117" s="402">
        <f ca="1">IF(BK$114=0,"N.D.",BK117/BK$114)</f>
        <v>0.64744801873152658</v>
      </c>
      <c r="BM117" s="381">
        <f ca="1">BG117-BI117</f>
        <v>-28.219458832972578</v>
      </c>
      <c r="BN117" s="402">
        <f ca="1">IF(BI117=0,"N.D.",BG117/BI117-1)</f>
        <v>-6.4450207338540455E-2</v>
      </c>
      <c r="BO117" s="381">
        <f ca="1">BG117-BK117</f>
        <v>-16.015728832972627</v>
      </c>
      <c r="BP117" s="402">
        <f ca="1">IF(BK117=0,"N.D.",BG117/BK117-1)</f>
        <v>-3.762693952401408E-2</v>
      </c>
      <c r="BQ117" s="354"/>
    </row>
    <row r="118" spans="1:69" ht="12.5" customHeight="1" x14ac:dyDescent="0.25">
      <c r="A118" s="238"/>
      <c r="C118" s="419"/>
      <c r="D118" s="416"/>
      <c r="E118" s="419"/>
      <c r="F118" s="352"/>
      <c r="G118" s="419"/>
      <c r="H118" s="352"/>
      <c r="I118" s="419"/>
      <c r="J118" s="352"/>
      <c r="K118" s="419"/>
      <c r="L118" s="352"/>
      <c r="M118" s="175"/>
      <c r="AE118" s="419"/>
      <c r="AF118" s="181"/>
      <c r="AG118" s="419"/>
      <c r="AH118" s="352"/>
      <c r="AI118" s="419"/>
      <c r="AJ118" s="352"/>
      <c r="AK118" s="419"/>
      <c r="AL118" s="352"/>
      <c r="AM118" s="419"/>
      <c r="AN118" s="352"/>
      <c r="AO118" s="175"/>
      <c r="BG118" s="419"/>
      <c r="BH118" s="352"/>
      <c r="BI118" s="419"/>
      <c r="BJ118" s="352"/>
      <c r="BK118" s="419"/>
      <c r="BL118" s="352"/>
      <c r="BM118" s="419"/>
      <c r="BN118" s="352"/>
      <c r="BO118" s="419"/>
      <c r="BP118" s="352"/>
      <c r="BQ118" s="352"/>
    </row>
    <row r="119" spans="1:69" ht="12.5" customHeight="1" x14ac:dyDescent="0.25">
      <c r="A119" s="238"/>
      <c r="B119" t="s">
        <v>41</v>
      </c>
      <c r="C119" s="418">
        <f>BDER!D74/1000</f>
        <v>381.94327000000004</v>
      </c>
      <c r="D119" s="417">
        <f>IF(C$114=0,"N.D.",C119/C$114)</f>
        <v>0.61875930473978302</v>
      </c>
      <c r="E119" s="418">
        <f>BDER!L74/1000</f>
        <v>407.24400000000003</v>
      </c>
      <c r="F119" s="471">
        <f>IF(E$114=0,"N.D.",E119/E$114)</f>
        <v>0.58836770164080798</v>
      </c>
      <c r="G119" s="418">
        <f>BDER!F74/1000</f>
        <v>400.04596000000004</v>
      </c>
      <c r="H119" s="471">
        <f>IF(G$114=0,"N.D.",G119/G$114)</f>
        <v>0.60850896852102121</v>
      </c>
      <c r="I119" s="418">
        <f>C119-E119</f>
        <v>-25.300729999999987</v>
      </c>
      <c r="J119" s="471">
        <f>IF(E119=0,"N.D.",C119/E119-1)</f>
        <v>-6.2126710276885544E-2</v>
      </c>
      <c r="K119" s="418">
        <f>C119-G119</f>
        <v>-18.102689999999996</v>
      </c>
      <c r="L119" s="471">
        <f>IF(G119=0,"N.D.",C119/G119-1)</f>
        <v>-4.5251525599708575E-2</v>
      </c>
      <c r="M119" s="175"/>
      <c r="AD119" t="s">
        <v>41</v>
      </c>
      <c r="AE119" s="418">
        <f>BDER!E74/1000</f>
        <v>2304.3234600000001</v>
      </c>
      <c r="AF119" s="183">
        <f>IF(AE$114=0,"N.D.",AE119/AE$114)</f>
        <v>0.62584108608730082</v>
      </c>
      <c r="AG119" s="418">
        <f>BDER!M74/1000</f>
        <v>2406.002</v>
      </c>
      <c r="AH119" s="471">
        <f>IF(AG$114=0,"N.D.",AG119/AG$114)</f>
        <v>0.59738452065270287</v>
      </c>
      <c r="AI119" s="418">
        <f>BDER!I74/1000</f>
        <v>2314.77682</v>
      </c>
      <c r="AJ119" s="471">
        <f>IF(AI$114=0,"N.D.",AI119/AI$114)</f>
        <v>0.60556205316378986</v>
      </c>
      <c r="AK119" s="418">
        <f>AE119-AG119</f>
        <v>-101.67853999999988</v>
      </c>
      <c r="AL119" s="471">
        <f>IF(AG119=0,"N.D.",AE119/AG119-1)</f>
        <v>-4.2260372185891737E-2</v>
      </c>
      <c r="AM119" s="418">
        <f>AE119-AI119</f>
        <v>-10.453359999999975</v>
      </c>
      <c r="AN119" s="471">
        <f>IF(AI119=0,"N.D.",AE119/AI119-1)</f>
        <v>-4.515925643319707E-3</v>
      </c>
      <c r="AO119" s="175"/>
      <c r="BF119" s="290" t="s">
        <v>41</v>
      </c>
      <c r="BG119" s="418">
        <f>BG114*D119</f>
        <v>374.3493793675687</v>
      </c>
      <c r="BH119" s="471">
        <f>IF(BG$114=0,"N.D.",BG119/BG$114)</f>
        <v>0.61875930473978302</v>
      </c>
      <c r="BI119" s="418">
        <f ca="1">INDIRECT(ADDRESS(MATCH(B111,BDPP!$B:$B,0)+10,MATCH(TEXT(EDATE(MES_CIERRE,1),"MMMM"),BDPP!$1:$1,0),,,"BDPP"))/1000</f>
        <v>403.38299999999998</v>
      </c>
      <c r="BJ119" s="471">
        <f ca="1">IF(BI$114=0,"N.D.",BI119/BI$114)</f>
        <v>0.5951489041510214</v>
      </c>
      <c r="BK119" s="418">
        <f ca="1">INDIRECT(ADDRESS(MATCH(B111,INDIRECT("'"&amp;IF(MONTH(MES_CIERRE)=10,"ER ACT","ER AA")&amp;"'!$B:$B"),0)+6,MATCH(TEXT(EDATE(MES_CIERRE,1),"MMMM"),'ER AA'!$1:$1,0),,,IF(MONTH(MES_CIERRE)=12,"ER ACT","ER AA")))</f>
        <v>400.04596000000004</v>
      </c>
      <c r="BL119" s="471">
        <f ca="1">IF(BK$114=0,"N.D.",BK119/BK$114)</f>
        <v>0.60850896852102121</v>
      </c>
      <c r="BM119" s="418">
        <f ca="1">BG119-BI119</f>
        <v>-29.03362063243128</v>
      </c>
      <c r="BN119" s="471">
        <f ca="1">IF(BI119=0,"N.D.",BG119/BI119-1)</f>
        <v>-7.1975320309560109E-2</v>
      </c>
      <c r="BO119" s="418">
        <f ca="1">BG119-BK119</f>
        <v>-25.696580632431335</v>
      </c>
      <c r="BP119" s="471">
        <f ca="1">IF(BK119=0,"N.D.",BG119/BK119-1)</f>
        <v>-6.4234071086310518E-2</v>
      </c>
      <c r="BQ119" s="353"/>
    </row>
    <row r="120" spans="1:69" ht="12.5" customHeight="1" x14ac:dyDescent="0.25">
      <c r="A120" s="238"/>
      <c r="B120" t="s">
        <v>42</v>
      </c>
      <c r="C120" s="314">
        <f>BDER!D75/1000</f>
        <v>10.742090000000001</v>
      </c>
      <c r="D120" s="414">
        <f>IF(C$114=0,"N.D.",C120/C$114)</f>
        <v>1.7402501004539696E-2</v>
      </c>
      <c r="E120" s="314">
        <f>BDER!L75/1000</f>
        <v>23.518999999999998</v>
      </c>
      <c r="F120" s="472">
        <f>IF(E$114=0,"N.D.",E120/E$114)</f>
        <v>3.3979186863134045E-2</v>
      </c>
      <c r="G120" s="314">
        <f>BDER!F75/1000</f>
        <v>23.49888</v>
      </c>
      <c r="H120" s="472">
        <f>IF(G$114=0,"N.D.",G120/G$114)</f>
        <v>3.5744091079433105E-2</v>
      </c>
      <c r="I120" s="314">
        <f>C120-E120</f>
        <v>-12.776909999999997</v>
      </c>
      <c r="J120" s="472">
        <f>IF(E120=0,"N.D.",C120/E120-1)</f>
        <v>-0.54325906713720817</v>
      </c>
      <c r="K120" s="314">
        <f>C120-G120</f>
        <v>-12.756789999999999</v>
      </c>
      <c r="L120" s="472">
        <f>IF(G120=0,"N.D.",C120/G120-1)</f>
        <v>-0.54286800051747142</v>
      </c>
      <c r="M120" s="175"/>
      <c r="AD120" t="s">
        <v>42</v>
      </c>
      <c r="AE120" s="314">
        <f>BDER!E75/1000</f>
        <v>86.014899999999997</v>
      </c>
      <c r="AF120" s="472">
        <f>IF(AE$114=0,"N.D.",AE120/AE$114)</f>
        <v>2.3361155397728133E-2</v>
      </c>
      <c r="AG120" s="314">
        <f>BDER!M75/1000</f>
        <v>132.381</v>
      </c>
      <c r="AH120" s="472">
        <f>IF(AG$114=0,"N.D.",AG120/AG$114)</f>
        <v>3.2868784077704619E-2</v>
      </c>
      <c r="AI120" s="314">
        <f>BDER!I75/1000</f>
        <v>132.36184</v>
      </c>
      <c r="AJ120" s="472">
        <f>IF(AI$114=0,"N.D.",AI120/AI$114)</f>
        <v>3.4626797235224188E-2</v>
      </c>
      <c r="AK120" s="314">
        <f>AE120-AG120</f>
        <v>-46.366100000000003</v>
      </c>
      <c r="AL120" s="472">
        <f>IF(AG120=0,"N.D.",AE120/AG120-1)</f>
        <v>-0.35024739199734101</v>
      </c>
      <c r="AM120" s="314">
        <f>AE120-AI120</f>
        <v>-46.346940000000004</v>
      </c>
      <c r="AN120" s="472">
        <f>IF(AI120=0,"N.D.",AE120/AI120-1)</f>
        <v>-0.35015333724584063</v>
      </c>
      <c r="AO120" s="175"/>
      <c r="BF120" s="290" t="s">
        <v>42</v>
      </c>
      <c r="BG120" s="314">
        <v>15</v>
      </c>
      <c r="BH120" s="472">
        <f>IF(BG$114=0,"N.D.",BG120/BG$114)</f>
        <v>2.4793388429752067E-2</v>
      </c>
      <c r="BI120" s="314">
        <f ca="1">INDIRECT(ADDRESS(MATCH(B111,BDPP!$B:$B,0)+11,MATCH(TEXT(EDATE(MES_CIERRE,1),"MMMM"),BDPP!$1:$1,0),,,"BDPP"))/1000</f>
        <v>20.55</v>
      </c>
      <c r="BJ120" s="472">
        <f ca="1">IF(BI$114=0,"N.D.",BI120/BI$114)</f>
        <v>3.0319349056116617E-2</v>
      </c>
      <c r="BK120" s="314">
        <f ca="1">INDIRECT(ADDRESS(MATCH(B111,INDIRECT("'"&amp;IF(MONTH(MES_CIERRE)=10,"ER ACT","ER AA")&amp;"'!$B:$B"),0)+7,MATCH(TEXT(EDATE(MES_CIERRE,1),"MMMM"),'ER AA'!$1:$1,0),,,IF(MONTH(MES_CIERRE)=12,"ER ACT","ER AA")))</f>
        <v>23.49888</v>
      </c>
      <c r="BL120" s="472">
        <f ca="1">IF(BK$114=0,"N.D.",BK120/BK$114)</f>
        <v>3.5744091079433105E-2</v>
      </c>
      <c r="BM120" s="314">
        <f ca="1">BG120-BI120</f>
        <v>-5.5500000000000007</v>
      </c>
      <c r="BN120" s="472">
        <f ca="1">IF(BI120=0,"N.D.",BG120/BI120-1)</f>
        <v>-0.27007299270072993</v>
      </c>
      <c r="BO120" s="314">
        <f ca="1">BG120-BK120</f>
        <v>-8.4988799999999998</v>
      </c>
      <c r="BP120" s="472">
        <f ca="1">IF(BK120=0,"N.D.",BG120/BK120-1)</f>
        <v>-0.36167170520467362</v>
      </c>
      <c r="BQ120" s="353"/>
    </row>
    <row r="121" spans="1:69" ht="12.5" customHeight="1" x14ac:dyDescent="0.25">
      <c r="A121" s="238"/>
      <c r="B121" t="s">
        <v>43</v>
      </c>
      <c r="C121" s="314">
        <f>BDER!D76/1000</f>
        <v>3.0893099999999998</v>
      </c>
      <c r="D121" s="414">
        <f>IF(C$114=0,"N.D.",C121/C$114)</f>
        <v>5.0047728494487121E-3</v>
      </c>
      <c r="E121" s="314">
        <f>BDER!L76/1000</f>
        <v>2.8380000000000001</v>
      </c>
      <c r="F121" s="472">
        <f>IF(E$114=0,"N.D.",E121/E$114)</f>
        <v>4.1002139681778323E-3</v>
      </c>
      <c r="G121" s="314">
        <f>BDER!F76/1000</f>
        <v>2.8382100000000001</v>
      </c>
      <c r="H121" s="472">
        <f>IF(G$114=0,"N.D.",G121/G$114)</f>
        <v>4.3171945532109544E-3</v>
      </c>
      <c r="I121" s="314">
        <f>C121-E121</f>
        <v>0.2513099999999997</v>
      </c>
      <c r="J121" s="472">
        <f>IF(E121=0,"N.D.",C121/E121-1)</f>
        <v>8.8551797040169022E-2</v>
      </c>
      <c r="K121" s="314">
        <f>C121-G121</f>
        <v>0.25109999999999966</v>
      </c>
      <c r="L121" s="472">
        <f>IF(G121=0,"N.D.",C121/G121-1)</f>
        <v>8.84712547697315E-2</v>
      </c>
      <c r="M121" s="175"/>
      <c r="AD121" t="s">
        <v>43</v>
      </c>
      <c r="AE121" s="314">
        <f>BDER!E76/1000</f>
        <v>17.280360000000002</v>
      </c>
      <c r="AF121" s="472">
        <f>IF(AE$114=0,"N.D.",AE121/AE$114)</f>
        <v>4.6932470454384692E-3</v>
      </c>
      <c r="AG121" s="314">
        <f>BDER!M76/1000</f>
        <v>17.027999999999999</v>
      </c>
      <c r="AH121" s="472">
        <f>IF(AG$114=0,"N.D.",AG121/AG$114)</f>
        <v>4.2278699758662814E-3</v>
      </c>
      <c r="AI121" s="314">
        <f>BDER!I76/1000</f>
        <v>17.029259999999997</v>
      </c>
      <c r="AJ121" s="472">
        <f>IF(AI$114=0,"N.D.",AI121/AI$114)</f>
        <v>4.4549753394627469E-3</v>
      </c>
      <c r="AK121" s="314">
        <f>AE121-AG121</f>
        <v>0.25236000000000303</v>
      </c>
      <c r="AL121" s="472">
        <f>IF(AG121=0,"N.D.",AE121/AG121-1)</f>
        <v>1.4820295983086762E-2</v>
      </c>
      <c r="AM121" s="314">
        <f>AE121-AI121</f>
        <v>0.25110000000000454</v>
      </c>
      <c r="AN121" s="472">
        <f>IF(AI121=0,"N.D.",AE121/AI121-1)</f>
        <v>1.4745209128288916E-2</v>
      </c>
      <c r="AO121" s="175"/>
      <c r="BF121" s="290" t="s">
        <v>43</v>
      </c>
      <c r="BG121" s="314">
        <v>3</v>
      </c>
      <c r="BH121" s="472">
        <f>IF(BG$114=0,"N.D.",BG121/BG$114)</f>
        <v>4.9586776859504135E-3</v>
      </c>
      <c r="BI121" s="314">
        <f ca="1">INDIRECT(ADDRESS(MATCH(B111,BDPP!$B:$B,0)+12,MATCH(TEXT(EDATE(MES_CIERRE,1),"MMMM"),BDPP!$1:$1,0),,,"BDPP"))/1000</f>
        <v>2.8380000000000001</v>
      </c>
      <c r="BJ121" s="472">
        <f ca="1">IF(BI$114=0,"N.D.",BI121/BI$114)</f>
        <v>4.187168497384864E-3</v>
      </c>
      <c r="BK121" s="314">
        <f ca="1">INDIRECT(ADDRESS(MATCH(B111,INDIRECT("'"&amp;IF(MONTH(MES_CIERRE)=10,"ER ACT","ER AA")&amp;"'!$B:$B"),0)+8,MATCH(TEXT(EDATE(MES_CIERRE,1),"MMMM"),'ER AA'!$1:$1,0),,,IF(MONTH(MES_CIERRE)=12,"ER ACT","ER AA")))</f>
        <v>2.8382100000000001</v>
      </c>
      <c r="BL121" s="472">
        <f ca="1">IF(BK$114=0,"N.D.",BK121/BK$114)</f>
        <v>4.3171945532109544E-3</v>
      </c>
      <c r="BM121" s="314">
        <f ca="1">BG121-BI121</f>
        <v>0.16199999999999992</v>
      </c>
      <c r="BN121" s="472">
        <f ca="1">IF(BI121=0,"N.D.",BG121/BI121-1)</f>
        <v>5.7082452431289621E-2</v>
      </c>
      <c r="BO121" s="314">
        <f ca="1">BG121-BK121</f>
        <v>0.16178999999999988</v>
      </c>
      <c r="BP121" s="472">
        <f ca="1">IF(BK121=0,"N.D.",BG121/BK121-1)</f>
        <v>5.7004238586996658E-2</v>
      </c>
      <c r="BQ121" s="353"/>
    </row>
    <row r="122" spans="1:69" ht="12.5" customHeight="1" x14ac:dyDescent="0.3">
      <c r="A122" s="238"/>
      <c r="B122" t="s">
        <v>44</v>
      </c>
      <c r="C122" s="381">
        <f>C119+C120+C121</f>
        <v>395.77467000000007</v>
      </c>
      <c r="D122" s="415">
        <f>IF(C$114=0,"N.D.",C122/C$114)</f>
        <v>0.64116657859377146</v>
      </c>
      <c r="E122" s="381">
        <f>E119+E120+E121</f>
        <v>433.60100000000006</v>
      </c>
      <c r="F122" s="402">
        <f>IF(E$114=0,"N.D.",E122/E$114)</f>
        <v>0.62644710247211999</v>
      </c>
      <c r="G122" s="381">
        <f>G119+G120+G121</f>
        <v>426.38305000000003</v>
      </c>
      <c r="H122" s="402">
        <f>IF(G$114=0,"N.D.",G122/G$114)</f>
        <v>0.6485702541536652</v>
      </c>
      <c r="I122" s="381">
        <f>C122-E122</f>
        <v>-37.826329999999984</v>
      </c>
      <c r="J122" s="402">
        <f>IF(E122=0,"N.D.",C122/E122-1)</f>
        <v>-8.723764474712925E-2</v>
      </c>
      <c r="K122" s="381">
        <f>C122-G122</f>
        <v>-30.608379999999954</v>
      </c>
      <c r="L122" s="402">
        <f>IF(G122=0,"N.D.",C122/G122-1)</f>
        <v>-7.1786108758310041E-2</v>
      </c>
      <c r="M122" s="175"/>
      <c r="AD122" t="s">
        <v>44</v>
      </c>
      <c r="AE122" s="381">
        <f>AE119+AE120+AE121</f>
        <v>2407.6187200000004</v>
      </c>
      <c r="AF122" s="402">
        <f>IF(AE$114=0,"N.D.",AE122/AE$114)</f>
        <v>0.65389548853046753</v>
      </c>
      <c r="AG122" s="381">
        <f>AG119+AG120+AG121</f>
        <v>2555.4109999999996</v>
      </c>
      <c r="AH122" s="402">
        <f>IF(AG$114=0,"N.D.",AG122/AG$114)</f>
        <v>0.63448117470627363</v>
      </c>
      <c r="AI122" s="381">
        <f>AI119+AI120+AI121</f>
        <v>2464.1679199999999</v>
      </c>
      <c r="AJ122" s="402">
        <f>IF(AI$114=0,"N.D.",AI122/AI$114)</f>
        <v>0.64464382573847667</v>
      </c>
      <c r="AK122" s="381">
        <f>AE122-AG122</f>
        <v>-147.79227999999921</v>
      </c>
      <c r="AL122" s="402">
        <f>IF(AG122=0,"N.D.",AE122/AG122-1)</f>
        <v>-5.7835033190355434E-2</v>
      </c>
      <c r="AM122" s="381">
        <f>AE122-AI122</f>
        <v>-56.549199999999473</v>
      </c>
      <c r="AN122" s="402">
        <f>IF(AI122=0,"N.D.",AE122/AI122-1)</f>
        <v>-2.2948598405582499E-2</v>
      </c>
      <c r="AO122" s="175"/>
      <c r="BF122" s="290" t="s">
        <v>44</v>
      </c>
      <c r="BG122" s="381">
        <f>BG119+BG120+BG121</f>
        <v>392.3493793675687</v>
      </c>
      <c r="BH122" s="402">
        <f>IF(BG$114=0,"N.D.",BG122/BG$114)</f>
        <v>0.64851137085548549</v>
      </c>
      <c r="BI122" s="381">
        <f ca="1">BI119+BI120+BI121</f>
        <v>426.77100000000002</v>
      </c>
      <c r="BJ122" s="402">
        <f ca="1">IF(BI$114=0,"N.D.",BI122/BI$114)</f>
        <v>0.62965542170452282</v>
      </c>
      <c r="BK122" s="381">
        <f ca="1">BK119+BK120+BK121</f>
        <v>426.38305000000003</v>
      </c>
      <c r="BL122" s="402">
        <f ca="1">IF(BK$114=0,"N.D.",BK122/BK$114)</f>
        <v>0.6485702541536652</v>
      </c>
      <c r="BM122" s="381">
        <f ca="1">BG122-BI122</f>
        <v>-34.421620632431313</v>
      </c>
      <c r="BN122" s="402">
        <f ca="1">IF(BI122=0,"N.D.",BG122/BI122-1)</f>
        <v>-8.065595045687568E-2</v>
      </c>
      <c r="BO122" s="381">
        <f ca="1">BG122-BK122</f>
        <v>-34.033670632431324</v>
      </c>
      <c r="BP122" s="402">
        <f ca="1">IF(BK122=0,"N.D.",BG122/BK122-1)</f>
        <v>-7.9819473669113572E-2</v>
      </c>
      <c r="BQ122" s="354"/>
    </row>
    <row r="123" spans="1:69" ht="12.5" customHeight="1" x14ac:dyDescent="0.3">
      <c r="A123" s="238"/>
      <c r="B123" t="s">
        <v>45</v>
      </c>
      <c r="C123" s="381">
        <f>C117-C122</f>
        <v>22.164439999999956</v>
      </c>
      <c r="D123" s="415">
        <f>IF(C$114=0,"N.D.",C123/C$114)</f>
        <v>3.5907043169910044E-2</v>
      </c>
      <c r="E123" s="381">
        <f>E117-E122</f>
        <v>13.533999999999935</v>
      </c>
      <c r="F123" s="402">
        <f>IF(E$114=0,"N.D.",E123/E$114)</f>
        <v>1.9553310727737319E-2</v>
      </c>
      <c r="G123" s="381">
        <f>G117-G122</f>
        <v>-0.7377800000000434</v>
      </c>
      <c r="H123" s="402">
        <f>IF(G$114=0,"N.D.",G123/G$114)</f>
        <v>-1.1222354221386596E-3</v>
      </c>
      <c r="I123" s="381">
        <f>C123-E123</f>
        <v>8.6304400000000214</v>
      </c>
      <c r="J123" s="402">
        <f>IF(E123=0,"N.D.",C123/E123-1)</f>
        <v>0.63768582828432563</v>
      </c>
      <c r="K123" s="381">
        <f>C123-G123</f>
        <v>22.90222</v>
      </c>
      <c r="L123" s="402">
        <f>IF(G123=0,"N.D.",C123/G123-1)</f>
        <v>-31.04207216243142</v>
      </c>
      <c r="M123" s="175"/>
      <c r="AD123" t="s">
        <v>45</v>
      </c>
      <c r="AE123" s="381">
        <f>AE117-AE122</f>
        <v>27.184049999999388</v>
      </c>
      <c r="AF123" s="402">
        <f>IF(AE$114=0,"N.D.",AE123/AE$114)</f>
        <v>7.3830326651498418E-3</v>
      </c>
      <c r="AG123" s="381">
        <f>AG117-AG122</f>
        <v>46.393000000000484</v>
      </c>
      <c r="AH123" s="402">
        <f>IF(AG$114=0,"N.D.",AG123/AG$114)</f>
        <v>1.1518884883155183E-2</v>
      </c>
      <c r="AI123" s="381">
        <f>AI117-AI122</f>
        <v>3.5827399999998306</v>
      </c>
      <c r="AJ123" s="402">
        <f>IF(AI$114=0,"N.D.",AI123/AI$114)</f>
        <v>9.372702247605598E-4</v>
      </c>
      <c r="AK123" s="381">
        <f>AE123-AG123</f>
        <v>-19.208950000001096</v>
      </c>
      <c r="AL123" s="402">
        <f>IF(AG123=0,"N.D.",AE123/AG123-1)</f>
        <v>-0.41404845558599135</v>
      </c>
      <c r="AM123" s="381">
        <f>AE123-AI123</f>
        <v>23.601309999999557</v>
      </c>
      <c r="AN123" s="402">
        <f>IF(AI123=0,"N.D.",AE123/AI123-1)</f>
        <v>6.587502860939022</v>
      </c>
      <c r="AO123" s="175"/>
      <c r="BF123" s="290" t="s">
        <v>45</v>
      </c>
      <c r="BG123" s="381">
        <f>BG117-BG122</f>
        <v>17.280161799458654</v>
      </c>
      <c r="BH123" s="402">
        <f>IF(BG$114=0,"N.D.",BG123/BG$114)</f>
        <v>2.8562250908196123E-2</v>
      </c>
      <c r="BI123" s="381">
        <f ca="1">BI117-BI122</f>
        <v>11.077999999999918</v>
      </c>
      <c r="BJ123" s="402">
        <f ca="1">IF(BI$114=0,"N.D.",BI123/BI$114)</f>
        <v>1.6344416002124447E-2</v>
      </c>
      <c r="BK123" s="381">
        <f ca="1">BK117-BK122</f>
        <v>-0.7377800000000434</v>
      </c>
      <c r="BL123" s="402">
        <f ca="1">IF(BK$114=0,"N.D.",BK123/BK$114)</f>
        <v>-1.1222354221386596E-3</v>
      </c>
      <c r="BM123" s="381">
        <f ca="1">BG123-BI123</f>
        <v>6.2021617994587359</v>
      </c>
      <c r="BN123" s="402">
        <f ca="1">IF(BI123=0,"N.D.",BG123/BI123-1)</f>
        <v>0.55986295355287785</v>
      </c>
      <c r="BO123" s="381">
        <f ca="1">BG123-BK123</f>
        <v>18.017941799458697</v>
      </c>
      <c r="BP123" s="402">
        <f ca="1">IF(BK123=0,"N.D.",BG123/BK123-1)</f>
        <v>-24.421835505784429</v>
      </c>
      <c r="BQ123" s="354"/>
    </row>
    <row r="124" spans="1:69" ht="12.5" customHeight="1" x14ac:dyDescent="0.25">
      <c r="A124" s="238"/>
      <c r="C124" s="437"/>
      <c r="D124" s="487"/>
      <c r="E124" s="437"/>
      <c r="F124" s="473"/>
      <c r="G124" s="437"/>
      <c r="H124" s="473"/>
      <c r="I124" s="437"/>
      <c r="J124" s="473"/>
      <c r="K124" s="437"/>
      <c r="L124" s="473"/>
      <c r="M124" s="175"/>
      <c r="AE124" s="437"/>
      <c r="AF124" s="473"/>
      <c r="AG124" s="437"/>
      <c r="AH124" s="473"/>
      <c r="AI124" s="437"/>
      <c r="AJ124" s="473"/>
      <c r="AK124" s="437"/>
      <c r="AL124" s="473"/>
      <c r="AM124" s="437"/>
      <c r="AN124" s="473"/>
      <c r="AO124" s="175"/>
      <c r="BG124" s="437"/>
      <c r="BH124" s="473"/>
      <c r="BI124" s="437"/>
      <c r="BJ124" s="473"/>
      <c r="BK124" s="437"/>
      <c r="BL124" s="473"/>
      <c r="BM124" s="437"/>
      <c r="BN124" s="473"/>
      <c r="BO124" s="437"/>
      <c r="BP124" s="473"/>
      <c r="BQ124" s="352"/>
    </row>
    <row r="125" spans="1:69" ht="12.5" hidden="1" customHeight="1" x14ac:dyDescent="0.25">
      <c r="A125" s="238"/>
      <c r="C125" s="418">
        <v>0</v>
      </c>
      <c r="D125" s="417">
        <f t="shared" ref="D125:D131" si="142">IF(C$114=0,"N.D.",C125/C$114)</f>
        <v>0</v>
      </c>
      <c r="E125" s="418">
        <v>0</v>
      </c>
      <c r="F125" s="471">
        <f t="shared" ref="F125:F131" si="143">IF(E$114=0,"N.D.",E125/E$114)</f>
        <v>0</v>
      </c>
      <c r="G125" s="418">
        <v>0</v>
      </c>
      <c r="H125" s="471">
        <f t="shared" ref="H125:H131" si="144">IF(G$114=0,"N.D.",G125/G$114)</f>
        <v>0</v>
      </c>
      <c r="I125" s="418">
        <f t="shared" ref="I125:I131" si="145">C125-E125</f>
        <v>0</v>
      </c>
      <c r="J125" s="471" t="str">
        <f t="shared" ref="J125:J131" si="146">IF(E125=0,"N.D.",C125/E125-1)</f>
        <v>N.D.</v>
      </c>
      <c r="K125" s="418">
        <f t="shared" ref="K125:K131" si="147">C125-G125</f>
        <v>0</v>
      </c>
      <c r="L125" s="471" t="str">
        <f t="shared" ref="L125:L131" si="148">IF(G125=0,"N.D.",C125/G125-1)</f>
        <v>N.D.</v>
      </c>
      <c r="M125" s="175"/>
      <c r="AE125" s="418">
        <v>0</v>
      </c>
      <c r="AF125" s="471">
        <f t="shared" ref="AF125:AF131" si="149">IF(AE$114=0,"N.D.",AE125/AE$114)</f>
        <v>0</v>
      </c>
      <c r="AG125" s="418">
        <v>0</v>
      </c>
      <c r="AH125" s="471">
        <f t="shared" ref="AH125:AH131" si="150">IF(AG$114=0,"N.D.",AG125/AG$114)</f>
        <v>0</v>
      </c>
      <c r="AI125" s="418">
        <v>0</v>
      </c>
      <c r="AJ125" s="471">
        <f t="shared" ref="AJ125:AJ131" si="151">IF(AI$114=0,"N.D.",AI125/AI$114)</f>
        <v>0</v>
      </c>
      <c r="AK125" s="418">
        <f t="shared" ref="AK125:AK131" si="152">AE125-AG125</f>
        <v>0</v>
      </c>
      <c r="AL125" s="471" t="str">
        <f t="shared" ref="AL125:AL131" si="153">IF(AG125=0,"N.D.",AE125/AG125-1)</f>
        <v>N.D.</v>
      </c>
      <c r="AM125" s="418">
        <f t="shared" ref="AM125:AM131" si="154">AE125-AI125</f>
        <v>0</v>
      </c>
      <c r="AN125" s="471" t="str">
        <f t="shared" ref="AN125:AN131" si="155">IF(AI125=0,"N.D.",AE125/AI125-1)</f>
        <v>N.D.</v>
      </c>
      <c r="AO125" s="175"/>
      <c r="BG125" s="418"/>
      <c r="BH125" s="471">
        <f t="shared" ref="BH125:BH131" si="156">IF(BG$114=0,"N.D.",BG125/BG$114)</f>
        <v>0</v>
      </c>
      <c r="BI125" s="418">
        <f ca="1">INDIRECT(ADDRESS(MATCH(B111,BDPP!$B:$B,0)+15,MATCH(TEXT(EDATE(MES_CIERRE,1),"MMMM"),BDPP!$1:$1,0),,,"BDPP"))/1000</f>
        <v>0</v>
      </c>
      <c r="BJ125" s="471">
        <f t="shared" ref="BJ125:BJ131" ca="1" si="157">IF(BI$114=0,"N.D.",BI125/BI$114)</f>
        <v>0</v>
      </c>
      <c r="BK125" s="418">
        <f ca="1">INDIRECT(ADDRESS(MATCH(B111,INDIRECT("'"&amp;IF(MONTH(MES_CIERRE)=10,"ER ACT","ER AA")&amp;"'!$B:$B"),0)+12,MATCH(TEXT(EDATE(MES_CIERRE,1),"MMMM"),'ER AA'!$1:$1,0),,,IF(MONTH(MES_CIERRE)=12,"ER ACT","ER AA")))</f>
        <v>0</v>
      </c>
      <c r="BL125" s="471">
        <f t="shared" ref="BL125:BL131" ca="1" si="158">IF(BK$114=0,"N.D.",BK125/BK$114)</f>
        <v>0</v>
      </c>
      <c r="BM125" s="418">
        <f t="shared" ref="BM125:BM131" ca="1" si="159">BG125-BI125</f>
        <v>0</v>
      </c>
      <c r="BN125" s="471" t="str">
        <f t="shared" ref="BN125:BN131" ca="1" si="160">IF(BI125=0,"N.D.",BG125/BI125-1)</f>
        <v>N.D.</v>
      </c>
      <c r="BO125" s="418">
        <f t="shared" ref="BO125:BO131" ca="1" si="161">BG125-BK125</f>
        <v>0</v>
      </c>
      <c r="BP125" s="471" t="str">
        <f t="shared" ref="BP125:BP131" ca="1" si="162">IF(BK125=0,"N.D.",BG125/BK125-1)</f>
        <v>N.D.</v>
      </c>
      <c r="BQ125" s="353"/>
    </row>
    <row r="126" spans="1:69" ht="12.5" customHeight="1" x14ac:dyDescent="0.25">
      <c r="A126" s="238"/>
      <c r="B126" t="s">
        <v>52</v>
      </c>
      <c r="C126" s="314">
        <f>BDER!D80/1000</f>
        <v>-2.7489400000000002</v>
      </c>
      <c r="D126" s="414">
        <f t="shared" si="142"/>
        <v>-4.4533634619910419E-3</v>
      </c>
      <c r="E126" s="314">
        <f>BDER!L80/1000</f>
        <v>-31.515000000000001</v>
      </c>
      <c r="F126" s="472">
        <f t="shared" si="143"/>
        <v>-4.5531445809416621E-2</v>
      </c>
      <c r="G126" s="314">
        <f>BDER!F80/1000</f>
        <v>-1.01728</v>
      </c>
      <c r="H126" s="472">
        <f t="shared" si="144"/>
        <v>-1.5473822145262118E-3</v>
      </c>
      <c r="I126" s="314">
        <f t="shared" si="145"/>
        <v>28.76606</v>
      </c>
      <c r="J126" s="472">
        <f t="shared" si="146"/>
        <v>-0.91277359987307627</v>
      </c>
      <c r="K126" s="314">
        <f t="shared" si="147"/>
        <v>-1.7316600000000002</v>
      </c>
      <c r="L126" s="472">
        <f t="shared" si="148"/>
        <v>1.7022452028939923</v>
      </c>
      <c r="M126" s="175"/>
      <c r="AD126" t="s">
        <v>52</v>
      </c>
      <c r="AE126" s="314">
        <f>BDER!E80/1000</f>
        <v>-18.278939999999999</v>
      </c>
      <c r="AF126" s="472">
        <f t="shared" si="149"/>
        <v>-4.9644556680964423E-3</v>
      </c>
      <c r="AG126" s="314">
        <f>BDER!M80/1000</f>
        <v>-39.090000000000003</v>
      </c>
      <c r="AH126" s="472">
        <f t="shared" si="150"/>
        <v>-9.7056282215534969E-3</v>
      </c>
      <c r="AI126" s="314">
        <f>BDER!I80/1000</f>
        <v>-8.4786800000000007</v>
      </c>
      <c r="AJ126" s="472">
        <f t="shared" si="151"/>
        <v>-2.2180828944531948E-3</v>
      </c>
      <c r="AK126" s="314">
        <f t="shared" si="152"/>
        <v>20.811060000000005</v>
      </c>
      <c r="AL126" s="472">
        <f t="shared" si="153"/>
        <v>-0.53238833461243296</v>
      </c>
      <c r="AM126" s="314">
        <f t="shared" si="154"/>
        <v>-9.800259999999998</v>
      </c>
      <c r="AN126" s="472">
        <f t="shared" si="155"/>
        <v>1.1558709610458227</v>
      </c>
      <c r="AO126" s="175"/>
      <c r="BF126" s="290" t="s">
        <v>52</v>
      </c>
      <c r="BG126" s="314">
        <v>-2</v>
      </c>
      <c r="BH126" s="472">
        <f t="shared" si="156"/>
        <v>-3.3057851239669421E-3</v>
      </c>
      <c r="BI126" s="314">
        <f ca="1">INDIRECT(ADDRESS(MATCH(B111,BDPP!$B:$B,0)+16,MATCH(TEXT(EDATE(MES_CIERRE,1),"MMMM"),BDPP!$1:$1,0),,,"BDPP"))/1000</f>
        <v>-1.5149999999999999</v>
      </c>
      <c r="BJ126" s="472">
        <f t="shared" ca="1" si="157"/>
        <v>-2.2352220836991082E-3</v>
      </c>
      <c r="BK126" s="314">
        <f ca="1">INDIRECT(ADDRESS(MATCH(B111,INDIRECT("'"&amp;IF(MONTH(MES_CIERRE)=10,"ER ACT","ER AA")&amp;"'!$B:$B"),0)+13,MATCH(TEXT(EDATE(MES_CIERRE,1),"MMMM"),'ER AA'!$1:$1,0),,,IF(MONTH(MES_CIERRE)=12,"ER ACT","ER AA")))</f>
        <v>-1.01728</v>
      </c>
      <c r="BL126" s="472">
        <f t="shared" ca="1" si="158"/>
        <v>-1.5473822145262118E-3</v>
      </c>
      <c r="BM126" s="314">
        <f t="shared" ca="1" si="159"/>
        <v>-0.4850000000000001</v>
      </c>
      <c r="BN126" s="472">
        <f t="shared" ca="1" si="160"/>
        <v>0.32013201320132012</v>
      </c>
      <c r="BO126" s="314">
        <f t="shared" ca="1" si="161"/>
        <v>-0.98272000000000004</v>
      </c>
      <c r="BP126" s="472">
        <f t="shared" ca="1" si="162"/>
        <v>0.96602705253224297</v>
      </c>
      <c r="BQ126" s="353"/>
    </row>
    <row r="127" spans="1:69" ht="12.5" customHeight="1" x14ac:dyDescent="0.25">
      <c r="A127" s="238"/>
      <c r="B127" t="s">
        <v>184</v>
      </c>
      <c r="C127" s="314">
        <f>BDER!D81/1000</f>
        <v>18.223929999999999</v>
      </c>
      <c r="D127" s="414">
        <f t="shared" si="142"/>
        <v>2.9523301343747917E-2</v>
      </c>
      <c r="E127" s="314">
        <f>BDER!L81/1000</f>
        <v>16.818999999999999</v>
      </c>
      <c r="F127" s="472">
        <f t="shared" si="143"/>
        <v>2.4299330067224439E-2</v>
      </c>
      <c r="G127" s="314">
        <f>BDER!F81/1000</f>
        <v>18.568919999999999</v>
      </c>
      <c r="H127" s="472">
        <f t="shared" si="144"/>
        <v>2.8245140522727336E-2</v>
      </c>
      <c r="I127" s="314">
        <f t="shared" si="145"/>
        <v>1.4049300000000002</v>
      </c>
      <c r="J127" s="472">
        <f t="shared" si="146"/>
        <v>8.353231464415245E-2</v>
      </c>
      <c r="K127" s="314">
        <f t="shared" si="147"/>
        <v>-0.34498999999999924</v>
      </c>
      <c r="L127" s="472">
        <f t="shared" si="148"/>
        <v>-1.8578894195246609E-2</v>
      </c>
      <c r="M127" s="175"/>
      <c r="AD127" t="s">
        <v>184</v>
      </c>
      <c r="AE127" s="314">
        <f>BDER!E81/1000</f>
        <v>116.52383</v>
      </c>
      <c r="AF127" s="472">
        <f t="shared" si="149"/>
        <v>3.1647206474325444E-2</v>
      </c>
      <c r="AG127" s="314">
        <f>BDER!M81/1000+21</f>
        <v>138.041</v>
      </c>
      <c r="AH127" s="472">
        <f t="shared" si="150"/>
        <v>3.4274101441071021E-2</v>
      </c>
      <c r="AI127" s="314">
        <f>BDER!I81/1000</f>
        <v>108.04176</v>
      </c>
      <c r="AJ127" s="472">
        <f t="shared" si="151"/>
        <v>2.8264491612210552E-2</v>
      </c>
      <c r="AK127" s="314">
        <f t="shared" si="152"/>
        <v>-21.517169999999993</v>
      </c>
      <c r="AL127" s="472">
        <f t="shared" si="153"/>
        <v>-0.15587521098803969</v>
      </c>
      <c r="AM127" s="314">
        <f t="shared" si="154"/>
        <v>8.4820700000000073</v>
      </c>
      <c r="AN127" s="472">
        <f t="shared" si="155"/>
        <v>7.8507329017964977E-2</v>
      </c>
      <c r="AO127" s="175"/>
      <c r="BF127" s="290" t="s">
        <v>184</v>
      </c>
      <c r="BG127" s="314">
        <v>0</v>
      </c>
      <c r="BH127" s="472">
        <f t="shared" si="156"/>
        <v>0</v>
      </c>
      <c r="BI127" s="314">
        <f ca="1">INDIRECT(ADDRESS(MATCH(B111,BDPP!$B:$B,0)+17,MATCH(TEXT(EDATE(MES_CIERRE,1),"MMMM"),BDPP!$1:$1,0),,,"BDPP"))/1000</f>
        <v>19.742999999999999</v>
      </c>
      <c r="BJ127" s="472">
        <f t="shared" ca="1" si="157"/>
        <v>2.9128706005591743E-2</v>
      </c>
      <c r="BK127" s="314">
        <f ca="1">INDIRECT(ADDRESS(MATCH(B111,INDIRECT("'"&amp;IF(MONTH(MES_CIERRE)=10,"ER ACT","ER AA")&amp;"'!$B:$B"),0)+14,MATCH(TEXT(EDATE(MES_CIERRE,1),"MMMM"),'ER AA'!$1:$1,0),,,IF(MONTH(MES_CIERRE)=12,"ER ACT","ER AA")))</f>
        <v>18.568919999999999</v>
      </c>
      <c r="BL127" s="472">
        <f t="shared" ca="1" si="158"/>
        <v>2.8245140522727336E-2</v>
      </c>
      <c r="BM127" s="314">
        <f t="shared" ca="1" si="159"/>
        <v>-19.742999999999999</v>
      </c>
      <c r="BN127" s="472">
        <f t="shared" ca="1" si="160"/>
        <v>-1</v>
      </c>
      <c r="BO127" s="314">
        <f t="shared" ca="1" si="161"/>
        <v>-18.568919999999999</v>
      </c>
      <c r="BP127" s="472">
        <f t="shared" ca="1" si="162"/>
        <v>-1</v>
      </c>
      <c r="BQ127" s="353"/>
    </row>
    <row r="128" spans="1:69" ht="12.5" customHeight="1" x14ac:dyDescent="0.25">
      <c r="A128" s="238"/>
      <c r="B128" t="s">
        <v>47</v>
      </c>
      <c r="C128" s="314">
        <v>-30</v>
      </c>
      <c r="D128" s="414">
        <f t="shared" si="142"/>
        <v>-4.860088028830431E-2</v>
      </c>
      <c r="E128" s="314">
        <f>BDER!L82/1000</f>
        <v>0</v>
      </c>
      <c r="F128" s="472">
        <f t="shared" si="143"/>
        <v>0</v>
      </c>
      <c r="G128" s="314">
        <f>BDER!F82/1000</f>
        <v>0</v>
      </c>
      <c r="H128" s="472">
        <f t="shared" si="144"/>
        <v>0</v>
      </c>
      <c r="I128" s="314">
        <f t="shared" si="145"/>
        <v>-30</v>
      </c>
      <c r="J128" s="472" t="str">
        <f t="shared" si="146"/>
        <v>N.D.</v>
      </c>
      <c r="K128" s="314">
        <f t="shared" si="147"/>
        <v>-30</v>
      </c>
      <c r="L128" s="472" t="str">
        <f t="shared" si="148"/>
        <v>N.D.</v>
      </c>
      <c r="M128" s="175"/>
      <c r="AD128" t="s">
        <v>47</v>
      </c>
      <c r="AE128" s="314">
        <f>BDER!E82/1000</f>
        <v>0</v>
      </c>
      <c r="AF128" s="472">
        <f t="shared" si="149"/>
        <v>0</v>
      </c>
      <c r="AG128" s="314">
        <f>BDER!M82/1000</f>
        <v>0</v>
      </c>
      <c r="AH128" s="472">
        <f t="shared" si="150"/>
        <v>0</v>
      </c>
      <c r="AI128" s="314">
        <f>BDER!I82/1000</f>
        <v>0</v>
      </c>
      <c r="AJ128" s="472">
        <f t="shared" si="151"/>
        <v>0</v>
      </c>
      <c r="AK128" s="314">
        <f t="shared" si="152"/>
        <v>0</v>
      </c>
      <c r="AL128" s="472" t="str">
        <f t="shared" si="153"/>
        <v>N.D.</v>
      </c>
      <c r="AM128" s="314">
        <f t="shared" si="154"/>
        <v>0</v>
      </c>
      <c r="AN128" s="472" t="str">
        <f t="shared" si="155"/>
        <v>N.D.</v>
      </c>
      <c r="AO128" s="175"/>
      <c r="BF128" s="290" t="s">
        <v>47</v>
      </c>
      <c r="BG128" s="314">
        <v>0</v>
      </c>
      <c r="BH128" s="472">
        <f t="shared" si="156"/>
        <v>0</v>
      </c>
      <c r="BI128" s="314">
        <f ca="1">INDIRECT(ADDRESS(MATCH(B111,BDPP!$B:$B,0)+18,MATCH(TEXT(EDATE(MES_CIERRE,1),"MMMM"),BDPP!$1:$1,0),,,"BDPP"))/1000</f>
        <v>0</v>
      </c>
      <c r="BJ128" s="472">
        <f t="shared" ca="1" si="157"/>
        <v>0</v>
      </c>
      <c r="BK128" s="314">
        <f ca="1">INDIRECT(ADDRESS(MATCH(B111,INDIRECT("'"&amp;IF(MONTH(MES_CIERRE)=10,"ER ACT","ER AA")&amp;"'!$B:$B"),0)+15,MATCH(TEXT(EDATE(MES_CIERRE,1),"MMMM"),'ER AA'!$1:$1,0),,,IF(MONTH(MES_CIERRE)=12,"ER ACT","ER AA")))</f>
        <v>0</v>
      </c>
      <c r="BL128" s="472">
        <f t="shared" ca="1" si="158"/>
        <v>0</v>
      </c>
      <c r="BM128" s="314">
        <f t="shared" ca="1" si="159"/>
        <v>0</v>
      </c>
      <c r="BN128" s="472" t="str">
        <f t="shared" ca="1" si="160"/>
        <v>N.D.</v>
      </c>
      <c r="BO128" s="314">
        <f t="shared" ca="1" si="161"/>
        <v>0</v>
      </c>
      <c r="BP128" s="472" t="str">
        <f t="shared" ca="1" si="162"/>
        <v>N.D.</v>
      </c>
      <c r="BQ128" s="353"/>
    </row>
    <row r="129" spans="1:69" ht="12.5" hidden="1" customHeight="1" x14ac:dyDescent="0.25">
      <c r="A129" s="238"/>
      <c r="C129" s="314"/>
      <c r="D129" s="414">
        <f t="shared" si="142"/>
        <v>0</v>
      </c>
      <c r="E129" s="314"/>
      <c r="F129" s="472">
        <f t="shared" si="143"/>
        <v>0</v>
      </c>
      <c r="G129" s="314"/>
      <c r="H129" s="472">
        <f t="shared" si="144"/>
        <v>0</v>
      </c>
      <c r="I129" s="314">
        <f t="shared" si="145"/>
        <v>0</v>
      </c>
      <c r="J129" s="472" t="str">
        <f t="shared" si="146"/>
        <v>N.D.</v>
      </c>
      <c r="K129" s="314">
        <f t="shared" si="147"/>
        <v>0</v>
      </c>
      <c r="L129" s="472" t="str">
        <f t="shared" si="148"/>
        <v>N.D.</v>
      </c>
      <c r="M129" s="175"/>
      <c r="AE129" s="314"/>
      <c r="AF129" s="472">
        <f t="shared" si="149"/>
        <v>0</v>
      </c>
      <c r="AG129" s="314"/>
      <c r="AH129" s="472">
        <f t="shared" si="150"/>
        <v>0</v>
      </c>
      <c r="AI129" s="314"/>
      <c r="AJ129" s="472">
        <f t="shared" si="151"/>
        <v>0</v>
      </c>
      <c r="AK129" s="314">
        <f t="shared" si="152"/>
        <v>0</v>
      </c>
      <c r="AL129" s="472" t="str">
        <f t="shared" si="153"/>
        <v>N.D.</v>
      </c>
      <c r="AM129" s="314">
        <f t="shared" si="154"/>
        <v>0</v>
      </c>
      <c r="AN129" s="472" t="str">
        <f t="shared" si="155"/>
        <v>N.D.</v>
      </c>
      <c r="AO129" s="175"/>
      <c r="BG129" s="314"/>
      <c r="BH129" s="472">
        <f t="shared" si="156"/>
        <v>0</v>
      </c>
      <c r="BI129" s="314"/>
      <c r="BJ129" s="472">
        <f t="shared" ca="1" si="157"/>
        <v>0</v>
      </c>
      <c r="BK129" s="314"/>
      <c r="BL129" s="472">
        <f t="shared" ca="1" si="158"/>
        <v>0</v>
      </c>
      <c r="BM129" s="314">
        <f t="shared" si="159"/>
        <v>0</v>
      </c>
      <c r="BN129" s="472" t="str">
        <f t="shared" si="160"/>
        <v>N.D.</v>
      </c>
      <c r="BO129" s="314">
        <f t="shared" si="161"/>
        <v>0</v>
      </c>
      <c r="BP129" s="472" t="str">
        <f t="shared" si="162"/>
        <v>N.D.</v>
      </c>
      <c r="BQ129" s="353"/>
    </row>
    <row r="130" spans="1:69" ht="12.5" customHeight="1" x14ac:dyDescent="0.3">
      <c r="A130" s="238"/>
      <c r="B130" t="s">
        <v>48</v>
      </c>
      <c r="C130" s="381">
        <f>+C126+C127</f>
        <v>15.474989999999998</v>
      </c>
      <c r="D130" s="415">
        <f t="shared" si="142"/>
        <v>2.5069937881756873E-2</v>
      </c>
      <c r="E130" s="381">
        <f>+E126+E127</f>
        <v>-14.696000000000002</v>
      </c>
      <c r="F130" s="402">
        <f t="shared" si="143"/>
        <v>-2.1232115742192186E-2</v>
      </c>
      <c r="G130" s="381">
        <f>+G126+G127</f>
        <v>17.551639999999999</v>
      </c>
      <c r="H130" s="402">
        <f t="shared" si="144"/>
        <v>2.6697758308201123E-2</v>
      </c>
      <c r="I130" s="381">
        <f t="shared" si="145"/>
        <v>30.17099</v>
      </c>
      <c r="J130" s="402">
        <f t="shared" si="146"/>
        <v>-2.053006940664126</v>
      </c>
      <c r="K130" s="381">
        <f t="shared" si="147"/>
        <v>-2.0766500000000008</v>
      </c>
      <c r="L130" s="402">
        <f t="shared" si="148"/>
        <v>-0.11831657896356129</v>
      </c>
      <c r="M130" s="175"/>
      <c r="AD130" t="s">
        <v>48</v>
      </c>
      <c r="AE130" s="381">
        <f>+AE126+AE127</f>
        <v>98.244889999999998</v>
      </c>
      <c r="AF130" s="402">
        <f t="shared" si="149"/>
        <v>2.6682750806228998E-2</v>
      </c>
      <c r="AG130" s="381">
        <f>+AG126+AG127</f>
        <v>98.950999999999993</v>
      </c>
      <c r="AH130" s="402">
        <f t="shared" si="150"/>
        <v>2.4568473219517523E-2</v>
      </c>
      <c r="AI130" s="381">
        <f>+AI126+AI127</f>
        <v>99.563079999999999</v>
      </c>
      <c r="AJ130" s="402">
        <f t="shared" si="151"/>
        <v>2.6046408717757361E-2</v>
      </c>
      <c r="AK130" s="381">
        <f t="shared" si="152"/>
        <v>-0.70610999999999535</v>
      </c>
      <c r="AL130" s="402">
        <f t="shared" si="153"/>
        <v>-7.1359561803315819E-3</v>
      </c>
      <c r="AM130" s="381">
        <f t="shared" si="154"/>
        <v>-1.3181900000000013</v>
      </c>
      <c r="AN130" s="402">
        <f t="shared" si="155"/>
        <v>-1.3239747103042654E-2</v>
      </c>
      <c r="AO130" s="175"/>
      <c r="BF130" s="290" t="s">
        <v>48</v>
      </c>
      <c r="BG130" s="381">
        <f>+BG126+BG127</f>
        <v>-2</v>
      </c>
      <c r="BH130" s="402">
        <f t="shared" si="156"/>
        <v>-3.3057851239669421E-3</v>
      </c>
      <c r="BI130" s="381">
        <f ca="1">+BI126+BI127</f>
        <v>18.227999999999998</v>
      </c>
      <c r="BJ130" s="402">
        <f t="shared" ca="1" si="157"/>
        <v>2.6893483921892634E-2</v>
      </c>
      <c r="BK130" s="381">
        <f ca="1">+BK126+BK127</f>
        <v>17.551639999999999</v>
      </c>
      <c r="BL130" s="402">
        <f t="shared" ca="1" si="158"/>
        <v>2.6697758308201123E-2</v>
      </c>
      <c r="BM130" s="381">
        <f t="shared" ca="1" si="159"/>
        <v>-20.227999999999998</v>
      </c>
      <c r="BN130" s="402">
        <f t="shared" ca="1" si="160"/>
        <v>-1.1097213078779899</v>
      </c>
      <c r="BO130" s="381">
        <f t="shared" ca="1" si="161"/>
        <v>-19.551639999999999</v>
      </c>
      <c r="BP130" s="402">
        <f t="shared" ca="1" si="162"/>
        <v>-1.1139494656909554</v>
      </c>
      <c r="BQ130" s="354"/>
    </row>
    <row r="131" spans="1:69" ht="12.5" customHeight="1" x14ac:dyDescent="0.3">
      <c r="A131" s="238"/>
      <c r="B131" t="s">
        <v>49</v>
      </c>
      <c r="C131" s="381">
        <f>C123-C130</f>
        <v>6.6894499999999582</v>
      </c>
      <c r="D131" s="415">
        <f t="shared" si="142"/>
        <v>1.0837105288153175E-2</v>
      </c>
      <c r="E131" s="381">
        <f>E123-E130</f>
        <v>28.229999999999936</v>
      </c>
      <c r="F131" s="402">
        <f t="shared" si="143"/>
        <v>4.0785426469929505E-2</v>
      </c>
      <c r="G131" s="381">
        <f>G123-G130</f>
        <v>-18.289420000000042</v>
      </c>
      <c r="H131" s="402">
        <f t="shared" si="144"/>
        <v>-2.7819993730339783E-2</v>
      </c>
      <c r="I131" s="381">
        <f t="shared" si="145"/>
        <v>-21.540549999999978</v>
      </c>
      <c r="J131" s="402">
        <f t="shared" si="146"/>
        <v>-0.76303754870705021</v>
      </c>
      <c r="K131" s="381">
        <f t="shared" si="147"/>
        <v>24.978870000000001</v>
      </c>
      <c r="L131" s="402">
        <f t="shared" si="148"/>
        <v>-1.3657551743029546</v>
      </c>
      <c r="M131" s="175"/>
      <c r="AD131" t="s">
        <v>49</v>
      </c>
      <c r="AE131" s="381">
        <f>AE123-AE130</f>
        <v>-71.06084000000061</v>
      </c>
      <c r="AF131" s="402">
        <f t="shared" si="149"/>
        <v>-1.9299718141079156E-2</v>
      </c>
      <c r="AG131" s="381">
        <f>AG123-AG130</f>
        <v>-52.55799999999951</v>
      </c>
      <c r="AH131" s="402">
        <f t="shared" si="150"/>
        <v>-1.3049588336362342E-2</v>
      </c>
      <c r="AI131" s="381">
        <f>AI123-AI130</f>
        <v>-95.980340000000169</v>
      </c>
      <c r="AJ131" s="402">
        <f t="shared" si="151"/>
        <v>-2.5109138492996799E-2</v>
      </c>
      <c r="AK131" s="381">
        <f t="shared" si="152"/>
        <v>-18.5028400000011</v>
      </c>
      <c r="AL131" s="402">
        <f t="shared" si="153"/>
        <v>0.35204612047645023</v>
      </c>
      <c r="AM131" s="381">
        <f t="shared" si="154"/>
        <v>24.919499999999559</v>
      </c>
      <c r="AN131" s="402">
        <f t="shared" si="155"/>
        <v>-0.25963129532568352</v>
      </c>
      <c r="AO131" s="175"/>
      <c r="BF131" s="290" t="s">
        <v>49</v>
      </c>
      <c r="BG131" s="381">
        <f>BG123-BG130</f>
        <v>19.280161799458654</v>
      </c>
      <c r="BH131" s="402">
        <f t="shared" si="156"/>
        <v>3.1868036032163066E-2</v>
      </c>
      <c r="BI131" s="381">
        <f ca="1">BI123-BI130</f>
        <v>-7.1500000000000803</v>
      </c>
      <c r="BJ131" s="402">
        <f t="shared" ca="1" si="157"/>
        <v>-1.0549067919768187E-2</v>
      </c>
      <c r="BK131" s="381">
        <f ca="1">BK123-BK130</f>
        <v>-18.289420000000042</v>
      </c>
      <c r="BL131" s="402">
        <f t="shared" ca="1" si="158"/>
        <v>-2.7819993730339783E-2</v>
      </c>
      <c r="BM131" s="381">
        <f t="shared" ca="1" si="159"/>
        <v>26.430161799458734</v>
      </c>
      <c r="BN131" s="402">
        <f t="shared" ca="1" si="160"/>
        <v>-3.6965261257983828</v>
      </c>
      <c r="BO131" s="381">
        <f t="shared" ca="1" si="161"/>
        <v>37.569581799458696</v>
      </c>
      <c r="BP131" s="402">
        <f t="shared" ca="1" si="162"/>
        <v>-2.0541702142254161</v>
      </c>
      <c r="BQ131" s="354"/>
    </row>
    <row r="132" spans="1:69" ht="12.5" customHeight="1" x14ac:dyDescent="0.25">
      <c r="A132" s="238"/>
      <c r="C132" s="419"/>
      <c r="D132" s="416"/>
      <c r="E132" s="419"/>
      <c r="F132" s="352"/>
      <c r="G132" s="419"/>
      <c r="H132" s="352"/>
      <c r="I132" s="419"/>
      <c r="J132" s="352"/>
      <c r="K132" s="419"/>
      <c r="L132" s="352"/>
      <c r="M132" s="175"/>
      <c r="AE132" s="419"/>
      <c r="AF132" s="352"/>
      <c r="AG132" s="419"/>
      <c r="AH132" s="352"/>
      <c r="AI132" s="419"/>
      <c r="AJ132" s="352"/>
      <c r="AK132" s="419"/>
      <c r="AL132" s="352"/>
      <c r="AM132" s="419"/>
      <c r="AN132" s="352"/>
      <c r="AO132" s="175"/>
      <c r="BG132" s="419"/>
      <c r="BH132" s="352"/>
      <c r="BI132" s="419"/>
      <c r="BJ132" s="352"/>
      <c r="BK132" s="419"/>
      <c r="BL132" s="352"/>
      <c r="BM132" s="419"/>
      <c r="BN132" s="352"/>
      <c r="BO132" s="419"/>
      <c r="BP132" s="352"/>
      <c r="BQ132" s="352"/>
    </row>
    <row r="133" spans="1:69" ht="12.5" customHeight="1" x14ac:dyDescent="0.25">
      <c r="A133" s="238"/>
      <c r="B133" t="s">
        <v>50</v>
      </c>
      <c r="C133" s="418">
        <f>BDER!D86/1000</f>
        <v>0</v>
      </c>
      <c r="D133" s="417">
        <f>IF(C$114=0,"N.D.",C133/C$114)</f>
        <v>0</v>
      </c>
      <c r="E133" s="418">
        <f>BDER!L86/1000</f>
        <v>0</v>
      </c>
      <c r="F133" s="471">
        <f>IF(E$114=0,"N.D.",E133/E$114)</f>
        <v>0</v>
      </c>
      <c r="G133" s="418">
        <f>BDER!F86/1000</f>
        <v>0</v>
      </c>
      <c r="H133" s="471">
        <f>IF(G$114=0,"N.D.",G133/G$114)</f>
        <v>0</v>
      </c>
      <c r="I133" s="418">
        <f t="shared" ref="I133:I141" si="163">C133-E133</f>
        <v>0</v>
      </c>
      <c r="J133" s="471" t="str">
        <f t="shared" ref="J133:J141" si="164">IF(E133=0,"N.D.",C133/E133-1)</f>
        <v>N.D.</v>
      </c>
      <c r="K133" s="418">
        <f t="shared" ref="K133:K141" si="165">C133-G133</f>
        <v>0</v>
      </c>
      <c r="L133" s="471" t="str">
        <f t="shared" ref="L133:L141" si="166">IF(G133=0,"N.D.",C133/G133-1)</f>
        <v>N.D.</v>
      </c>
      <c r="M133" s="175"/>
      <c r="AD133" t="s">
        <v>50</v>
      </c>
      <c r="AE133" s="418">
        <f>BDER!E86/1000</f>
        <v>0</v>
      </c>
      <c r="AF133" s="471">
        <f>IF(AE$114=0,"N.D.",AE133/AE$114)</f>
        <v>0</v>
      </c>
      <c r="AG133" s="418">
        <f>BDER!M86/1000</f>
        <v>0</v>
      </c>
      <c r="AH133" s="471">
        <f>IF(AG$114=0,"N.D.",AG133/AG$114)</f>
        <v>0</v>
      </c>
      <c r="AI133" s="418">
        <f>BDER!I86/1000</f>
        <v>0</v>
      </c>
      <c r="AJ133" s="471">
        <f>IF(AI$114=0,"N.D.",AI133/AI$114)</f>
        <v>0</v>
      </c>
      <c r="AK133" s="418">
        <f t="shared" ref="AK133:AK141" si="167">AE133-AG133</f>
        <v>0</v>
      </c>
      <c r="AL133" s="471" t="str">
        <f t="shared" ref="AL133:AL141" si="168">IF(AG133=0,"N.D.",AE133/AG133-1)</f>
        <v>N.D.</v>
      </c>
      <c r="AM133" s="418">
        <f t="shared" ref="AM133:AM141" si="169">AE133-AI133</f>
        <v>0</v>
      </c>
      <c r="AN133" s="471" t="str">
        <f t="shared" ref="AN133:AN141" si="170">IF(AI133=0,"N.D.",AE133/AI133-1)</f>
        <v>N.D.</v>
      </c>
      <c r="AO133" s="175"/>
      <c r="BF133" s="290" t="s">
        <v>50</v>
      </c>
      <c r="BG133" s="418"/>
      <c r="BH133" s="471">
        <f>IF(BG$114=0,"N.D.",BG133/BG$114)</f>
        <v>0</v>
      </c>
      <c r="BI133" s="418">
        <f ca="1">INDIRECT(ADDRESS(MATCH(B111,BDPP!$B:$B,0)+22,MATCH(TEXT(EDATE(MES_CIERRE,1),"MMMM"),BDPP!$1:$1,0),,,"BDPP"))/1000</f>
        <v>0</v>
      </c>
      <c r="BJ133" s="471">
        <f ca="1">IF(BI$114=0,"N.D.",BI133/BI$114)</f>
        <v>0</v>
      </c>
      <c r="BK133" s="418">
        <f ca="1">INDIRECT(ADDRESS(MATCH(B111,INDIRECT("'"&amp;IF(MONTH(MES_CIERRE)=10,"ER ACT","ER AA")&amp;"'!$B:$B"),0)+20,MATCH(TEXT(EDATE(MES_CIERRE,1),"MMMM"),'ER AA'!$1:$1,0),,,IF(MONTH(MES_CIERRE)=12,"ER ACT","ER AA")))</f>
        <v>0</v>
      </c>
      <c r="BL133" s="471">
        <f ca="1">IF(BK$114=0,"N.D.",BK133/BK$114)</f>
        <v>0</v>
      </c>
      <c r="BM133" s="418">
        <f t="shared" ref="BM133:BM141" ca="1" si="171">BG133-BI133</f>
        <v>0</v>
      </c>
      <c r="BN133" s="471" t="str">
        <f t="shared" ref="BN133:BN141" ca="1" si="172">IF(BI133=0,"N.D.",BG133/BI133-1)</f>
        <v>N.D.</v>
      </c>
      <c r="BO133" s="418">
        <f t="shared" ref="BO133:BO141" ca="1" si="173">BG133-BK133</f>
        <v>0</v>
      </c>
      <c r="BP133" s="471" t="str">
        <f t="shared" ref="BP133:BP141" ca="1" si="174">IF(BK133=0,"N.D.",BG133/BK133-1)</f>
        <v>N.D.</v>
      </c>
      <c r="BQ133" s="353"/>
    </row>
    <row r="134" spans="1:69" ht="12.5" customHeight="1" x14ac:dyDescent="0.25">
      <c r="A134" s="238"/>
      <c r="B134" t="s">
        <v>51</v>
      </c>
      <c r="C134" s="314">
        <f>BDER!D87/1000</f>
        <v>0</v>
      </c>
      <c r="D134" s="414">
        <f>IF(C$114=0,"N.D.",C134/C$114)</f>
        <v>0</v>
      </c>
      <c r="E134" s="314">
        <f>BDER!L87/1000</f>
        <v>0</v>
      </c>
      <c r="F134" s="472">
        <f>IF(E$114=0,"N.D.",E134/E$114)</f>
        <v>0</v>
      </c>
      <c r="G134" s="314">
        <f>BDER!F87/1000</f>
        <v>0</v>
      </c>
      <c r="H134" s="472">
        <f>IF(G$114=0,"N.D.",G134/G$114)</f>
        <v>0</v>
      </c>
      <c r="I134" s="314">
        <f t="shared" si="163"/>
        <v>0</v>
      </c>
      <c r="J134" s="472" t="str">
        <f t="shared" si="164"/>
        <v>N.D.</v>
      </c>
      <c r="K134" s="314">
        <f t="shared" si="165"/>
        <v>0</v>
      </c>
      <c r="L134" s="472" t="str">
        <f t="shared" si="166"/>
        <v>N.D.</v>
      </c>
      <c r="M134" s="175"/>
      <c r="AD134" t="s">
        <v>51</v>
      </c>
      <c r="AE134" s="314">
        <f>BDER!E87/1000</f>
        <v>0</v>
      </c>
      <c r="AF134" s="472">
        <f>IF(AE$114=0,"N.D.",AE134/AE$114)</f>
        <v>0</v>
      </c>
      <c r="AG134" s="314">
        <f>BDER!M87/1000</f>
        <v>0</v>
      </c>
      <c r="AH134" s="472">
        <f>IF(AG$114=0,"N.D.",AG134/AG$114)</f>
        <v>0</v>
      </c>
      <c r="AI134" s="314">
        <f>BDER!I87/1000</f>
        <v>0</v>
      </c>
      <c r="AJ134" s="472">
        <f>IF(AI$114=0,"N.D.",AI134/AI$114)</f>
        <v>0</v>
      </c>
      <c r="AK134" s="314">
        <f t="shared" si="167"/>
        <v>0</v>
      </c>
      <c r="AL134" s="472" t="str">
        <f t="shared" si="168"/>
        <v>N.D.</v>
      </c>
      <c r="AM134" s="314">
        <f t="shared" si="169"/>
        <v>0</v>
      </c>
      <c r="AN134" s="472" t="str">
        <f t="shared" si="170"/>
        <v>N.D.</v>
      </c>
      <c r="AO134" s="175"/>
      <c r="BF134" s="290" t="s">
        <v>51</v>
      </c>
      <c r="BG134" s="314"/>
      <c r="BH134" s="472">
        <f>IF(BG$114=0,"N.D.",BG134/BG$114)</f>
        <v>0</v>
      </c>
      <c r="BI134" s="314">
        <f ca="1">INDIRECT(ADDRESS(MATCH(B111,BDPP!$B:$B,0)+23,MATCH(TEXT(EDATE(MES_CIERRE,1),"MMMM"),BDPP!$1:$1,0),,,"BDPP"))/1000</f>
        <v>0</v>
      </c>
      <c r="BJ134" s="472">
        <f ca="1">IF(BI$114=0,"N.D.",BI134/BI$114)</f>
        <v>0</v>
      </c>
      <c r="BK134" s="314">
        <f ca="1">INDIRECT(ADDRESS(MATCH(B111,INDIRECT("'"&amp;IF(MONTH(MES_CIERRE)=10,"ER ACT","ER AA")&amp;"'!$B:$B"),0)+21,MATCH(TEXT(EDATE(MES_CIERRE,1),"MMMM"),'ER AA'!$1:$1,0),,,IF(MONTH(MES_CIERRE)=12,"ER ACT","ER AA")))</f>
        <v>0</v>
      </c>
      <c r="BL134" s="472">
        <f ca="1">IF(BK$114=0,"N.D.",BK134/BK$114)</f>
        <v>0</v>
      </c>
      <c r="BM134" s="314">
        <f t="shared" ca="1" si="171"/>
        <v>0</v>
      </c>
      <c r="BN134" s="472" t="str">
        <f t="shared" ca="1" si="172"/>
        <v>N.D.</v>
      </c>
      <c r="BO134" s="314">
        <f t="shared" ca="1" si="173"/>
        <v>0</v>
      </c>
      <c r="BP134" s="472" t="str">
        <f t="shared" ca="1" si="174"/>
        <v>N.D.</v>
      </c>
      <c r="BQ134" s="353"/>
    </row>
    <row r="135" spans="1:69" ht="12.5" customHeight="1" x14ac:dyDescent="0.3">
      <c r="A135" s="238"/>
      <c r="B135" t="s">
        <v>53</v>
      </c>
      <c r="C135" s="381">
        <f>C131-C133-C134</f>
        <v>6.6894499999999582</v>
      </c>
      <c r="D135" s="415">
        <f>IF(C$114=0,"N.D.",C135/C$114)</f>
        <v>1.0837105288153175E-2</v>
      </c>
      <c r="E135" s="381">
        <f>E131-E133-E134</f>
        <v>28.229999999999936</v>
      </c>
      <c r="F135" s="402">
        <f>IF(E$114=0,"N.D.",E135/E$114)</f>
        <v>4.0785426469929505E-2</v>
      </c>
      <c r="G135" s="381">
        <f>G131-G133-G134</f>
        <v>-18.289420000000042</v>
      </c>
      <c r="H135" s="402">
        <f>IF(G$114=0,"N.D.",G135/G$114)</f>
        <v>-2.7819993730339783E-2</v>
      </c>
      <c r="I135" s="381">
        <f t="shared" si="163"/>
        <v>-21.540549999999978</v>
      </c>
      <c r="J135" s="402">
        <f t="shared" si="164"/>
        <v>-0.76303754870705021</v>
      </c>
      <c r="K135" s="381">
        <f t="shared" si="165"/>
        <v>24.978870000000001</v>
      </c>
      <c r="L135" s="402">
        <f t="shared" si="166"/>
        <v>-1.3657551743029546</v>
      </c>
      <c r="M135" s="175"/>
      <c r="AD135" t="s">
        <v>53</v>
      </c>
      <c r="AE135" s="381">
        <f>AE131-AE133-AE134</f>
        <v>-71.06084000000061</v>
      </c>
      <c r="AF135" s="402">
        <f>IF(AE$114=0,"N.D.",AE135/AE$114)</f>
        <v>-1.9299718141079156E-2</v>
      </c>
      <c r="AG135" s="381">
        <f>AG131-AG133-AG134</f>
        <v>-52.55799999999951</v>
      </c>
      <c r="AH135" s="402">
        <f>IF(AG$114=0,"N.D.",AG135/AG$114)</f>
        <v>-1.3049588336362342E-2</v>
      </c>
      <c r="AI135" s="381">
        <f>AI131-AI133-AI134</f>
        <v>-95.980340000000169</v>
      </c>
      <c r="AJ135" s="402">
        <f>IF(AI$114=0,"N.D.",AI135/AI$114)</f>
        <v>-2.5109138492996799E-2</v>
      </c>
      <c r="AK135" s="381">
        <f t="shared" si="167"/>
        <v>-18.5028400000011</v>
      </c>
      <c r="AL135" s="402">
        <f t="shared" si="168"/>
        <v>0.35204612047645023</v>
      </c>
      <c r="AM135" s="381">
        <f t="shared" si="169"/>
        <v>24.919499999999559</v>
      </c>
      <c r="AN135" s="402">
        <f t="shared" si="170"/>
        <v>-0.25963129532568352</v>
      </c>
      <c r="AO135" s="175"/>
      <c r="BF135" s="290" t="s">
        <v>53</v>
      </c>
      <c r="BG135" s="381">
        <f>BG131-BG133-BG134</f>
        <v>19.280161799458654</v>
      </c>
      <c r="BH135" s="402">
        <f>IF(BG$114=0,"N.D.",BG135/BG$114)</f>
        <v>3.1868036032163066E-2</v>
      </c>
      <c r="BI135" s="381">
        <f ca="1">+BI131-BI133-BI134</f>
        <v>-7.1500000000000803</v>
      </c>
      <c r="BJ135" s="402">
        <f ca="1">IF(BI$114=0,"N.D.",BI135/BI$114)</f>
        <v>-1.0549067919768187E-2</v>
      </c>
      <c r="BK135" s="381">
        <f ca="1">+BK131-BK133-BK134</f>
        <v>-18.289420000000042</v>
      </c>
      <c r="BL135" s="402">
        <f ca="1">IF(BK$114=0,"N.D.",BK135/BK$114)</f>
        <v>-2.7819993730339783E-2</v>
      </c>
      <c r="BM135" s="381">
        <f t="shared" ca="1" si="171"/>
        <v>26.430161799458734</v>
      </c>
      <c r="BN135" s="402">
        <f t="shared" ca="1" si="172"/>
        <v>-3.6965261257983828</v>
      </c>
      <c r="BO135" s="381">
        <f t="shared" ca="1" si="173"/>
        <v>37.569581799458696</v>
      </c>
      <c r="BP135" s="402">
        <f t="shared" ca="1" si="174"/>
        <v>-2.0541702142254161</v>
      </c>
      <c r="BQ135" s="354"/>
    </row>
    <row r="136" spans="1:69" ht="12.5" customHeight="1" x14ac:dyDescent="0.3">
      <c r="A136" s="238"/>
      <c r="B136" t="s">
        <v>122</v>
      </c>
      <c r="C136" s="381">
        <f>+C123+C121</f>
        <v>25.253749999999958</v>
      </c>
      <c r="D136" s="415">
        <f>IF(C$114=0,"N.D.",C136/C$114)</f>
        <v>4.0911816019358761E-2</v>
      </c>
      <c r="E136" s="381">
        <f>+E123+E121</f>
        <v>16.371999999999936</v>
      </c>
      <c r="F136" s="402">
        <f>IF(E$114=0,"N.D.",E136/E$114)</f>
        <v>2.3653524695915154E-2</v>
      </c>
      <c r="G136" s="381">
        <f>+G123+G121</f>
        <v>2.1004299999999567</v>
      </c>
      <c r="H136" s="402">
        <f>IF(G$114=0,"N.D.",G136/G$114)</f>
        <v>3.1949591310722948E-3</v>
      </c>
      <c r="I136" s="381">
        <f t="shared" si="163"/>
        <v>8.8817500000000216</v>
      </c>
      <c r="J136" s="402">
        <f t="shared" si="164"/>
        <v>0.54249633520645357</v>
      </c>
      <c r="K136" s="381">
        <f t="shared" si="165"/>
        <v>23.153320000000001</v>
      </c>
      <c r="L136" s="402">
        <f t="shared" si="166"/>
        <v>11.023133358407792</v>
      </c>
      <c r="M136" s="175"/>
      <c r="AD136" t="s">
        <v>122</v>
      </c>
      <c r="AE136" s="381">
        <f>+AE123+AE121</f>
        <v>44.46440999999939</v>
      </c>
      <c r="AF136" s="402">
        <f>IF(AE$114=0,"N.D.",AE136/AE$114)</f>
        <v>1.2076279710588311E-2</v>
      </c>
      <c r="AG136" s="381">
        <f>+AG123+AG121</f>
        <v>63.421000000000483</v>
      </c>
      <c r="AH136" s="402">
        <f>IF(AG$114=0,"N.D.",AG136/AG$114)</f>
        <v>1.5746754859021463E-2</v>
      </c>
      <c r="AI136" s="381">
        <f>+AI123+AI121</f>
        <v>20.611999999999828</v>
      </c>
      <c r="AJ136" s="402">
        <f>IF(AI$114=0,"N.D.",AI136/AI$114)</f>
        <v>5.3922455642233065E-3</v>
      </c>
      <c r="AK136" s="381">
        <f t="shared" si="167"/>
        <v>-18.956590000001093</v>
      </c>
      <c r="AL136" s="402">
        <f t="shared" si="168"/>
        <v>-0.29890083726212058</v>
      </c>
      <c r="AM136" s="381">
        <f t="shared" si="169"/>
        <v>23.852409999999562</v>
      </c>
      <c r="AN136" s="402">
        <f t="shared" si="170"/>
        <v>1.1572098777411099</v>
      </c>
      <c r="AO136" s="175"/>
      <c r="BF136" s="290" t="s">
        <v>122</v>
      </c>
      <c r="BG136" s="381">
        <f>+BG123+BG121</f>
        <v>20.280161799458654</v>
      </c>
      <c r="BH136" s="402">
        <f>IF(BG$114=0,"N.D.",BG136/BG$114)</f>
        <v>3.3520928594146536E-2</v>
      </c>
      <c r="BI136" s="381">
        <f ca="1">+BI123+BI121</f>
        <v>13.915999999999919</v>
      </c>
      <c r="BJ136" s="402">
        <f ca="1">IF(BI$114=0,"N.D.",BI136/BI$114)</f>
        <v>2.0531584499509311E-2</v>
      </c>
      <c r="BK136" s="381">
        <f ca="1">+BK123+BK121</f>
        <v>2.1004299999999567</v>
      </c>
      <c r="BL136" s="402">
        <f ca="1">IF(BK$114=0,"N.D.",BK136/BK$114)</f>
        <v>3.1949591310722948E-3</v>
      </c>
      <c r="BM136" s="381">
        <f t="shared" ca="1" si="171"/>
        <v>6.3641617994587349</v>
      </c>
      <c r="BN136" s="402">
        <f t="shared" ca="1" si="172"/>
        <v>0.45732694735978519</v>
      </c>
      <c r="BO136" s="381">
        <f t="shared" ca="1" si="173"/>
        <v>18.179731799458697</v>
      </c>
      <c r="BP136" s="402">
        <f t="shared" ca="1" si="174"/>
        <v>8.6552428785815625</v>
      </c>
      <c r="BQ136" s="354"/>
    </row>
    <row r="137" spans="1:69" ht="12.5" customHeight="1" x14ac:dyDescent="0.3">
      <c r="A137" s="238"/>
      <c r="B137" s="1" t="s">
        <v>194</v>
      </c>
      <c r="C137" s="418">
        <v>0</v>
      </c>
      <c r="D137" s="475">
        <f>IF(C$9=0,"N.D.",C137/C$9)</f>
        <v>0</v>
      </c>
      <c r="E137" s="418">
        <v>0</v>
      </c>
      <c r="F137" s="475">
        <f>IF(E$9=0,"N.D.",E137/E$9)</f>
        <v>0</v>
      </c>
      <c r="G137" s="418">
        <v>0</v>
      </c>
      <c r="H137" s="475">
        <f>IF(G$9=0,"N.D.",G137/G$9)</f>
        <v>0</v>
      </c>
      <c r="I137" s="418">
        <f t="shared" si="163"/>
        <v>0</v>
      </c>
      <c r="J137" s="471" t="str">
        <f t="shared" si="164"/>
        <v>N.D.</v>
      </c>
      <c r="K137" s="418">
        <f t="shared" si="165"/>
        <v>0</v>
      </c>
      <c r="L137" s="471" t="str">
        <f t="shared" si="166"/>
        <v>N.D.</v>
      </c>
      <c r="M137" s="175"/>
      <c r="AD137" s="1" t="s">
        <v>194</v>
      </c>
      <c r="AE137" s="418">
        <v>0</v>
      </c>
      <c r="AF137" s="475">
        <f>IF(AE$9=0,"N.D.",AE137/AE$9)</f>
        <v>0</v>
      </c>
      <c r="AG137" s="418">
        <v>0</v>
      </c>
      <c r="AH137" s="475">
        <f>IF(AG$9=0,"N.D.",AG137/AG$9)</f>
        <v>0</v>
      </c>
      <c r="AI137" s="418">
        <v>0</v>
      </c>
      <c r="AJ137" s="475">
        <f>IF(AI$9=0,"N.D.",AI137/AI$9)</f>
        <v>0</v>
      </c>
      <c r="AK137" s="418">
        <f t="shared" si="167"/>
        <v>0</v>
      </c>
      <c r="AL137" s="471" t="str">
        <f t="shared" si="168"/>
        <v>N.D.</v>
      </c>
      <c r="AM137" s="418">
        <f t="shared" si="169"/>
        <v>0</v>
      </c>
      <c r="AN137" s="471" t="str">
        <f t="shared" si="170"/>
        <v>N.D.</v>
      </c>
      <c r="AO137" s="175"/>
      <c r="BF137" s="1" t="s">
        <v>194</v>
      </c>
      <c r="BG137" s="418">
        <v>0</v>
      </c>
      <c r="BH137" s="475">
        <f>IF(BG$9=0,"N.D.",BG137/BG$9)</f>
        <v>0</v>
      </c>
      <c r="BI137" s="418">
        <v>0</v>
      </c>
      <c r="BJ137" s="475">
        <f ca="1">IF(BI$9=0,"N.D.",BI137/BI$9)</f>
        <v>0</v>
      </c>
      <c r="BK137" s="418">
        <v>0</v>
      </c>
      <c r="BL137" s="475">
        <f ca="1">IF(BK$9=0,"N.D.",BK137/BK$9)</f>
        <v>0</v>
      </c>
      <c r="BM137" s="418">
        <f t="shared" si="171"/>
        <v>0</v>
      </c>
      <c r="BN137" s="471" t="str">
        <f t="shared" si="172"/>
        <v>N.D.</v>
      </c>
      <c r="BO137" s="418">
        <f t="shared" si="173"/>
        <v>0</v>
      </c>
      <c r="BP137" s="471" t="str">
        <f t="shared" si="174"/>
        <v>N.D.</v>
      </c>
      <c r="BQ137" s="354"/>
    </row>
    <row r="138" spans="1:69" ht="12.5" customHeight="1" x14ac:dyDescent="0.3">
      <c r="A138" s="238"/>
      <c r="B138" s="1" t="s">
        <v>123</v>
      </c>
      <c r="C138" s="314"/>
      <c r="D138" s="476">
        <f>IF(C$9=0,"N.D.",C138/C$9)</f>
        <v>0</v>
      </c>
      <c r="E138" s="314"/>
      <c r="F138" s="476">
        <f>IF(E$9=0,"N.D.",E138/E$9)</f>
        <v>0</v>
      </c>
      <c r="G138" s="314"/>
      <c r="H138" s="476">
        <f>IF(G$9=0,"N.D.",G138/G$9)</f>
        <v>0</v>
      </c>
      <c r="I138" s="314">
        <f t="shared" si="163"/>
        <v>0</v>
      </c>
      <c r="J138" s="472" t="str">
        <f t="shared" si="164"/>
        <v>N.D.</v>
      </c>
      <c r="K138" s="314">
        <f t="shared" si="165"/>
        <v>0</v>
      </c>
      <c r="L138" s="472" t="str">
        <f t="shared" si="166"/>
        <v>N.D.</v>
      </c>
      <c r="M138" s="175"/>
      <c r="AD138" s="1" t="s">
        <v>123</v>
      </c>
      <c r="AE138" s="314"/>
      <c r="AF138" s="476">
        <f>IF(AE$9=0,"N.D.",AE138/AE$9)</f>
        <v>0</v>
      </c>
      <c r="AG138" s="314"/>
      <c r="AH138" s="476">
        <f>IF(AG$9=0,"N.D.",AG138/AG$9)</f>
        <v>0</v>
      </c>
      <c r="AI138" s="314"/>
      <c r="AJ138" s="476">
        <f>IF(AI$9=0,"N.D.",AI138/AI$9)</f>
        <v>0</v>
      </c>
      <c r="AK138" s="314">
        <f t="shared" si="167"/>
        <v>0</v>
      </c>
      <c r="AL138" s="472" t="str">
        <f t="shared" si="168"/>
        <v>N.D.</v>
      </c>
      <c r="AM138" s="314">
        <f t="shared" si="169"/>
        <v>0</v>
      </c>
      <c r="AN138" s="472" t="str">
        <f t="shared" si="170"/>
        <v>N.D.</v>
      </c>
      <c r="AO138" s="175"/>
      <c r="BF138" s="1" t="s">
        <v>123</v>
      </c>
      <c r="BG138" s="314"/>
      <c r="BH138" s="476">
        <f>IF(BG$9=0,"N.D.",BG138/BG$9)</f>
        <v>0</v>
      </c>
      <c r="BI138" s="314"/>
      <c r="BJ138" s="476">
        <f ca="1">IF(BI$9=0,"N.D.",BI138/BI$9)</f>
        <v>0</v>
      </c>
      <c r="BK138" s="314"/>
      <c r="BL138" s="476">
        <f ca="1">IF(BK$9=0,"N.D.",BK138/BK$9)</f>
        <v>0</v>
      </c>
      <c r="BM138" s="314">
        <f t="shared" si="171"/>
        <v>0</v>
      </c>
      <c r="BN138" s="472" t="str">
        <f t="shared" si="172"/>
        <v>N.D.</v>
      </c>
      <c r="BO138" s="314">
        <f t="shared" si="173"/>
        <v>0</v>
      </c>
      <c r="BP138" s="472" t="str">
        <f t="shared" si="174"/>
        <v>N.D.</v>
      </c>
      <c r="BQ138" s="354"/>
    </row>
    <row r="139" spans="1:69" ht="12.5" customHeight="1" x14ac:dyDescent="0.3">
      <c r="A139" s="238"/>
      <c r="B139" s="7" t="s">
        <v>190</v>
      </c>
      <c r="C139" s="381">
        <f>+C135+C121+C137+C138</f>
        <v>9.7787599999999575</v>
      </c>
      <c r="D139" s="477">
        <f>IF(C$9=0,"N.D.",C139/C$9)</f>
        <v>6.2679651571808607E-3</v>
      </c>
      <c r="E139" s="381">
        <f>+E135+E121+E137+E138</f>
        <v>31.067999999999937</v>
      </c>
      <c r="F139" s="477">
        <f>IF(E$9=0,"N.D.",E139/E$9)</f>
        <v>1.8251781528501484E-2</v>
      </c>
      <c r="G139" s="381">
        <f>+G135+G121+G137+G138</f>
        <v>-15.451210000000042</v>
      </c>
      <c r="H139" s="477">
        <f>IF(G$9=0,"N.D.",G139/G$9)</f>
        <v>-9.359589045784265E-3</v>
      </c>
      <c r="I139" s="381">
        <f t="shared" si="163"/>
        <v>-21.289239999999978</v>
      </c>
      <c r="J139" s="402">
        <f t="shared" si="164"/>
        <v>-0.68524655594180583</v>
      </c>
      <c r="K139" s="381">
        <f t="shared" si="165"/>
        <v>25.229970000000002</v>
      </c>
      <c r="L139" s="402">
        <f t="shared" si="166"/>
        <v>-1.6328798844880064</v>
      </c>
      <c r="M139" s="175"/>
      <c r="AD139" s="7" t="s">
        <v>190</v>
      </c>
      <c r="AE139" s="381">
        <f>+AE135+AE121+AE137+AE138</f>
        <v>-53.780480000000608</v>
      </c>
      <c r="AF139" s="477">
        <f>IF(AE$9=0,"N.D.",AE139/AE$9)</f>
        <v>-3.4449944481092219E-3</v>
      </c>
      <c r="AG139" s="381">
        <f>+AG135+AG121+AG137+AG138</f>
        <v>-35.529999999999511</v>
      </c>
      <c r="AH139" s="477">
        <f>IF(AG$9=0,"N.D.",AG139/AG$9)</f>
        <v>-1.6877306824545177E-3</v>
      </c>
      <c r="AI139" s="381">
        <f>+AI135+AI121+AI137+AI138</f>
        <v>-78.951080000000175</v>
      </c>
      <c r="AJ139" s="477">
        <f>IF(AI$9=0,"N.D.",AI139/AI$9)</f>
        <v>-3.8516364528361166E-3</v>
      </c>
      <c r="AK139" s="381">
        <f t="shared" si="167"/>
        <v>-18.250480000001097</v>
      </c>
      <c r="AL139" s="402">
        <f t="shared" si="168"/>
        <v>0.51366394596119758</v>
      </c>
      <c r="AM139" s="381">
        <f t="shared" si="169"/>
        <v>25.170599999999567</v>
      </c>
      <c r="AN139" s="402">
        <f t="shared" si="170"/>
        <v>-0.31881261155641583</v>
      </c>
      <c r="AO139" s="175"/>
      <c r="BF139" s="7" t="s">
        <v>190</v>
      </c>
      <c r="BG139" s="381">
        <f>+BG135+BG121+BG137+BG138</f>
        <v>22.280161799458654</v>
      </c>
      <c r="BH139" s="477">
        <f>IF(BG$9=0,"N.D.",BG139/BG$9)</f>
        <v>1.4383577662658912E-2</v>
      </c>
      <c r="BI139" s="381">
        <f ca="1">+BI135+BI121+BI137+BI138</f>
        <v>-4.3120000000000802</v>
      </c>
      <c r="BJ139" s="477">
        <f ca="1">IF(BI$9=0,"N.D.",BI139/BI$9)</f>
        <v>-2.5965392323108235E-3</v>
      </c>
      <c r="BK139" s="381">
        <f ca="1">+BK135+BK121+BK137+BK138</f>
        <v>-15.451210000000042</v>
      </c>
      <c r="BL139" s="477">
        <f ca="1">IF(BK$9=0,"N.D.",BK139/BK$9)</f>
        <v>-9.359589045784265E-3</v>
      </c>
      <c r="BM139" s="381">
        <f t="shared" ca="1" si="171"/>
        <v>26.592161799458733</v>
      </c>
      <c r="BN139" s="402">
        <f t="shared" ca="1" si="172"/>
        <v>-6.1670134043270499</v>
      </c>
      <c r="BO139" s="381">
        <f t="shared" ca="1" si="173"/>
        <v>37.731371799458699</v>
      </c>
      <c r="BP139" s="402">
        <f t="shared" ca="1" si="174"/>
        <v>-2.4419687389828106</v>
      </c>
      <c r="BQ139" s="354"/>
    </row>
    <row r="140" spans="1:69" ht="12.5" customHeight="1" x14ac:dyDescent="0.3">
      <c r="A140" s="238"/>
      <c r="B140" s="7" t="s">
        <v>191</v>
      </c>
      <c r="C140" s="106">
        <f>+S35</f>
        <v>0</v>
      </c>
      <c r="D140" s="477">
        <f>IF(C$9=0,"N.D.",C140/C$9)</f>
        <v>0</v>
      </c>
      <c r="E140" s="381">
        <f>+C140</f>
        <v>0</v>
      </c>
      <c r="F140" s="477">
        <f>IF(E$9=0,"N.D.",E140/E$9)</f>
        <v>0</v>
      </c>
      <c r="G140" s="381">
        <f>+BDLT!P12/1000</f>
        <v>15.43108</v>
      </c>
      <c r="H140" s="477">
        <f>IF(G$9=0,"N.D.",G140/G$9)</f>
        <v>9.3473952740672252E-3</v>
      </c>
      <c r="I140" s="381">
        <f t="shared" si="163"/>
        <v>0</v>
      </c>
      <c r="J140" s="402" t="str">
        <f t="shared" si="164"/>
        <v>N.D.</v>
      </c>
      <c r="K140" s="381">
        <f t="shared" si="165"/>
        <v>-15.43108</v>
      </c>
      <c r="L140" s="402">
        <f t="shared" si="166"/>
        <v>-1</v>
      </c>
      <c r="M140" s="175"/>
      <c r="AD140" s="7" t="s">
        <v>191</v>
      </c>
      <c r="AE140" s="381">
        <f>+AU35</f>
        <v>70</v>
      </c>
      <c r="AF140" s="477">
        <f>IF(AE$9=0,"N.D.",AE140/AE$9)</f>
        <v>4.4839616784313344E-3</v>
      </c>
      <c r="AG140" s="381">
        <f>+AE140</f>
        <v>70</v>
      </c>
      <c r="AH140" s="477">
        <f>IF(AG$9=0,"N.D.",AG140/AG$9)</f>
        <v>3.3251097036818989E-3</v>
      </c>
      <c r="AI140" s="381">
        <f>+BDLT!Q12/1000</f>
        <v>81.988460000000003</v>
      </c>
      <c r="AJ140" s="477">
        <f>IF(AI$9=0,"N.D.",AI140/AI$9)</f>
        <v>3.9998153444879428E-3</v>
      </c>
      <c r="AK140" s="381">
        <f t="shared" si="167"/>
        <v>0</v>
      </c>
      <c r="AL140" s="402">
        <f t="shared" si="168"/>
        <v>0</v>
      </c>
      <c r="AM140" s="381">
        <f t="shared" si="169"/>
        <v>-11.988460000000003</v>
      </c>
      <c r="AN140" s="402">
        <f t="shared" si="170"/>
        <v>-0.14622130968187474</v>
      </c>
      <c r="AO140" s="175"/>
      <c r="BF140" s="7" t="s">
        <v>191</v>
      </c>
      <c r="BG140" s="381">
        <v>0</v>
      </c>
      <c r="BH140" s="477">
        <f>IF(BG$9=0,"N.D.",BG140/BG$9)</f>
        <v>0</v>
      </c>
      <c r="BI140" s="381">
        <f>+BG140</f>
        <v>0</v>
      </c>
      <c r="BJ140" s="477">
        <f ca="1">IF(BI$9=0,"N.D.",BI140/BI$9)</f>
        <v>0</v>
      </c>
      <c r="BK140" s="381">
        <f>+BDLT!AC12/1000</f>
        <v>0</v>
      </c>
      <c r="BL140" s="477">
        <f ca="1">IF(BK$9=0,"N.D.",BK140/BK$9)</f>
        <v>0</v>
      </c>
      <c r="BM140" s="381">
        <f t="shared" si="171"/>
        <v>0</v>
      </c>
      <c r="BN140" s="402" t="str">
        <f t="shared" si="172"/>
        <v>N.D.</v>
      </c>
      <c r="BO140" s="381">
        <f t="shared" si="173"/>
        <v>0</v>
      </c>
      <c r="BP140" s="402" t="str">
        <f t="shared" si="174"/>
        <v>N.D.</v>
      </c>
      <c r="BQ140" s="354"/>
    </row>
    <row r="141" spans="1:69" ht="12.5" customHeight="1" x14ac:dyDescent="0.3">
      <c r="A141" s="238"/>
      <c r="B141" s="7" t="s">
        <v>84</v>
      </c>
      <c r="C141" s="381">
        <f>C139-C140</f>
        <v>9.7787599999999575</v>
      </c>
      <c r="D141" s="477">
        <f>IF(C$9=0,"N.D.",C141/C$9)</f>
        <v>6.2679651571808607E-3</v>
      </c>
      <c r="E141" s="381">
        <f>E139-E140</f>
        <v>31.067999999999937</v>
      </c>
      <c r="F141" s="477">
        <f>IF(E$9=0,"N.D.",E141/E$9)</f>
        <v>1.8251781528501484E-2</v>
      </c>
      <c r="G141" s="381">
        <f>G139-G140</f>
        <v>-30.88229000000004</v>
      </c>
      <c r="H141" s="477">
        <f>IF(G$9=0,"N.D.",G141/G$9)</f>
        <v>-1.8706984319851488E-2</v>
      </c>
      <c r="I141" s="381">
        <f t="shared" si="163"/>
        <v>-21.289239999999978</v>
      </c>
      <c r="J141" s="402">
        <f t="shared" si="164"/>
        <v>-0.68524655594180583</v>
      </c>
      <c r="K141" s="381">
        <f t="shared" si="165"/>
        <v>40.661049999999996</v>
      </c>
      <c r="L141" s="402">
        <f t="shared" si="166"/>
        <v>-1.3166462072598872</v>
      </c>
      <c r="M141" s="175"/>
      <c r="AD141" s="7" t="s">
        <v>84</v>
      </c>
      <c r="AE141" s="381">
        <f>AE139-AE140</f>
        <v>-123.78048000000061</v>
      </c>
      <c r="AF141" s="477">
        <f>IF(AE$9=0,"N.D.",AE141/AE$9)</f>
        <v>-7.9289561265405567E-3</v>
      </c>
      <c r="AG141" s="381">
        <f>AG139-AG140</f>
        <v>-105.52999999999952</v>
      </c>
      <c r="AH141" s="477">
        <f>IF(AG$9=0,"N.D.",AG141/AG$9)</f>
        <v>-5.0128403861364173E-3</v>
      </c>
      <c r="AI141" s="381">
        <f>AI139-AI140</f>
        <v>-160.93954000000019</v>
      </c>
      <c r="AJ141" s="477">
        <f>IF(AI$9=0,"N.D.",AI141/AI$9)</f>
        <v>-7.8514517973240598E-3</v>
      </c>
      <c r="AK141" s="381">
        <f t="shared" si="167"/>
        <v>-18.25048000000109</v>
      </c>
      <c r="AL141" s="402">
        <f t="shared" si="168"/>
        <v>0.17294115417417966</v>
      </c>
      <c r="AM141" s="381">
        <f t="shared" si="169"/>
        <v>37.159059999999585</v>
      </c>
      <c r="AN141" s="402">
        <f t="shared" si="170"/>
        <v>-0.23088831992436132</v>
      </c>
      <c r="AO141" s="175"/>
      <c r="BF141" s="7" t="s">
        <v>84</v>
      </c>
      <c r="BG141" s="381">
        <f>BG139-BG140</f>
        <v>22.280161799458654</v>
      </c>
      <c r="BH141" s="477">
        <f>IF(BG$9=0,"N.D.",BG141/BG$9)</f>
        <v>1.4383577662658912E-2</v>
      </c>
      <c r="BI141" s="381">
        <f ca="1">BI139-BI140</f>
        <v>-4.3120000000000802</v>
      </c>
      <c r="BJ141" s="477">
        <f ca="1">IF(BI$9=0,"N.D.",BI141/BI$9)</f>
        <v>-2.5965392323108235E-3</v>
      </c>
      <c r="BK141" s="381">
        <f ca="1">BK139-BK140</f>
        <v>-15.451210000000042</v>
      </c>
      <c r="BL141" s="477">
        <f ca="1">IF(BK$9=0,"N.D.",BK141/BK$9)</f>
        <v>-9.359589045784265E-3</v>
      </c>
      <c r="BM141" s="381">
        <f t="shared" ca="1" si="171"/>
        <v>26.592161799458733</v>
      </c>
      <c r="BN141" s="402">
        <f t="shared" ca="1" si="172"/>
        <v>-6.1670134043270499</v>
      </c>
      <c r="BO141" s="381">
        <f t="shared" ca="1" si="173"/>
        <v>37.731371799458699</v>
      </c>
      <c r="BP141" s="402">
        <f t="shared" ca="1" si="174"/>
        <v>-2.4419687389828106</v>
      </c>
      <c r="BQ141" s="354"/>
    </row>
    <row r="142" spans="1:69" ht="12.5" customHeight="1" x14ac:dyDescent="0.3">
      <c r="A142" s="238"/>
      <c r="B142" s="1" t="s">
        <v>193</v>
      </c>
      <c r="C142" s="412" t="str">
        <f>IF(C140=0,"N.D.",(C139-C137-C138)/C140)</f>
        <v>N.D.</v>
      </c>
      <c r="D142" s="478"/>
      <c r="E142" s="412" t="str">
        <f>IF(E140=0,"N.D.",(E139-E137-E138)/E140)</f>
        <v>N.D.</v>
      </c>
      <c r="F142" s="478"/>
      <c r="G142" s="412">
        <f>IF(G140=0,"N.D.",(G139-G137-G138)/G140)</f>
        <v>-1.0013045101185427</v>
      </c>
      <c r="H142" s="478"/>
      <c r="I142" s="479"/>
      <c r="J142" s="354"/>
      <c r="K142" s="479"/>
      <c r="L142" s="354"/>
      <c r="M142" s="175"/>
      <c r="AD142" s="1" t="s">
        <v>193</v>
      </c>
      <c r="AE142" s="412">
        <f>IF(AE140=0,"N.D.",(AE139-AE137-AE138)/AE140)</f>
        <v>-0.7682925714285801</v>
      </c>
      <c r="AF142" s="478"/>
      <c r="AG142" s="412">
        <f>IF(AG140=0,"N.D.",(AG139-AG137-AG138)/AG140)</f>
        <v>-0.50757142857142157</v>
      </c>
      <c r="AH142" s="478"/>
      <c r="AI142" s="412">
        <f>IF(AI140=0,"N.D.",(AI139-AI137-AI138)/AI140)</f>
        <v>-0.96295356688002398</v>
      </c>
      <c r="AJ142" s="478"/>
      <c r="AK142" s="479"/>
      <c r="AL142" s="354"/>
      <c r="AM142" s="479"/>
      <c r="AN142" s="354"/>
      <c r="AO142" s="175"/>
      <c r="BF142" s="1" t="s">
        <v>193</v>
      </c>
      <c r="BG142" s="412" t="str">
        <f>IF(BG140=0,"N.D.",(BG139-BG137-BG138)/BG140)</f>
        <v>N.D.</v>
      </c>
      <c r="BH142" s="478"/>
      <c r="BI142" s="412" t="str">
        <f>IF(BI140=0,"N.D.",(BI139-BI137-BI138)/BI140)</f>
        <v>N.D.</v>
      </c>
      <c r="BJ142" s="478"/>
      <c r="BK142" s="412" t="str">
        <f>IF(BK140=0,"N.D.",(BK139-BK137-BK138)/BK140)</f>
        <v>N.D.</v>
      </c>
      <c r="BL142" s="478"/>
      <c r="BM142" s="479"/>
      <c r="BN142" s="354"/>
      <c r="BO142" s="479"/>
      <c r="BP142" s="354"/>
      <c r="BQ142" s="354"/>
    </row>
    <row r="143" spans="1:69" ht="12.5" customHeight="1" x14ac:dyDescent="0.25">
      <c r="M143" s="175"/>
      <c r="AO143" s="175"/>
    </row>
    <row r="144" spans="1:69" ht="12.5" customHeight="1" x14ac:dyDescent="0.3">
      <c r="C144" s="739" t="s">
        <v>187</v>
      </c>
      <c r="D144" s="743"/>
      <c r="E144" s="743"/>
      <c r="F144" s="743"/>
      <c r="G144" s="743"/>
      <c r="H144" s="743"/>
      <c r="I144" s="743"/>
      <c r="J144" s="744"/>
      <c r="K144" s="743"/>
      <c r="L144" s="744"/>
      <c r="M144" s="175"/>
      <c r="AE144" s="739" t="str">
        <f>C144</f>
        <v>Pizzas Del Sur</v>
      </c>
      <c r="AF144" s="739"/>
      <c r="AG144" s="739"/>
      <c r="AH144" s="739"/>
      <c r="AI144" s="739"/>
      <c r="AJ144" s="739"/>
      <c r="AK144" s="739"/>
      <c r="AL144" s="739"/>
      <c r="AM144" s="739"/>
      <c r="AN144" s="739"/>
      <c r="AO144" s="175"/>
      <c r="BG144" s="739" t="str">
        <f>AE144</f>
        <v>Pizzas Del Sur</v>
      </c>
      <c r="BH144" s="739"/>
      <c r="BI144" s="739"/>
      <c r="BJ144" s="739"/>
      <c r="BK144" s="739"/>
      <c r="BL144" s="739"/>
      <c r="BM144" s="739"/>
      <c r="BN144" s="739"/>
      <c r="BO144" s="739"/>
      <c r="BP144" s="739"/>
      <c r="BQ144" s="349"/>
    </row>
    <row r="145" spans="1:69" ht="12.5" customHeight="1" x14ac:dyDescent="0.3">
      <c r="C145" s="739" t="s">
        <v>18</v>
      </c>
      <c r="D145" s="743"/>
      <c r="E145" s="743"/>
      <c r="F145" s="743"/>
      <c r="G145" s="743"/>
      <c r="H145" s="743"/>
      <c r="I145" s="743"/>
      <c r="J145" s="744"/>
      <c r="K145" s="743"/>
      <c r="L145" s="744"/>
      <c r="M145" s="175"/>
      <c r="AE145" s="739" t="s">
        <v>18</v>
      </c>
      <c r="AF145" s="739"/>
      <c r="AG145" s="739"/>
      <c r="AH145" s="739"/>
      <c r="AI145" s="739"/>
      <c r="AJ145" s="739"/>
      <c r="AK145" s="739"/>
      <c r="AL145" s="739"/>
      <c r="AM145" s="739"/>
      <c r="AN145" s="739"/>
      <c r="AO145" s="175"/>
      <c r="BG145" s="739" t="s">
        <v>18</v>
      </c>
      <c r="BH145" s="739"/>
      <c r="BI145" s="739"/>
      <c r="BJ145" s="739"/>
      <c r="BK145" s="739"/>
      <c r="BL145" s="739"/>
      <c r="BM145" s="739"/>
      <c r="BN145" s="739"/>
      <c r="BO145" s="739"/>
      <c r="BP145" s="739"/>
      <c r="BQ145" s="349"/>
    </row>
    <row r="146" spans="1:69" ht="12.5" customHeight="1" x14ac:dyDescent="0.3">
      <c r="B146" s="277" t="s">
        <v>329</v>
      </c>
      <c r="C146" s="739" t="str">
        <f>PROPER(TEXT(MES_CIERRE,"MMMM "))&amp;YEAR(MES_CIERRE)</f>
        <v>Junio 2019</v>
      </c>
      <c r="D146" s="739"/>
      <c r="E146" s="739"/>
      <c r="F146" s="739"/>
      <c r="G146" s="739"/>
      <c r="H146" s="739"/>
      <c r="I146" s="739"/>
      <c r="J146" s="739"/>
      <c r="K146" s="739"/>
      <c r="L146" s="739"/>
      <c r="M146" s="175"/>
      <c r="AD146" s="311" t="str">
        <f>B146</f>
        <v>PIZZAS DEL SUR</v>
      </c>
      <c r="AE146" s="740" t="str">
        <f>"Accum to "&amp;PROPER(TEXT(MES_CIERRE,"MMMM "))&amp;YEAR(MES_CIERRE)</f>
        <v>Accum to Junio 2019</v>
      </c>
      <c r="AF146" s="740"/>
      <c r="AG146" s="740"/>
      <c r="AH146" s="740"/>
      <c r="AI146" s="740"/>
      <c r="AJ146" s="740"/>
      <c r="AK146" s="740"/>
      <c r="AL146" s="740"/>
      <c r="AM146" s="740"/>
      <c r="AN146" s="740"/>
      <c r="AO146" s="175"/>
      <c r="BF146" s="113" t="str">
        <f>AD146</f>
        <v>PIZZAS DEL SUR</v>
      </c>
      <c r="BG146" s="740" t="str">
        <f>$BG$41</f>
        <v>Projection- Julio 2019</v>
      </c>
      <c r="BH146" s="740"/>
      <c r="BI146" s="740"/>
      <c r="BJ146" s="740"/>
      <c r="BK146" s="740"/>
      <c r="BL146" s="740"/>
      <c r="BM146" s="740"/>
      <c r="BN146" s="740"/>
      <c r="BO146" s="740"/>
      <c r="BP146" s="740"/>
      <c r="BQ146" s="350"/>
    </row>
    <row r="147" spans="1:69" ht="12.5" customHeight="1" x14ac:dyDescent="0.3">
      <c r="A147" s="238"/>
      <c r="C147" s="394" t="s">
        <v>0</v>
      </c>
      <c r="D147" s="395"/>
      <c r="E147" s="394" t="s">
        <v>4</v>
      </c>
      <c r="F147" s="395"/>
      <c r="G147" s="394" t="s">
        <v>5</v>
      </c>
      <c r="H147" s="464"/>
      <c r="I147" s="349" t="s">
        <v>6</v>
      </c>
      <c r="J147" s="351"/>
      <c r="K147" s="349" t="s">
        <v>7</v>
      </c>
      <c r="L147" s="351"/>
      <c r="M147" s="174"/>
      <c r="AE147" s="394" t="s">
        <v>8</v>
      </c>
      <c r="AF147" s="464"/>
      <c r="AG147" s="394" t="s">
        <v>4</v>
      </c>
      <c r="AH147" s="464"/>
      <c r="AI147" s="394" t="s">
        <v>9</v>
      </c>
      <c r="AJ147" s="465"/>
      <c r="AK147" s="349" t="s">
        <v>6</v>
      </c>
      <c r="AL147" s="351"/>
      <c r="AM147" s="349" t="s">
        <v>7</v>
      </c>
      <c r="AN147" s="351"/>
      <c r="AO147" s="291"/>
      <c r="BG147" s="394" t="s">
        <v>502</v>
      </c>
      <c r="BH147" s="464"/>
      <c r="BI147" s="394" t="s">
        <v>4</v>
      </c>
      <c r="BJ147" s="464"/>
      <c r="BK147" s="394" t="s">
        <v>9</v>
      </c>
      <c r="BL147" s="465"/>
      <c r="BM147" s="349" t="s">
        <v>6</v>
      </c>
      <c r="BN147" s="351"/>
      <c r="BO147" s="349" t="s">
        <v>7</v>
      </c>
      <c r="BP147" s="351"/>
      <c r="BQ147" s="351"/>
    </row>
    <row r="148" spans="1:69" ht="12.5" customHeight="1" x14ac:dyDescent="0.25">
      <c r="A148" s="238"/>
      <c r="C148" s="469"/>
      <c r="D148" s="500"/>
      <c r="E148" s="468"/>
      <c r="F148" s="500"/>
      <c r="G148" s="469"/>
      <c r="H148" s="467"/>
      <c r="I148" s="419"/>
      <c r="J148" s="352"/>
      <c r="K148" s="419"/>
      <c r="L148" s="352"/>
      <c r="M148" s="175"/>
      <c r="AE148" s="466"/>
      <c r="AF148" s="467"/>
      <c r="AG148" s="468"/>
      <c r="AH148" s="467"/>
      <c r="AI148" s="469"/>
      <c r="AJ148" s="470"/>
      <c r="AK148" s="419"/>
      <c r="AL148" s="352"/>
      <c r="AM148" s="419"/>
      <c r="AN148" s="352"/>
      <c r="AO148" s="175"/>
      <c r="BG148" s="466"/>
      <c r="BH148" s="467"/>
      <c r="BI148" s="468"/>
      <c r="BJ148" s="467"/>
      <c r="BK148" s="469"/>
      <c r="BL148" s="470"/>
      <c r="BM148" s="419"/>
      <c r="BN148" s="352"/>
      <c r="BO148" s="419"/>
      <c r="BP148" s="352"/>
      <c r="BQ148" s="352"/>
    </row>
    <row r="149" spans="1:69" ht="12.5" customHeight="1" x14ac:dyDescent="0.25">
      <c r="A149" s="238"/>
      <c r="B149" t="s">
        <v>38</v>
      </c>
      <c r="C149" s="418">
        <f>BDER!D100/1000</f>
        <v>219.20205999999999</v>
      </c>
      <c r="D149" s="417">
        <f>IF(C$149=0,"N.D.",C149/C$149)</f>
        <v>1</v>
      </c>
      <c r="E149" s="418">
        <f>BDER!L100/1000</f>
        <v>258.33199999999999</v>
      </c>
      <c r="F149" s="471">
        <f>IF(E$149=0,"N.D.",E149/E$149)</f>
        <v>1</v>
      </c>
      <c r="G149" s="418">
        <f>BDER!F100/1000</f>
        <v>252.08104</v>
      </c>
      <c r="H149" s="471">
        <f>IF(G$149=0,"N.D.",G149/G$149)</f>
        <v>1</v>
      </c>
      <c r="I149" s="418">
        <f>C149-E149</f>
        <v>-39.129940000000005</v>
      </c>
      <c r="J149" s="471">
        <f>IF(E149=0,"N.D.",C149/E149-1)</f>
        <v>-0.1514715172723472</v>
      </c>
      <c r="K149" s="418">
        <f>C149-G149</f>
        <v>-32.878980000000013</v>
      </c>
      <c r="L149" s="183">
        <f>IF(G149=0,"N.D.",C149/G149-1)</f>
        <v>-0.13043019816167056</v>
      </c>
      <c r="M149" s="175"/>
      <c r="AD149" t="s">
        <v>38</v>
      </c>
      <c r="AE149" s="418">
        <f>BDER!E100/1000</f>
        <v>1407.9315900000001</v>
      </c>
      <c r="AF149" s="471">
        <f>IF(AE$149=0,"N.D.",AE149/AE$149)</f>
        <v>1</v>
      </c>
      <c r="AG149" s="418">
        <f>BDER!M100/1000</f>
        <v>1517.38</v>
      </c>
      <c r="AH149" s="471">
        <f>IF(AG$149=0,"N.D.",AG149/AG$149)</f>
        <v>1</v>
      </c>
      <c r="AI149" s="418">
        <f>BDER!I100/1000</f>
        <v>1486.31891</v>
      </c>
      <c r="AJ149" s="471">
        <f>IF(AI$149=0,"N.D.",AI149/AI$149)</f>
        <v>1</v>
      </c>
      <c r="AK149" s="418">
        <f>AE149-AG149</f>
        <v>-109.44840999999997</v>
      </c>
      <c r="AL149" s="471">
        <f>IF(AG149=0,"N.D.",AE149/AG149-1)</f>
        <v>-7.2129861998971867E-2</v>
      </c>
      <c r="AM149" s="418">
        <f>AE149-AI149</f>
        <v>-78.387319999999818</v>
      </c>
      <c r="AN149" s="183">
        <f>IF(AI149=0,"N.D.",AE149/AI149-1)</f>
        <v>-5.2739233466389646E-2</v>
      </c>
      <c r="AO149" s="175"/>
      <c r="BF149" s="290" t="s">
        <v>38</v>
      </c>
      <c r="BG149" s="418">
        <v>216</v>
      </c>
      <c r="BH149" s="471">
        <f>IF(BG$149=0,"N.D.",BG149/BG$149)</f>
        <v>1</v>
      </c>
      <c r="BI149" s="418">
        <f ca="1">INDIRECT(ADDRESS(MATCH(B146,BDPP!$B:$B,0)+6,MATCH(TEXT(EDATE(MES_CIERRE,1),"MMMM"),BDPP!$1:$1,0),,,"BDPP"))/1000</f>
        <v>236.773</v>
      </c>
      <c r="BJ149" s="471">
        <f ca="1">IF(BI$149=0,"N.D.",BI149/BI$149)</f>
        <v>1</v>
      </c>
      <c r="BK149" s="418">
        <f ca="1">INDIRECT(ADDRESS(MATCH(B146,INDIRECT("'"&amp;IF(MONTH(MES_CIERRE)=12,"ER ACT","ER AA")&amp;"'!$B:$B"),0)+1,MATCH(TEXT(EDATE(MES_CIERRE,1),"MMMM"),'ER AA'!$1:$1,0),,,IF(MONTH(MES_CIERRE)=12,"ER ACT","ER AA")))</f>
        <v>252.08104</v>
      </c>
      <c r="BL149" s="471">
        <f ca="1">IF(BK$149=0,"N.D.",BK149/BK$149)</f>
        <v>1</v>
      </c>
      <c r="BM149" s="418">
        <f ca="1">BG149-BI149</f>
        <v>-20.772999999999996</v>
      </c>
      <c r="BN149" s="471">
        <f ca="1">IF(BI149=0,"N.D.",BG149/BI149-1)</f>
        <v>-8.7733821001550027E-2</v>
      </c>
      <c r="BO149" s="418">
        <f ca="1">BG149-BK149</f>
        <v>-36.081040000000002</v>
      </c>
      <c r="BP149" s="471">
        <f ca="1">IF(BK149=0,"N.D.",BG149/BK149-1)</f>
        <v>-0.14313270049980753</v>
      </c>
      <c r="BQ149" s="353"/>
    </row>
    <row r="150" spans="1:69" ht="12.5" customHeight="1" x14ac:dyDescent="0.25">
      <c r="A150" s="238"/>
      <c r="B150" t="s">
        <v>39</v>
      </c>
      <c r="C150" s="314">
        <f>BDER!D101/1000</f>
        <v>77.319210000000012</v>
      </c>
      <c r="D150" s="414">
        <f>IF(C$149=0,"N.D.",C150/C$149)</f>
        <v>0.35273030737028666</v>
      </c>
      <c r="E150" s="314">
        <f>BDER!L101/1000</f>
        <v>91.45</v>
      </c>
      <c r="F150" s="472">
        <f>IF(E$149=0,"N.D.",E150/E$149)</f>
        <v>0.35400182710620443</v>
      </c>
      <c r="G150" s="314">
        <f>BDER!F101/1000</f>
        <v>89.033910000000006</v>
      </c>
      <c r="H150" s="472">
        <f>IF(G$149=0,"N.D.",G150/G$149)</f>
        <v>0.35319558345205176</v>
      </c>
      <c r="I150" s="314">
        <f>C150-E150</f>
        <v>-14.13078999999999</v>
      </c>
      <c r="J150" s="472">
        <f>IF(E150=0,"N.D.",C150/E150-1)</f>
        <v>-0.15451930016402393</v>
      </c>
      <c r="K150" s="314">
        <f>C150-G150</f>
        <v>-11.714699999999993</v>
      </c>
      <c r="L150" s="472">
        <f>IF(G150=0,"N.D.",C150/G150-1)</f>
        <v>-0.13157571087240794</v>
      </c>
      <c r="M150" s="175"/>
      <c r="AD150" t="s">
        <v>39</v>
      </c>
      <c r="AE150" s="314">
        <f>BDER!E101/1000</f>
        <v>487.76193999999998</v>
      </c>
      <c r="AF150" s="177">
        <f>IF(AE$149=0,"N.D.",AE150/AE$149)</f>
        <v>0.34643866467972351</v>
      </c>
      <c r="AG150" s="314">
        <f>BDER!M101/1000</f>
        <v>537.15300000000002</v>
      </c>
      <c r="AH150" s="472">
        <f>IF(AG$149=0,"N.D.",AG150/AG$149)</f>
        <v>0.35400031633473483</v>
      </c>
      <c r="AI150" s="314">
        <f>BDER!I101/1000</f>
        <v>523.76346000000001</v>
      </c>
      <c r="AJ150" s="472">
        <f>IF(AI$149=0,"N.D.",AI150/AI$149)</f>
        <v>0.35238969004303394</v>
      </c>
      <c r="AK150" s="314">
        <f>AE150-AG150</f>
        <v>-49.391060000000039</v>
      </c>
      <c r="AL150" s="472">
        <f>IF(AG150=0,"N.D.",AE150/AG150-1)</f>
        <v>-9.194970520503476E-2</v>
      </c>
      <c r="AM150" s="314">
        <f>AE150-AI150</f>
        <v>-36.001520000000028</v>
      </c>
      <c r="AN150" s="472">
        <f>IF(AI150=0,"N.D.",AE150/AI150-1)</f>
        <v>-6.8736219208571758E-2</v>
      </c>
      <c r="AO150" s="175"/>
      <c r="BF150" s="290" t="s">
        <v>39</v>
      </c>
      <c r="BG150" s="314">
        <f>BG149*D150</f>
        <v>76.189746391981913</v>
      </c>
      <c r="BH150" s="472">
        <f>IF(BG$149=0,"N.D.",BG150/BG$149)</f>
        <v>0.35273030737028666</v>
      </c>
      <c r="BI150" s="460">
        <f ca="1">INDIRECT(ADDRESS(MATCH(B146,BDPP!$B:$B,0)+7,MATCH(TEXT(EDATE(MES_CIERRE,1),"MMMM"),BDPP!$1:$1,0),,,"BDPP"))/1000</f>
        <v>83.817999999999998</v>
      </c>
      <c r="BJ150" s="472">
        <f ca="1">IF(BI$149=0,"N.D.",BI150/BI$149)</f>
        <v>0.35400151199672258</v>
      </c>
      <c r="BK150" s="460">
        <f ca="1">INDIRECT(ADDRESS(MATCH(B146,INDIRECT("'"&amp;IF(MONTH(MES_CIERRE)=12,"ER ACT","ER AA")&amp;"'!$B:$B"),0)+2,MATCH(TEXT(EDATE(MES_CIERRE,1),"MMMM"),'ER AA'!$1:$1,0),,,IF(MONTH(MES_CIERRE)=12,"ER ACT","ER AA")))</f>
        <v>89.033910000000006</v>
      </c>
      <c r="BL150" s="472">
        <f ca="1">IF(BK$149=0,"N.D.",BK150/BK$149)</f>
        <v>0.35319558345205176</v>
      </c>
      <c r="BM150" s="314">
        <f ca="1">BG150-BI150</f>
        <v>-7.6282536080180847</v>
      </c>
      <c r="BN150" s="472">
        <f ca="1">IF(BI150=0,"N.D.",BG150/BI150-1)</f>
        <v>-9.1009730702451552E-2</v>
      </c>
      <c r="BO150" s="314">
        <f ca="1">BG150-BK150</f>
        <v>-12.844163608018093</v>
      </c>
      <c r="BP150" s="472">
        <f ca="1">IF(BK150=0,"N.D.",BG150/BK150-1)</f>
        <v>-0.14426147978919601</v>
      </c>
      <c r="BQ150" s="353"/>
    </row>
    <row r="151" spans="1:69" ht="9" hidden="1" customHeight="1" x14ac:dyDescent="0.25">
      <c r="A151" s="238"/>
      <c r="B151" t="s">
        <v>219</v>
      </c>
      <c r="C151" s="314">
        <f>BDER!D102/1000</f>
        <v>0</v>
      </c>
      <c r="D151" s="414">
        <f>IF(C$149=0,"N.D.",C151/C$149)</f>
        <v>0</v>
      </c>
      <c r="E151" s="314">
        <f>BDER!L102/1000</f>
        <v>0</v>
      </c>
      <c r="F151" s="472">
        <f>IF(E$149=0,"N.D.",E151/E$149)</f>
        <v>0</v>
      </c>
      <c r="G151" s="314">
        <f>BDER!F102/1000</f>
        <v>0</v>
      </c>
      <c r="H151" s="472">
        <f>IF(G$149=0,"N.D.",G151/G$149)</f>
        <v>0</v>
      </c>
      <c r="I151" s="314">
        <f>C151-E151</f>
        <v>0</v>
      </c>
      <c r="J151" s="472" t="str">
        <f>IF(E151=0,"N.D.",C151/E151-1)</f>
        <v>N.D.</v>
      </c>
      <c r="K151" s="314">
        <f>C151-G151</f>
        <v>0</v>
      </c>
      <c r="L151" s="472" t="str">
        <f>IF(G151=0,"N.D.",C151/G151-1)</f>
        <v>N.D.</v>
      </c>
      <c r="M151" s="175"/>
      <c r="AD151" t="s">
        <v>219</v>
      </c>
      <c r="AE151" s="314">
        <f>BDER!E102/1000</f>
        <v>0</v>
      </c>
      <c r="AF151" s="177">
        <f>IF(AE$149=0,"N.D.",AE151/AE$149)</f>
        <v>0</v>
      </c>
      <c r="AG151" s="314">
        <f>BDER!M102/1000</f>
        <v>0</v>
      </c>
      <c r="AH151" s="472">
        <f>IF(AG$149=0,"N.D.",AG151/AG$149)</f>
        <v>0</v>
      </c>
      <c r="AI151" s="314">
        <f>BDER!I102/1000</f>
        <v>0</v>
      </c>
      <c r="AJ151" s="472">
        <f>IF(AI$149=0,"N.D.",AI151/AI$149)</f>
        <v>0</v>
      </c>
      <c r="AK151" s="314">
        <f>AE151-AG151</f>
        <v>0</v>
      </c>
      <c r="AL151" s="472" t="str">
        <f>IF(AG151=0,"N.D.",AE151/AG151-1)</f>
        <v>N.D.</v>
      </c>
      <c r="AM151" s="314">
        <f>AE151-AI151</f>
        <v>0</v>
      </c>
      <c r="AN151" s="472" t="str">
        <f>IF(AI151=0,"N.D.",AE151/AI151-1)</f>
        <v>N.D.</v>
      </c>
      <c r="AO151" s="175"/>
      <c r="BF151" s="290" t="s">
        <v>219</v>
      </c>
      <c r="BG151" s="314">
        <f>BDER!Q102/1000</f>
        <v>0</v>
      </c>
      <c r="BH151" s="472">
        <f>IF(BG$149=0,"N.D.",BG151/BG$149)</f>
        <v>0</v>
      </c>
      <c r="BI151" s="314">
        <f>BDER!Y99/1000</f>
        <v>0</v>
      </c>
      <c r="BJ151" s="472">
        <f ca="1">IF(BI$149=0,"N.D.",BI151/BI$149)</f>
        <v>0</v>
      </c>
      <c r="BK151" s="314">
        <f>BDER!U99/1000</f>
        <v>0</v>
      </c>
      <c r="BL151" s="472">
        <f ca="1">IF(BK$149=0,"N.D.",BK151/BK$149)</f>
        <v>0</v>
      </c>
      <c r="BM151" s="314">
        <f>BG151-BI151</f>
        <v>0</v>
      </c>
      <c r="BN151" s="472" t="str">
        <f>IF(BI151=0,"N.D.",BG151/BI151-1)</f>
        <v>N.D.</v>
      </c>
      <c r="BO151" s="314">
        <f>BG151-BK151</f>
        <v>0</v>
      </c>
      <c r="BP151" s="472" t="str">
        <f>IF(BK151=0,"N.D.",BG151/BK151-1)</f>
        <v>N.D.</v>
      </c>
      <c r="BQ151" s="353"/>
    </row>
    <row r="152" spans="1:69" ht="12.5" customHeight="1" x14ac:dyDescent="0.3">
      <c r="A152" s="238"/>
      <c r="B152" t="s">
        <v>40</v>
      </c>
      <c r="C152" s="381">
        <f>C149-C150-C151</f>
        <v>141.88284999999996</v>
      </c>
      <c r="D152" s="415">
        <f>IF(C$149=0,"N.D.",C152/C$149)</f>
        <v>0.64726969262971323</v>
      </c>
      <c r="E152" s="381">
        <f>E149-E150-E151</f>
        <v>166.88200000000001</v>
      </c>
      <c r="F152" s="402">
        <f>IF(E$149=0,"N.D.",E152/E$149)</f>
        <v>0.64599817289379557</v>
      </c>
      <c r="G152" s="381">
        <f>G149-G150-G151</f>
        <v>163.04712999999998</v>
      </c>
      <c r="H152" s="402">
        <f>IF(G$149=0,"N.D.",G152/G$149)</f>
        <v>0.64680441654794818</v>
      </c>
      <c r="I152" s="381">
        <f>C152-E152</f>
        <v>-24.999150000000043</v>
      </c>
      <c r="J152" s="402">
        <f>IF(E152=0,"N.D.",C152/E152-1)</f>
        <v>-0.14980135664721206</v>
      </c>
      <c r="K152" s="381">
        <f>C152-G152</f>
        <v>-21.164280000000019</v>
      </c>
      <c r="L152" s="402">
        <f>IF(G152=0,"N.D.",C152/G152-1)</f>
        <v>-0.1298046767213874</v>
      </c>
      <c r="M152" s="175"/>
      <c r="AD152" t="s">
        <v>40</v>
      </c>
      <c r="AE152" s="381">
        <f>AE149-AE150-AE151</f>
        <v>920.16965000000016</v>
      </c>
      <c r="AF152" s="179">
        <f>IF(AE$149=0,"N.D.",AE152/AE$149)</f>
        <v>0.65356133532027649</v>
      </c>
      <c r="AG152" s="381">
        <f>AG149-AG150-AG151</f>
        <v>980.22700000000009</v>
      </c>
      <c r="AH152" s="402">
        <f>IF(AG$149=0,"N.D.",AG152/AG$149)</f>
        <v>0.64599968366526517</v>
      </c>
      <c r="AI152" s="381">
        <f>AI149-AI150-AI151</f>
        <v>962.55544999999995</v>
      </c>
      <c r="AJ152" s="402">
        <f>IF(AI$149=0,"N.D.",AI152/AI$149)</f>
        <v>0.64761030995696611</v>
      </c>
      <c r="AK152" s="381">
        <f>AE152-AG152</f>
        <v>-60.057349999999929</v>
      </c>
      <c r="AL152" s="402">
        <f>IF(AG152=0,"N.D.",AE152/AG152-1)</f>
        <v>-6.1268818345138309E-2</v>
      </c>
      <c r="AM152" s="381">
        <f>AE152-AI152</f>
        <v>-42.38579999999979</v>
      </c>
      <c r="AN152" s="402">
        <f>IF(AI152=0,"N.D.",AE152/AI152-1)</f>
        <v>-4.4034657951393608E-2</v>
      </c>
      <c r="AO152" s="175"/>
      <c r="BF152" s="290" t="s">
        <v>40</v>
      </c>
      <c r="BG152" s="381">
        <f>BG149-BG150-BG151</f>
        <v>139.81025360801809</v>
      </c>
      <c r="BH152" s="402">
        <f>IF(BG$149=0,"N.D.",BG152/BG$149)</f>
        <v>0.64726969262971334</v>
      </c>
      <c r="BI152" s="381">
        <f ca="1">BI149-BI150-BI151</f>
        <v>152.95499999999998</v>
      </c>
      <c r="BJ152" s="402">
        <f ca="1">IF(BI$149=0,"N.D.",BI152/BI$149)</f>
        <v>0.6459984880032773</v>
      </c>
      <c r="BK152" s="381">
        <f ca="1">BK149-BK150-BK151</f>
        <v>163.04712999999998</v>
      </c>
      <c r="BL152" s="402">
        <f ca="1">IF(BK$149=0,"N.D.",BK152/BK$149)</f>
        <v>0.64680441654794818</v>
      </c>
      <c r="BM152" s="381">
        <f ca="1">BG152-BI152</f>
        <v>-13.144746391981897</v>
      </c>
      <c r="BN152" s="402">
        <f ca="1">IF(BI152=0,"N.D.",BG152/BI152-1)</f>
        <v>-8.5938651184870651E-2</v>
      </c>
      <c r="BO152" s="381">
        <f ca="1">BG152-BK152</f>
        <v>-23.236876391981895</v>
      </c>
      <c r="BP152" s="402">
        <f ca="1">IF(BK152=0,"N.D.",BG152/BK152-1)</f>
        <v>-0.14251631655204167</v>
      </c>
      <c r="BQ152" s="354"/>
    </row>
    <row r="153" spans="1:69" ht="12.5" customHeight="1" x14ac:dyDescent="0.25">
      <c r="A153" s="238"/>
      <c r="C153" s="419"/>
      <c r="D153" s="416"/>
      <c r="E153" s="419"/>
      <c r="F153" s="352"/>
      <c r="G153" s="419"/>
      <c r="H153" s="352"/>
      <c r="I153" s="419"/>
      <c r="J153" s="352"/>
      <c r="K153" s="419"/>
      <c r="L153" s="352"/>
      <c r="M153" s="175"/>
      <c r="AE153" s="419"/>
      <c r="AF153" s="181"/>
      <c r="AG153" s="419"/>
      <c r="AH153" s="352"/>
      <c r="AI153" s="419"/>
      <c r="AJ153" s="352"/>
      <c r="AK153" s="419"/>
      <c r="AL153" s="352"/>
      <c r="AM153" s="419"/>
      <c r="AN153" s="352"/>
      <c r="AO153" s="175"/>
      <c r="BG153" s="419"/>
      <c r="BH153" s="352"/>
      <c r="BI153" s="419"/>
      <c r="BJ153" s="352"/>
      <c r="BK153" s="419"/>
      <c r="BL153" s="352"/>
      <c r="BM153" s="419"/>
      <c r="BN153" s="352"/>
      <c r="BO153" s="419"/>
      <c r="BP153" s="352"/>
      <c r="BQ153" s="352"/>
    </row>
    <row r="154" spans="1:69" ht="12.5" customHeight="1" x14ac:dyDescent="0.25">
      <c r="A154" s="238"/>
      <c r="B154" t="s">
        <v>41</v>
      </c>
      <c r="C154" s="418">
        <f>BDER!D104/1000</f>
        <v>154.68935000000002</v>
      </c>
      <c r="D154" s="417">
        <f>IF(C$149=0,"N.D.",C154/C$149)</f>
        <v>0.70569295744757154</v>
      </c>
      <c r="E154" s="418">
        <f>BDER!L104/1000</f>
        <v>169.166</v>
      </c>
      <c r="F154" s="471">
        <f>IF(E$149=0,"N.D.",E154/E$149)</f>
        <v>0.65483950884907793</v>
      </c>
      <c r="G154" s="418">
        <f>BDER!F104/1000</f>
        <v>167.87632000000002</v>
      </c>
      <c r="H154" s="471">
        <f>IF(G$149=0,"N.D.",G154/G$149)</f>
        <v>0.6659617081871767</v>
      </c>
      <c r="I154" s="418">
        <f>C154-E154</f>
        <v>-14.476649999999978</v>
      </c>
      <c r="J154" s="471">
        <f>IF(E154=0,"N.D.",C154/E154-1)</f>
        <v>-8.557659340529411E-2</v>
      </c>
      <c r="K154" s="418">
        <f>C154-G154</f>
        <v>-13.186970000000002</v>
      </c>
      <c r="L154" s="471">
        <f>IF(G154=0,"N.D.",C154/G154-1)</f>
        <v>-7.8551698059619146E-2</v>
      </c>
      <c r="M154" s="175"/>
      <c r="AD154" t="s">
        <v>41</v>
      </c>
      <c r="AE154" s="418">
        <f>BDER!E104/1000</f>
        <v>936.05881000000011</v>
      </c>
      <c r="AF154" s="183">
        <f>IF(AE$149=0,"N.D.",AE154/AE$149)</f>
        <v>0.66484679841582361</v>
      </c>
      <c r="AG154" s="418">
        <f>BDER!M104/1000</f>
        <v>1019.6660000000001</v>
      </c>
      <c r="AH154" s="471">
        <f>IF(AG$149=0,"N.D.",AG154/AG$149)</f>
        <v>0.67199119534987939</v>
      </c>
      <c r="AI154" s="418">
        <f>BDER!I104/1000</f>
        <v>996.45270999999991</v>
      </c>
      <c r="AJ154" s="471">
        <f>IF(AI$149=0,"N.D.",AI154/AI$149)</f>
        <v>0.67041649224526112</v>
      </c>
      <c r="AK154" s="418">
        <f>AE154-AG154</f>
        <v>-83.607189999999946</v>
      </c>
      <c r="AL154" s="471">
        <f>IF(AG154=0,"N.D.",AE154/AG154-1)</f>
        <v>-8.1994682572528621E-2</v>
      </c>
      <c r="AM154" s="418">
        <f>AE154-AI154</f>
        <v>-60.393899999999803</v>
      </c>
      <c r="AN154" s="471">
        <f>IF(AI154=0,"N.D.",AE154/AI154-1)</f>
        <v>-6.0608897335428846E-2</v>
      </c>
      <c r="AO154" s="175"/>
      <c r="BF154" s="290" t="s">
        <v>41</v>
      </c>
      <c r="BG154" s="418">
        <f>BG149*D154</f>
        <v>152.42967880867545</v>
      </c>
      <c r="BH154" s="471">
        <f>IF(BG$149=0,"N.D.",BG154/BG$149)</f>
        <v>0.70569295744757154</v>
      </c>
      <c r="BI154" s="418">
        <f ca="1">INDIRECT(ADDRESS(MATCH(B146,BDPP!$B:$B,0)+10,MATCH(TEXT(EDATE(MES_CIERRE,1),"MMMM"),BDPP!$1:$1,0),,,"BDPP"))/1000</f>
        <v>165.20400000000001</v>
      </c>
      <c r="BJ154" s="471">
        <f ca="1">IF(BI$149=0,"N.D.",BI154/BI$149)</f>
        <v>0.69773158257064793</v>
      </c>
      <c r="BK154" s="418">
        <f ca="1">INDIRECT(ADDRESS(MATCH(B146,INDIRECT("'"&amp;IF(MONTH(MES_CIERRE)=10,"ER ACT","ER AA")&amp;"'!$B:$B"),0)+6,MATCH(TEXT(EDATE(MES_CIERRE,1),"MMMM"),'ER AA'!$1:$1,0),,,IF(MONTH(MES_CIERRE)=12,"ER ACT","ER AA")))</f>
        <v>167.87632000000002</v>
      </c>
      <c r="BL154" s="471">
        <f ca="1">IF(BK$149=0,"N.D.",BK154/BK$149)</f>
        <v>0.6659617081871767</v>
      </c>
      <c r="BM154" s="418">
        <f ca="1">BG154-BI154</f>
        <v>-12.77432119132456</v>
      </c>
      <c r="BN154" s="471">
        <f ca="1">IF(BI154=0,"N.D.",BG154/BI154-1)</f>
        <v>-7.732452719864269E-2</v>
      </c>
      <c r="BO154" s="418">
        <f ca="1">BG154-BK154</f>
        <v>-15.446641191324574</v>
      </c>
      <c r="BP154" s="471">
        <f ca="1">IF(BK154=0,"N.D.",BG154/BK154-1)</f>
        <v>-9.2012031186557874E-2</v>
      </c>
      <c r="BQ154" s="353"/>
    </row>
    <row r="155" spans="1:69" ht="12.5" customHeight="1" x14ac:dyDescent="0.25">
      <c r="A155" s="238"/>
      <c r="B155" t="s">
        <v>42</v>
      </c>
      <c r="C155" s="314">
        <f>BDER!D105/1000</f>
        <v>10.80691</v>
      </c>
      <c r="D155" s="414">
        <f>IF(C$149=0,"N.D.",C155/C$149)</f>
        <v>4.9301133392633263E-2</v>
      </c>
      <c r="E155" s="314">
        <f>BDER!L105/1000</f>
        <v>16.731000000000002</v>
      </c>
      <c r="F155" s="472">
        <f>IF(E$149=0,"N.D.",E155/E$149)</f>
        <v>6.4765495563848086E-2</v>
      </c>
      <c r="G155" s="314">
        <f>BDER!F105/1000</f>
        <v>18.336869999999998</v>
      </c>
      <c r="H155" s="472">
        <f>IF(G$149=0,"N.D.",G155/G$149)</f>
        <v>7.2741964250861532E-2</v>
      </c>
      <c r="I155" s="314">
        <f>C155-E155</f>
        <v>-5.9240900000000014</v>
      </c>
      <c r="J155" s="472">
        <f>IF(E155=0,"N.D.",C155/E155-1)</f>
        <v>-0.35407865638634872</v>
      </c>
      <c r="K155" s="314">
        <f>C155-G155</f>
        <v>-7.5299599999999973</v>
      </c>
      <c r="L155" s="472">
        <f>IF(G155=0,"N.D.",C155/G155-1)</f>
        <v>-0.41064587358693161</v>
      </c>
      <c r="M155" s="175"/>
      <c r="AD155" t="s">
        <v>42</v>
      </c>
      <c r="AE155" s="314">
        <f>BDER!E105/1000</f>
        <v>82.873140000000006</v>
      </c>
      <c r="AF155" s="177">
        <f>IF(AE$149=0,"N.D.",AE155/AE$149)</f>
        <v>5.8861624093539941E-2</v>
      </c>
      <c r="AG155" s="314">
        <f>BDER!M105/1000</f>
        <v>105.95399999999999</v>
      </c>
      <c r="AH155" s="472">
        <f>IF(AG$149=0,"N.D.",AG155/AG$149)</f>
        <v>6.9826938538797123E-2</v>
      </c>
      <c r="AI155" s="314">
        <f>BDER!I105/1000</f>
        <v>107.50607000000001</v>
      </c>
      <c r="AJ155" s="472">
        <f>IF(AI$149=0,"N.D.",AI155/AI$149)</f>
        <v>7.2330419317614691E-2</v>
      </c>
      <c r="AK155" s="314">
        <f>AE155-AG155</f>
        <v>-23.080859999999987</v>
      </c>
      <c r="AL155" s="472">
        <f>IF(AG155=0,"N.D.",AE155/AG155-1)</f>
        <v>-0.21783849595107296</v>
      </c>
      <c r="AM155" s="314">
        <f>AE155-AI155</f>
        <v>-24.632930000000002</v>
      </c>
      <c r="AN155" s="472">
        <f>IF(AI155=0,"N.D.",AE155/AI155-1)</f>
        <v>-0.22913059699791838</v>
      </c>
      <c r="AO155" s="175"/>
      <c r="BF155" s="290" t="s">
        <v>42</v>
      </c>
      <c r="BG155" s="314">
        <v>16</v>
      </c>
      <c r="BH155" s="472">
        <f>IF(BG$149=0,"N.D.",BG155/BG$149)</f>
        <v>7.407407407407407E-2</v>
      </c>
      <c r="BI155" s="314">
        <f ca="1">INDIRECT(ADDRESS(MATCH(B146,BDPP!$B:$B,0)+11,MATCH(TEXT(EDATE(MES_CIERRE,1),"MMMM"),BDPP!$1:$1,0),,,"BDPP"))/1000</f>
        <v>14.71</v>
      </c>
      <c r="BJ155" s="472">
        <f ca="1">IF(BI$149=0,"N.D.",BI155/BI$149)</f>
        <v>6.2127016171607409E-2</v>
      </c>
      <c r="BK155" s="314">
        <f ca="1">INDIRECT(ADDRESS(MATCH(B146,INDIRECT("'"&amp;IF(MONTH(MES_CIERRE)=10,"ER ACT","ER AA")&amp;"'!$B:$B"),0)+7,MATCH(TEXT(EDATE(MES_CIERRE,1),"MMMM"),'ER AA'!$1:$1,0),,,IF(MONTH(MES_CIERRE)=12,"ER ACT","ER AA")))</f>
        <v>18.336869999999998</v>
      </c>
      <c r="BL155" s="472">
        <f ca="1">IF(BK$149=0,"N.D.",BK155/BK$149)</f>
        <v>7.2741964250861532E-2</v>
      </c>
      <c r="BM155" s="314">
        <f ca="1">BG155-BI155</f>
        <v>1.2899999999999991</v>
      </c>
      <c r="BN155" s="472">
        <f ca="1">IF(BI155=0,"N.D.",BG155/BI155-1)</f>
        <v>8.7695445275322914E-2</v>
      </c>
      <c r="BO155" s="314">
        <f ca="1">BG155-BK155</f>
        <v>-2.3368699999999976</v>
      </c>
      <c r="BP155" s="472">
        <f ca="1">IF(BK155=0,"N.D.",BG155/BK155-1)</f>
        <v>-0.12744105182618393</v>
      </c>
      <c r="BQ155" s="353"/>
    </row>
    <row r="156" spans="1:69" ht="12.5" customHeight="1" x14ac:dyDescent="0.25">
      <c r="A156" s="238"/>
      <c r="B156" t="s">
        <v>43</v>
      </c>
      <c r="C156" s="314">
        <f>BDER!D106/1000</f>
        <v>9.2417600000000011</v>
      </c>
      <c r="D156" s="414">
        <f>IF(C$149=0,"N.D.",C156/C$149)</f>
        <v>4.2160917648310432E-2</v>
      </c>
      <c r="E156" s="314">
        <f>BDER!L106/1000</f>
        <v>9.2420000000000009</v>
      </c>
      <c r="F156" s="472">
        <f>IF(E$149=0,"N.D.",E156/E$149)</f>
        <v>3.5775668519579459E-2</v>
      </c>
      <c r="G156" s="314">
        <f>BDER!F106/1000</f>
        <v>12.40868</v>
      </c>
      <c r="H156" s="472">
        <f>IF(G$149=0,"N.D.",G156/G$149)</f>
        <v>4.9224963527602077E-2</v>
      </c>
      <c r="I156" s="314">
        <f>C156-E156</f>
        <v>-2.3999999999979593E-4</v>
      </c>
      <c r="J156" s="472">
        <f>IF(E156=0,"N.D.",C156/E156-1)</f>
        <v>-2.5968405107046344E-5</v>
      </c>
      <c r="K156" s="314">
        <f>C156-G156</f>
        <v>-3.1669199999999993</v>
      </c>
      <c r="L156" s="472">
        <f>IF(G156=0,"N.D.",C156/G156-1)</f>
        <v>-0.25521812150849232</v>
      </c>
      <c r="M156" s="175"/>
      <c r="AD156" t="s">
        <v>43</v>
      </c>
      <c r="AE156" s="314">
        <f>BDER!E106/1000</f>
        <v>55.450559999999996</v>
      </c>
      <c r="AF156" s="472">
        <f>IF(AE$149=0,"N.D.",AE156/AE$149)</f>
        <v>3.9384413556627411E-2</v>
      </c>
      <c r="AG156" s="314">
        <f>BDER!M106/1000</f>
        <v>55.451999999999998</v>
      </c>
      <c r="AH156" s="472">
        <f>IF(AG$149=0,"N.D.",AG156/AG$149)</f>
        <v>3.6544570246082056E-2</v>
      </c>
      <c r="AI156" s="314">
        <f>BDER!I106/1000</f>
        <v>74.452079999999995</v>
      </c>
      <c r="AJ156" s="472">
        <f>IF(AI$149=0,"N.D.",AI156/AI$149)</f>
        <v>5.0091591716343024E-2</v>
      </c>
      <c r="AK156" s="314">
        <f>AE156-AG156</f>
        <v>-1.4400000000023283E-3</v>
      </c>
      <c r="AL156" s="472">
        <f>IF(AG156=0,"N.D.",AE156/AG156-1)</f>
        <v>-2.5968405107157366E-5</v>
      </c>
      <c r="AM156" s="314">
        <f>AE156-AI156</f>
        <v>-19.001519999999999</v>
      </c>
      <c r="AN156" s="472">
        <f>IF(AI156=0,"N.D.",AE156/AI156-1)</f>
        <v>-0.25521812150849243</v>
      </c>
      <c r="AO156" s="175"/>
      <c r="BF156" s="290" t="s">
        <v>43</v>
      </c>
      <c r="BG156" s="314">
        <v>9</v>
      </c>
      <c r="BH156" s="472">
        <f>IF(BG$149=0,"N.D.",BG156/BG$149)</f>
        <v>4.1666666666666664E-2</v>
      </c>
      <c r="BI156" s="314">
        <f ca="1">INDIRECT(ADDRESS(MATCH(B146,BDPP!$B:$B,0)+12,MATCH(TEXT(EDATE(MES_CIERRE,1),"MMMM"),BDPP!$1:$1,0),,,"BDPP"))/1000</f>
        <v>9.2420000000000009</v>
      </c>
      <c r="BJ156" s="472">
        <f ca="1">IF(BI$149=0,"N.D.",BI156/BI$149)</f>
        <v>3.9033166788442944E-2</v>
      </c>
      <c r="BK156" s="314">
        <f ca="1">INDIRECT(ADDRESS(MATCH(B146,INDIRECT("'"&amp;IF(MONTH(MES_CIERRE)=10,"ER ACT","ER AA")&amp;"'!$B:$B"),0)+8,MATCH(TEXT(EDATE(MES_CIERRE,1),"MMMM"),'ER AA'!$1:$1,0),,,IF(MONTH(MES_CIERRE)=12,"ER ACT","ER AA")))</f>
        <v>12.40868</v>
      </c>
      <c r="BL156" s="472">
        <f ca="1">IF(BK$149=0,"N.D.",BK156/BK$149)</f>
        <v>4.9224963527602077E-2</v>
      </c>
      <c r="BM156" s="314">
        <f ca="1">BG156-BI156</f>
        <v>-0.24200000000000088</v>
      </c>
      <c r="BN156" s="472">
        <f ca="1">IF(BI156=0,"N.D.",BG156/BI156-1)</f>
        <v>-2.6184808483012412E-2</v>
      </c>
      <c r="BO156" s="314">
        <f ca="1">BG156-BK156</f>
        <v>-3.4086800000000004</v>
      </c>
      <c r="BP156" s="472">
        <f ca="1">IF(BK156=0,"N.D.",BG156/BK156-1)</f>
        <v>-0.27470125750684204</v>
      </c>
      <c r="BQ156" s="353"/>
    </row>
    <row r="157" spans="1:69" ht="12.5" customHeight="1" x14ac:dyDescent="0.3">
      <c r="A157" s="238"/>
      <c r="B157" t="s">
        <v>44</v>
      </c>
      <c r="C157" s="381">
        <f>C154+C155+C156</f>
        <v>174.73802000000001</v>
      </c>
      <c r="D157" s="415">
        <f>IF(C$149=0,"N.D.",C157/C$149)</f>
        <v>0.79715500848851517</v>
      </c>
      <c r="E157" s="381">
        <f>E154+E155+E156</f>
        <v>195.13899999999998</v>
      </c>
      <c r="F157" s="402">
        <f>IF(E$149=0,"N.D.",E157/E$149)</f>
        <v>0.75538067293250544</v>
      </c>
      <c r="G157" s="381">
        <f>G154+G155+G156</f>
        <v>198.62187000000003</v>
      </c>
      <c r="H157" s="402">
        <f>IF(G$149=0,"N.D.",G157/G$149)</f>
        <v>0.78792863596564033</v>
      </c>
      <c r="I157" s="381">
        <f>C157-E157</f>
        <v>-20.400979999999976</v>
      </c>
      <c r="J157" s="402">
        <f>IF(E157=0,"N.D.",C157/E157-1)</f>
        <v>-0.10454588780305307</v>
      </c>
      <c r="K157" s="381">
        <f>C157-G157</f>
        <v>-23.883850000000024</v>
      </c>
      <c r="L157" s="402">
        <f>IF(G157=0,"N.D.",C157/G157-1)</f>
        <v>-0.12024783574940678</v>
      </c>
      <c r="M157" s="175"/>
      <c r="AD157" t="s">
        <v>44</v>
      </c>
      <c r="AE157" s="381">
        <f>AE154+AE155+AE156</f>
        <v>1074.3825100000001</v>
      </c>
      <c r="AF157" s="402">
        <f>IF(AE$149=0,"N.D.",AE157/AE$149)</f>
        <v>0.76309283606599099</v>
      </c>
      <c r="AG157" s="381">
        <f>AG154+AG155+AG156</f>
        <v>1181.0720000000001</v>
      </c>
      <c r="AH157" s="402">
        <f>IF(AG$149=0,"N.D.",AG157/AG$149)</f>
        <v>0.77836270413475861</v>
      </c>
      <c r="AI157" s="381">
        <f>AI154+AI155+AI156</f>
        <v>1178.41086</v>
      </c>
      <c r="AJ157" s="402">
        <f>IF(AI$149=0,"N.D.",AI157/AI$149)</f>
        <v>0.7928385032792189</v>
      </c>
      <c r="AK157" s="381">
        <f>AE157-AG157</f>
        <v>-106.68948999999998</v>
      </c>
      <c r="AL157" s="402">
        <f>IF(AG157=0,"N.D.",AE157/AG157-1)</f>
        <v>-9.0332757020740506E-2</v>
      </c>
      <c r="AM157" s="381">
        <f>AE157-AI157</f>
        <v>-104.02834999999982</v>
      </c>
      <c r="AN157" s="402">
        <f>IF(AI157=0,"N.D.",AE157/AI157-1)</f>
        <v>-8.8278505851515865E-2</v>
      </c>
      <c r="AO157" s="175"/>
      <c r="BF157" s="290" t="s">
        <v>44</v>
      </c>
      <c r="BG157" s="381">
        <f>BG154+BG155+BG156</f>
        <v>177.42967880867545</v>
      </c>
      <c r="BH157" s="402">
        <f>IF(BG$149=0,"N.D.",BG157/BG$149)</f>
        <v>0.82143369818831224</v>
      </c>
      <c r="BI157" s="381">
        <f ca="1">BI154+BI155+BI156</f>
        <v>189.15600000000001</v>
      </c>
      <c r="BJ157" s="402">
        <f ca="1">IF(BI$149=0,"N.D.",BI157/BI$149)</f>
        <v>0.79889176553069818</v>
      </c>
      <c r="BK157" s="381">
        <f ca="1">BK154+BK155+BK156</f>
        <v>198.62187000000003</v>
      </c>
      <c r="BL157" s="402">
        <f ca="1">IF(BK$149=0,"N.D.",BK157/BK$149)</f>
        <v>0.78792863596564033</v>
      </c>
      <c r="BM157" s="381">
        <f ca="1">BG157-BI157</f>
        <v>-11.726321191324558</v>
      </c>
      <c r="BN157" s="402">
        <f ca="1">IF(BI157=0,"N.D.",BG157/BI157-1)</f>
        <v>-6.1992858758509128E-2</v>
      </c>
      <c r="BO157" s="381">
        <f ca="1">BG157-BK157</f>
        <v>-21.192191191324582</v>
      </c>
      <c r="BP157" s="402">
        <f ca="1">IF(BK157=0,"N.D.",BG157/BK157-1)</f>
        <v>-0.1066961618643737</v>
      </c>
      <c r="BQ157" s="354"/>
    </row>
    <row r="158" spans="1:69" ht="12.5" customHeight="1" x14ac:dyDescent="0.3">
      <c r="A158" s="238"/>
      <c r="B158" t="s">
        <v>45</v>
      </c>
      <c r="C158" s="381">
        <f>C152-C157</f>
        <v>-32.855170000000044</v>
      </c>
      <c r="D158" s="415">
        <f>IF(C$149=0,"N.D.",C158/C$149)</f>
        <v>-0.14988531585880191</v>
      </c>
      <c r="E158" s="381">
        <f>E152-E157</f>
        <v>-28.256999999999977</v>
      </c>
      <c r="F158" s="402">
        <f>IF(E$149=0,"N.D.",E158/E$149)</f>
        <v>-0.10938250003870979</v>
      </c>
      <c r="G158" s="381">
        <f>G152-G157</f>
        <v>-35.574740000000048</v>
      </c>
      <c r="H158" s="402">
        <f>IF(G$149=0,"N.D.",G158/G$149)</f>
        <v>-0.14112421941769221</v>
      </c>
      <c r="I158" s="381">
        <f>C158-E158</f>
        <v>-4.5981700000000671</v>
      </c>
      <c r="J158" s="402">
        <f>IF(E158=0,"N.D.",C158/E158-1)</f>
        <v>0.16272675797147862</v>
      </c>
      <c r="K158" s="381">
        <f>C158-G158</f>
        <v>2.7195700000000045</v>
      </c>
      <c r="L158" s="402">
        <f>IF(G158=0,"N.D.",C158/G158-1)</f>
        <v>-7.6446658499823239E-2</v>
      </c>
      <c r="M158" s="175"/>
      <c r="AD158" t="s">
        <v>45</v>
      </c>
      <c r="AE158" s="381">
        <f>AE152-AE157</f>
        <v>-154.21285999999998</v>
      </c>
      <c r="AF158" s="402">
        <f>IF(AE$149=0,"N.D.",AE158/AE$149)</f>
        <v>-0.10953150074571447</v>
      </c>
      <c r="AG158" s="381">
        <f>AG152-AG157</f>
        <v>-200.84500000000003</v>
      </c>
      <c r="AH158" s="402">
        <f>IF(AG$149=0,"N.D.",AG158/AG$149)</f>
        <v>-0.13236302046949347</v>
      </c>
      <c r="AI158" s="381">
        <f>AI152-AI157</f>
        <v>-215.85541000000001</v>
      </c>
      <c r="AJ158" s="402">
        <f>IF(AI$149=0,"N.D.",AI158/AI$149)</f>
        <v>-0.14522819332225276</v>
      </c>
      <c r="AK158" s="381">
        <f>AE158-AG158</f>
        <v>46.632140000000049</v>
      </c>
      <c r="AL158" s="402">
        <f>IF(AG158=0,"N.D.",AE158/AG158-1)</f>
        <v>-0.23217974059598223</v>
      </c>
      <c r="AM158" s="381">
        <f>AE158-AI158</f>
        <v>61.642550000000028</v>
      </c>
      <c r="AN158" s="402">
        <f>IF(AI158=0,"N.D.",AE158/AI158-1)</f>
        <v>-0.28557333818967068</v>
      </c>
      <c r="AO158" s="175"/>
      <c r="BF158" s="290" t="s">
        <v>45</v>
      </c>
      <c r="BG158" s="381">
        <f>BG152-BG157</f>
        <v>-37.619425200657361</v>
      </c>
      <c r="BH158" s="402">
        <f>IF(BG$149=0,"N.D.",BG158/BG$149)</f>
        <v>-0.1741640055585989</v>
      </c>
      <c r="BI158" s="381">
        <f ca="1">BI152-BI157</f>
        <v>-36.201000000000022</v>
      </c>
      <c r="BJ158" s="402">
        <f ca="1">IF(BI$149=0,"N.D.",BI158/BI$149)</f>
        <v>-0.15289327752742088</v>
      </c>
      <c r="BK158" s="381">
        <f ca="1">BK152-BK157</f>
        <v>-35.574740000000048</v>
      </c>
      <c r="BL158" s="402">
        <f ca="1">IF(BK$149=0,"N.D.",BK158/BK$149)</f>
        <v>-0.14112421941769221</v>
      </c>
      <c r="BM158" s="381">
        <f ca="1">BG158-BI158</f>
        <v>-1.4184252006573388</v>
      </c>
      <c r="BN158" s="402">
        <f ca="1">IF(BI158=0,"N.D.",BG158/BI158-1)</f>
        <v>3.9181934218870618E-2</v>
      </c>
      <c r="BO158" s="381">
        <f ca="1">BG158-BK158</f>
        <v>-2.0446852006573124</v>
      </c>
      <c r="BP158" s="402">
        <f ca="1">IF(BK158=0,"N.D.",BG158/BK158-1)</f>
        <v>5.7475759503999413E-2</v>
      </c>
      <c r="BQ158" s="354"/>
    </row>
    <row r="159" spans="1:69" ht="12.5" customHeight="1" x14ac:dyDescent="0.25">
      <c r="A159" s="238"/>
      <c r="C159" s="437"/>
      <c r="D159" s="487"/>
      <c r="E159" s="437"/>
      <c r="F159" s="473"/>
      <c r="G159" s="437"/>
      <c r="H159" s="473"/>
      <c r="I159" s="437"/>
      <c r="J159" s="473"/>
      <c r="K159" s="437"/>
      <c r="L159" s="473"/>
      <c r="M159" s="175"/>
      <c r="AE159" s="437"/>
      <c r="AF159" s="473"/>
      <c r="AG159" s="437"/>
      <c r="AH159" s="473"/>
      <c r="AI159" s="437"/>
      <c r="AJ159" s="473"/>
      <c r="AK159" s="437"/>
      <c r="AL159" s="473"/>
      <c r="AM159" s="437"/>
      <c r="AN159" s="473"/>
      <c r="AO159" s="175"/>
      <c r="BG159" s="437"/>
      <c r="BH159" s="473"/>
      <c r="BI159" s="437"/>
      <c r="BJ159" s="473"/>
      <c r="BK159" s="437"/>
      <c r="BL159" s="473"/>
      <c r="BM159" s="437"/>
      <c r="BN159" s="473"/>
      <c r="BO159" s="437"/>
      <c r="BP159" s="473"/>
      <c r="BQ159" s="352"/>
    </row>
    <row r="160" spans="1:69" ht="12.5" hidden="1" customHeight="1" x14ac:dyDescent="0.25">
      <c r="A160" s="238"/>
      <c r="C160" s="418">
        <v>0</v>
      </c>
      <c r="D160" s="503">
        <f t="shared" ref="D160:D166" si="175">IF(C$149=0,"N.D.",C160/C$149)</f>
        <v>0</v>
      </c>
      <c r="E160" s="418">
        <v>0</v>
      </c>
      <c r="F160" s="504">
        <f t="shared" ref="F160:F166" si="176">IF(E$149=0,"N.D.",E160/E$149)</f>
        <v>0</v>
      </c>
      <c r="G160" s="418">
        <v>0</v>
      </c>
      <c r="H160" s="471">
        <f t="shared" ref="H160:H166" si="177">IF(G$149=0,"N.D.",G160/G$149)</f>
        <v>0</v>
      </c>
      <c r="I160" s="418">
        <f t="shared" ref="I160:I166" si="178">C160-E160</f>
        <v>0</v>
      </c>
      <c r="J160" s="471" t="str">
        <f t="shared" ref="J160:J166" si="179">IF(E160=0,"N.D.",C160/E160-1)</f>
        <v>N.D.</v>
      </c>
      <c r="K160" s="418">
        <f t="shared" ref="K160:K166" si="180">C160-G160</f>
        <v>0</v>
      </c>
      <c r="L160" s="471" t="str">
        <f t="shared" ref="L160:L166" si="181">IF(G160=0,"N.D.",C160/G160-1)</f>
        <v>N.D.</v>
      </c>
      <c r="M160" s="175"/>
      <c r="AE160" s="418">
        <v>0</v>
      </c>
      <c r="AF160" s="471">
        <f t="shared" ref="AF160:AF166" si="182">IF(AE$149=0,"N.D.",AE160/AE$149)</f>
        <v>0</v>
      </c>
      <c r="AG160" s="418">
        <v>0</v>
      </c>
      <c r="AH160" s="471">
        <f t="shared" ref="AH160:AH166" si="183">IF(AG$149=0,"N.D.",AG160/AG$149)</f>
        <v>0</v>
      </c>
      <c r="AI160" s="418">
        <v>0</v>
      </c>
      <c r="AJ160" s="471">
        <f t="shared" ref="AJ160:AJ166" si="184">IF(AI$149=0,"N.D.",AI160/AI$149)</f>
        <v>0</v>
      </c>
      <c r="AK160" s="418">
        <f t="shared" ref="AK160:AK166" si="185">AE160-AG160</f>
        <v>0</v>
      </c>
      <c r="AL160" s="471" t="str">
        <f t="shared" ref="AL160:AL166" si="186">IF(AG160=0,"N.D.",AE160/AG160-1)</f>
        <v>N.D.</v>
      </c>
      <c r="AM160" s="418">
        <f t="shared" ref="AM160:AM166" si="187">AE160-AI160</f>
        <v>0</v>
      </c>
      <c r="AN160" s="471" t="str">
        <f t="shared" ref="AN160:AN166" si="188">IF(AI160=0,"N.D.",AE160/AI160-1)</f>
        <v>N.D.</v>
      </c>
      <c r="AO160" s="175"/>
      <c r="BG160" s="418"/>
      <c r="BH160" s="471">
        <f t="shared" ref="BH160:BH166" si="189">IF(BG$149=0,"N.D.",BG160/BG$149)</f>
        <v>0</v>
      </c>
      <c r="BI160" s="418">
        <f ca="1">INDIRECT(ADDRESS(MATCH(B146,BDPP!$B:$B,0)+15,MATCH(TEXT(EDATE(MES_CIERRE,1),"MMMM"),BDPP!$1:$1,0),,,"BDPP"))/1000</f>
        <v>0</v>
      </c>
      <c r="BJ160" s="471">
        <f t="shared" ref="BJ160:BJ166" ca="1" si="190">IF(BI$149=0,"N.D.",BI160/BI$149)</f>
        <v>0</v>
      </c>
      <c r="BK160" s="418">
        <f ca="1">INDIRECT(ADDRESS(MATCH(B146,INDIRECT("'"&amp;IF(MONTH(MES_CIERRE)=10,"ER ACT","ER AA")&amp;"'!$B:$B"),0)+12,MATCH(TEXT(EDATE(MES_CIERRE,1),"MMMM"),'ER AA'!$1:$1,0),,,IF(MONTH(MES_CIERRE)=12,"ER ACT","ER AA")))</f>
        <v>0</v>
      </c>
      <c r="BL160" s="471">
        <f t="shared" ref="BL160:BL166" ca="1" si="191">IF(BK$149=0,"N.D.",BK160/BK$149)</f>
        <v>0</v>
      </c>
      <c r="BM160" s="418">
        <f t="shared" ref="BM160:BM166" ca="1" si="192">BG160-BI160</f>
        <v>0</v>
      </c>
      <c r="BN160" s="471" t="str">
        <f t="shared" ref="BN160:BN166" ca="1" si="193">IF(BI160=0,"N.D.",BG160/BI160-1)</f>
        <v>N.D.</v>
      </c>
      <c r="BO160" s="418">
        <f t="shared" ref="BO160:BO166" ca="1" si="194">BG160-BK160</f>
        <v>0</v>
      </c>
      <c r="BP160" s="471" t="str">
        <f t="shared" ref="BP160:BP166" ca="1" si="195">IF(BK160=0,"N.D.",BG160/BK160-1)</f>
        <v>N.D.</v>
      </c>
      <c r="BQ160" s="353"/>
    </row>
    <row r="161" spans="1:69" ht="12.5" customHeight="1" x14ac:dyDescent="0.25">
      <c r="A161" s="238"/>
      <c r="B161" t="s">
        <v>52</v>
      </c>
      <c r="C161" s="314">
        <f>BDER!D110/1000</f>
        <v>-4.7894700000000006</v>
      </c>
      <c r="D161" s="505">
        <f t="shared" si="175"/>
        <v>-2.1849566559730329E-2</v>
      </c>
      <c r="E161" s="314">
        <f>BDER!L110/1000</f>
        <v>-2.2109999999999999</v>
      </c>
      <c r="F161" s="506">
        <f t="shared" si="176"/>
        <v>-8.5587538516327822E-3</v>
      </c>
      <c r="G161" s="314">
        <f>BDER!F110/1000</f>
        <v>-0.26700999999999997</v>
      </c>
      <c r="H161" s="472">
        <f t="shared" si="177"/>
        <v>-1.0592228594423442E-3</v>
      </c>
      <c r="I161" s="314">
        <f t="shared" si="178"/>
        <v>-2.5784700000000007</v>
      </c>
      <c r="J161" s="472">
        <f t="shared" si="179"/>
        <v>1.1662008141112623</v>
      </c>
      <c r="K161" s="314">
        <f t="shared" si="180"/>
        <v>-4.5224600000000006</v>
      </c>
      <c r="L161" s="472">
        <f t="shared" si="181"/>
        <v>16.937418074229434</v>
      </c>
      <c r="M161" s="175"/>
      <c r="AD161" t="s">
        <v>52</v>
      </c>
      <c r="AE161" s="314">
        <f>BDER!E110/1000</f>
        <v>-14.05786</v>
      </c>
      <c r="AF161" s="472">
        <f t="shared" si="182"/>
        <v>-9.9847606942323093E-3</v>
      </c>
      <c r="AG161" s="314">
        <f>BDER!M110/1000</f>
        <v>-13.266</v>
      </c>
      <c r="AH161" s="472">
        <f t="shared" si="183"/>
        <v>-8.742701235023527E-3</v>
      </c>
      <c r="AI161" s="314">
        <f>BDER!I110/1000</f>
        <v>-12.616879999999998</v>
      </c>
      <c r="AJ161" s="472">
        <f t="shared" si="184"/>
        <v>-8.4886762289796865E-3</v>
      </c>
      <c r="AK161" s="314">
        <f t="shared" si="185"/>
        <v>-0.79185999999999979</v>
      </c>
      <c r="AL161" s="472">
        <f t="shared" si="186"/>
        <v>5.9690939243178143E-2</v>
      </c>
      <c r="AM161" s="314">
        <f t="shared" si="187"/>
        <v>-1.4409800000000015</v>
      </c>
      <c r="AN161" s="472">
        <f t="shared" si="188"/>
        <v>0.11421048626918862</v>
      </c>
      <c r="AO161" s="175"/>
      <c r="BF161" s="290" t="s">
        <v>52</v>
      </c>
      <c r="BG161" s="314">
        <v>-2</v>
      </c>
      <c r="BH161" s="472">
        <f t="shared" si="189"/>
        <v>-9.2592592592592587E-3</v>
      </c>
      <c r="BI161" s="314">
        <f ca="1">INDIRECT(ADDRESS(MATCH(B146,BDPP!$B:$B,0)+16,MATCH(TEXT(EDATE(MES_CIERRE,1),"MMMM"),BDPP!$1:$1,0),,,"BDPP"))/1000</f>
        <v>-2.2109999999999999</v>
      </c>
      <c r="BJ161" s="472">
        <f t="shared" ca="1" si="190"/>
        <v>-9.3380579711369108E-3</v>
      </c>
      <c r="BK161" s="314">
        <f ca="1">INDIRECT(ADDRESS(MATCH(B146,INDIRECT("'"&amp;IF(MONTH(MES_CIERRE)=10,"ER ACT","ER AA")&amp;"'!$B:$B"),0)+13,MATCH(TEXT(EDATE(MES_CIERRE,1),"MMMM"),'ER AA'!$1:$1,0),,,IF(MONTH(MES_CIERRE)=12,"ER ACT","ER AA")))</f>
        <v>-0.26700999999999997</v>
      </c>
      <c r="BL161" s="472">
        <f t="shared" ca="1" si="191"/>
        <v>-1.0592228594423442E-3</v>
      </c>
      <c r="BM161" s="314">
        <f t="shared" ca="1" si="192"/>
        <v>0.21099999999999985</v>
      </c>
      <c r="BN161" s="472">
        <f t="shared" ca="1" si="193"/>
        <v>-9.5431931252826674E-2</v>
      </c>
      <c r="BO161" s="314">
        <f t="shared" ca="1" si="194"/>
        <v>-1.73299</v>
      </c>
      <c r="BP161" s="472">
        <f t="shared" ca="1" si="195"/>
        <v>6.4903561664357152</v>
      </c>
      <c r="BQ161" s="353"/>
    </row>
    <row r="162" spans="1:69" ht="12.5" customHeight="1" x14ac:dyDescent="0.25">
      <c r="A162" s="238"/>
      <c r="B162" t="s">
        <v>184</v>
      </c>
      <c r="C162" s="314">
        <f>BDER!D111/1000</f>
        <v>0</v>
      </c>
      <c r="D162" s="505">
        <f t="shared" si="175"/>
        <v>0</v>
      </c>
      <c r="E162" s="314">
        <f>BDER!L111/1000</f>
        <v>0</v>
      </c>
      <c r="F162" s="506">
        <f t="shared" si="176"/>
        <v>0</v>
      </c>
      <c r="G162" s="314">
        <f>BDER!F111/1000</f>
        <v>0.86980999999999997</v>
      </c>
      <c r="H162" s="472">
        <f t="shared" si="177"/>
        <v>3.4505173415660295E-3</v>
      </c>
      <c r="I162" s="314">
        <f t="shared" si="178"/>
        <v>0</v>
      </c>
      <c r="J162" s="472" t="str">
        <f t="shared" si="179"/>
        <v>N.D.</v>
      </c>
      <c r="K162" s="314">
        <f t="shared" si="180"/>
        <v>-0.86980999999999997</v>
      </c>
      <c r="L162" s="472">
        <f t="shared" si="181"/>
        <v>-1</v>
      </c>
      <c r="M162" s="175"/>
      <c r="AD162" t="s">
        <v>184</v>
      </c>
      <c r="AE162" s="314">
        <f>BDER!E111/1000</f>
        <v>0</v>
      </c>
      <c r="AF162" s="472">
        <f t="shared" si="182"/>
        <v>0</v>
      </c>
      <c r="AG162" s="314">
        <f>BDER!M111/1000</f>
        <v>0</v>
      </c>
      <c r="AH162" s="472">
        <f t="shared" si="183"/>
        <v>0</v>
      </c>
      <c r="AI162" s="314">
        <f>BDER!I111/1000</f>
        <v>4.9748199999999994</v>
      </c>
      <c r="AJ162" s="472">
        <f t="shared" si="184"/>
        <v>3.3470744175622441E-3</v>
      </c>
      <c r="AK162" s="314">
        <f t="shared" si="185"/>
        <v>0</v>
      </c>
      <c r="AL162" s="472" t="str">
        <f t="shared" si="186"/>
        <v>N.D.</v>
      </c>
      <c r="AM162" s="314">
        <f t="shared" si="187"/>
        <v>-4.9748199999999994</v>
      </c>
      <c r="AN162" s="472">
        <f t="shared" si="188"/>
        <v>-1</v>
      </c>
      <c r="AO162" s="175"/>
      <c r="BF162" s="290" t="s">
        <v>184</v>
      </c>
      <c r="BG162" s="314">
        <v>0</v>
      </c>
      <c r="BH162" s="472">
        <f t="shared" si="189"/>
        <v>0</v>
      </c>
      <c r="BI162" s="314">
        <f ca="1">INDIRECT(ADDRESS(MATCH(B146,BDPP!$B:$B,0)+17,MATCH(TEXT(EDATE(MES_CIERRE,1),"MMMM"),BDPP!$1:$1,0),,,"BDPP"))/1000</f>
        <v>0</v>
      </c>
      <c r="BJ162" s="472">
        <f t="shared" ca="1" si="190"/>
        <v>0</v>
      </c>
      <c r="BK162" s="314">
        <f ca="1">INDIRECT(ADDRESS(MATCH(B146,INDIRECT("'"&amp;IF(MONTH(MES_CIERRE)=10,"ER ACT","ER AA")&amp;"'!$B:$B"),0)+14,MATCH(TEXT(EDATE(MES_CIERRE,1),"MMMM"),'ER AA'!$1:$1,0),,,IF(MONTH(MES_CIERRE)=12,"ER ACT","ER AA")))</f>
        <v>0.86980999999999997</v>
      </c>
      <c r="BL162" s="472">
        <f t="shared" ca="1" si="191"/>
        <v>3.4505173415660295E-3</v>
      </c>
      <c r="BM162" s="314">
        <f t="shared" ca="1" si="192"/>
        <v>0</v>
      </c>
      <c r="BN162" s="472" t="str">
        <f t="shared" ca="1" si="193"/>
        <v>N.D.</v>
      </c>
      <c r="BO162" s="314">
        <f t="shared" ca="1" si="194"/>
        <v>-0.86980999999999997</v>
      </c>
      <c r="BP162" s="472">
        <f t="shared" ca="1" si="195"/>
        <v>-1</v>
      </c>
      <c r="BQ162" s="353"/>
    </row>
    <row r="163" spans="1:69" ht="12.5" customHeight="1" x14ac:dyDescent="0.25">
      <c r="A163" s="238"/>
      <c r="B163" t="s">
        <v>47</v>
      </c>
      <c r="C163" s="314">
        <f>BDER!D112/1000</f>
        <v>0</v>
      </c>
      <c r="D163" s="505">
        <f t="shared" si="175"/>
        <v>0</v>
      </c>
      <c r="E163" s="314">
        <f>BDER!L112/1000</f>
        <v>0</v>
      </c>
      <c r="F163" s="506">
        <f t="shared" si="176"/>
        <v>0</v>
      </c>
      <c r="G163" s="314">
        <f>BDER!F112/1000</f>
        <v>0</v>
      </c>
      <c r="H163" s="472">
        <f t="shared" si="177"/>
        <v>0</v>
      </c>
      <c r="I163" s="314">
        <f t="shared" si="178"/>
        <v>0</v>
      </c>
      <c r="J163" s="472" t="str">
        <f t="shared" si="179"/>
        <v>N.D.</v>
      </c>
      <c r="K163" s="314">
        <f t="shared" si="180"/>
        <v>0</v>
      </c>
      <c r="L163" s="472" t="str">
        <f t="shared" si="181"/>
        <v>N.D.</v>
      </c>
      <c r="M163" s="175"/>
      <c r="AD163" t="s">
        <v>47</v>
      </c>
      <c r="AE163" s="314">
        <f>BDER!E112/1000</f>
        <v>0</v>
      </c>
      <c r="AF163" s="472">
        <f t="shared" si="182"/>
        <v>0</v>
      </c>
      <c r="AG163" s="314">
        <f>BDER!M112/1000</f>
        <v>0</v>
      </c>
      <c r="AH163" s="472">
        <f t="shared" si="183"/>
        <v>0</v>
      </c>
      <c r="AI163" s="314">
        <f>BDER!I112/1000</f>
        <v>0</v>
      </c>
      <c r="AJ163" s="472">
        <f t="shared" si="184"/>
        <v>0</v>
      </c>
      <c r="AK163" s="314">
        <f t="shared" si="185"/>
        <v>0</v>
      </c>
      <c r="AL163" s="472" t="str">
        <f t="shared" si="186"/>
        <v>N.D.</v>
      </c>
      <c r="AM163" s="314">
        <f t="shared" si="187"/>
        <v>0</v>
      </c>
      <c r="AN163" s="472" t="str">
        <f t="shared" si="188"/>
        <v>N.D.</v>
      </c>
      <c r="AO163" s="175"/>
      <c r="BF163" s="290" t="s">
        <v>47</v>
      </c>
      <c r="BG163" s="314">
        <v>0</v>
      </c>
      <c r="BH163" s="472">
        <f t="shared" si="189"/>
        <v>0</v>
      </c>
      <c r="BI163" s="314">
        <f ca="1">INDIRECT(ADDRESS(MATCH(B146,BDPP!$B:$B,0)+18,MATCH(TEXT(EDATE(MES_CIERRE,1),"MMMM"),BDPP!$1:$1,0),,,"BDPP"))/1000</f>
        <v>0</v>
      </c>
      <c r="BJ163" s="472">
        <f t="shared" ca="1" si="190"/>
        <v>0</v>
      </c>
      <c r="BK163" s="314">
        <f ca="1">INDIRECT(ADDRESS(MATCH(B146,INDIRECT("'"&amp;IF(MONTH(MES_CIERRE)=10,"ER ACT","ER AA")&amp;"'!$B:$B"),0)+15,MATCH(TEXT(EDATE(MES_CIERRE,1),"MMMM"),'ER AA'!$1:$1,0),,,IF(MONTH(MES_CIERRE)=12,"ER ACT","ER AA")))</f>
        <v>0</v>
      </c>
      <c r="BL163" s="472">
        <f t="shared" ca="1" si="191"/>
        <v>0</v>
      </c>
      <c r="BM163" s="314">
        <f t="shared" ca="1" si="192"/>
        <v>0</v>
      </c>
      <c r="BN163" s="472" t="str">
        <f t="shared" ca="1" si="193"/>
        <v>N.D.</v>
      </c>
      <c r="BO163" s="314">
        <f t="shared" ca="1" si="194"/>
        <v>0</v>
      </c>
      <c r="BP163" s="472" t="str">
        <f t="shared" ca="1" si="195"/>
        <v>N.D.</v>
      </c>
      <c r="BQ163" s="353"/>
    </row>
    <row r="164" spans="1:69" ht="12.5" hidden="1" customHeight="1" x14ac:dyDescent="0.25">
      <c r="A164" s="238"/>
      <c r="C164" s="314">
        <v>0</v>
      </c>
      <c r="D164" s="505">
        <f t="shared" si="175"/>
        <v>0</v>
      </c>
      <c r="E164" s="314">
        <v>0</v>
      </c>
      <c r="F164" s="506">
        <f t="shared" si="176"/>
        <v>0</v>
      </c>
      <c r="G164" s="314">
        <v>0</v>
      </c>
      <c r="H164" s="472">
        <f t="shared" si="177"/>
        <v>0</v>
      </c>
      <c r="I164" s="314">
        <f t="shared" si="178"/>
        <v>0</v>
      </c>
      <c r="J164" s="472" t="str">
        <f t="shared" si="179"/>
        <v>N.D.</v>
      </c>
      <c r="K164" s="314">
        <f t="shared" si="180"/>
        <v>0</v>
      </c>
      <c r="L164" s="472" t="str">
        <f t="shared" si="181"/>
        <v>N.D.</v>
      </c>
      <c r="M164" s="175"/>
      <c r="AE164" s="314">
        <v>0</v>
      </c>
      <c r="AF164" s="472">
        <f t="shared" si="182"/>
        <v>0</v>
      </c>
      <c r="AG164" s="314">
        <v>0</v>
      </c>
      <c r="AH164" s="472">
        <f t="shared" si="183"/>
        <v>0</v>
      </c>
      <c r="AI164" s="314">
        <v>0</v>
      </c>
      <c r="AJ164" s="472">
        <f t="shared" si="184"/>
        <v>0</v>
      </c>
      <c r="AK164" s="314">
        <f t="shared" si="185"/>
        <v>0</v>
      </c>
      <c r="AL164" s="472" t="str">
        <f t="shared" si="186"/>
        <v>N.D.</v>
      </c>
      <c r="AM164" s="314">
        <f t="shared" si="187"/>
        <v>0</v>
      </c>
      <c r="AN164" s="472" t="str">
        <f t="shared" si="188"/>
        <v>N.D.</v>
      </c>
      <c r="AO164" s="175"/>
      <c r="BG164" s="314"/>
      <c r="BH164" s="472">
        <f t="shared" si="189"/>
        <v>0</v>
      </c>
      <c r="BI164" s="314"/>
      <c r="BJ164" s="472">
        <f t="shared" ca="1" si="190"/>
        <v>0</v>
      </c>
      <c r="BK164" s="314"/>
      <c r="BL164" s="472">
        <f t="shared" ca="1" si="191"/>
        <v>0</v>
      </c>
      <c r="BM164" s="314">
        <f t="shared" si="192"/>
        <v>0</v>
      </c>
      <c r="BN164" s="472" t="str">
        <f t="shared" si="193"/>
        <v>N.D.</v>
      </c>
      <c r="BO164" s="314">
        <f t="shared" si="194"/>
        <v>0</v>
      </c>
      <c r="BP164" s="472" t="str">
        <f t="shared" si="195"/>
        <v>N.D.</v>
      </c>
      <c r="BQ164" s="353"/>
    </row>
    <row r="165" spans="1:69" ht="12.5" customHeight="1" x14ac:dyDescent="0.3">
      <c r="A165" s="238"/>
      <c r="B165" s="249" t="s">
        <v>48</v>
      </c>
      <c r="C165" s="489">
        <f>+C161+C162</f>
        <v>-4.7894700000000006</v>
      </c>
      <c r="D165" s="507">
        <f t="shared" si="175"/>
        <v>-2.1849566559730329E-2</v>
      </c>
      <c r="E165" s="489">
        <f>+E161+E162</f>
        <v>-2.2109999999999999</v>
      </c>
      <c r="F165" s="490">
        <f t="shared" si="176"/>
        <v>-8.5587538516327822E-3</v>
      </c>
      <c r="G165" s="489">
        <f>+G161+G162</f>
        <v>0.6028</v>
      </c>
      <c r="H165" s="490">
        <f t="shared" si="177"/>
        <v>2.3912944821236851E-3</v>
      </c>
      <c r="I165" s="489">
        <f t="shared" si="178"/>
        <v>-2.5784700000000007</v>
      </c>
      <c r="J165" s="490">
        <f t="shared" si="179"/>
        <v>1.1662008141112623</v>
      </c>
      <c r="K165" s="489">
        <f t="shared" si="180"/>
        <v>-5.3922700000000008</v>
      </c>
      <c r="L165" s="490">
        <f t="shared" si="181"/>
        <v>-8.9453715992037175</v>
      </c>
      <c r="M165" s="175"/>
      <c r="AD165" s="249" t="s">
        <v>48</v>
      </c>
      <c r="AE165" s="489">
        <f>+AE161+AE162</f>
        <v>-14.05786</v>
      </c>
      <c r="AF165" s="490">
        <f t="shared" si="182"/>
        <v>-9.9847606942323093E-3</v>
      </c>
      <c r="AG165" s="489">
        <f>+AG161+AG162</f>
        <v>-13.266</v>
      </c>
      <c r="AH165" s="490">
        <f t="shared" si="183"/>
        <v>-8.742701235023527E-3</v>
      </c>
      <c r="AI165" s="489">
        <f>+AI161+AI162</f>
        <v>-7.642059999999999</v>
      </c>
      <c r="AJ165" s="490">
        <f t="shared" si="184"/>
        <v>-5.1416018114174428E-3</v>
      </c>
      <c r="AK165" s="489">
        <f t="shared" si="185"/>
        <v>-0.79185999999999979</v>
      </c>
      <c r="AL165" s="490">
        <f t="shared" si="186"/>
        <v>5.9690939243178143E-2</v>
      </c>
      <c r="AM165" s="489">
        <f t="shared" si="187"/>
        <v>-6.4158000000000008</v>
      </c>
      <c r="AN165" s="490">
        <f t="shared" si="188"/>
        <v>0.83953803032166752</v>
      </c>
      <c r="AO165" s="175"/>
      <c r="BF165" s="249" t="s">
        <v>48</v>
      </c>
      <c r="BG165" s="489">
        <f>+BG161+BG162</f>
        <v>-2</v>
      </c>
      <c r="BH165" s="490">
        <f t="shared" si="189"/>
        <v>-9.2592592592592587E-3</v>
      </c>
      <c r="BI165" s="381">
        <f ca="1">+BI161+BI162</f>
        <v>-2.2109999999999999</v>
      </c>
      <c r="BJ165" s="490">
        <f t="shared" ca="1" si="190"/>
        <v>-9.3380579711369108E-3</v>
      </c>
      <c r="BK165" s="381">
        <f ca="1">+BK161+BK162</f>
        <v>0.6028</v>
      </c>
      <c r="BL165" s="490">
        <f t="shared" ca="1" si="191"/>
        <v>2.3912944821236851E-3</v>
      </c>
      <c r="BM165" s="489">
        <f t="shared" ca="1" si="192"/>
        <v>0.21099999999999985</v>
      </c>
      <c r="BN165" s="490">
        <f t="shared" ca="1" si="193"/>
        <v>-9.5431931252826674E-2</v>
      </c>
      <c r="BO165" s="489">
        <f t="shared" ca="1" si="194"/>
        <v>-2.6028000000000002</v>
      </c>
      <c r="BP165" s="490">
        <f t="shared" ca="1" si="195"/>
        <v>-4.3178500331784999</v>
      </c>
      <c r="BQ165" s="355"/>
    </row>
    <row r="166" spans="1:69" ht="12.5" customHeight="1" x14ac:dyDescent="0.3">
      <c r="A166" s="238"/>
      <c r="B166" t="s">
        <v>49</v>
      </c>
      <c r="C166" s="381">
        <f>C158-C165</f>
        <v>-28.065700000000042</v>
      </c>
      <c r="D166" s="415">
        <f t="shared" si="175"/>
        <v>-0.12803574929907158</v>
      </c>
      <c r="E166" s="381">
        <f>E158-E165</f>
        <v>-26.045999999999978</v>
      </c>
      <c r="F166" s="402">
        <f t="shared" si="176"/>
        <v>-0.10082374618707701</v>
      </c>
      <c r="G166" s="381">
        <f>G158-G165</f>
        <v>-36.17754000000005</v>
      </c>
      <c r="H166" s="402">
        <f t="shared" si="177"/>
        <v>-0.1435155138998159</v>
      </c>
      <c r="I166" s="381">
        <f t="shared" si="178"/>
        <v>-2.0197000000000642</v>
      </c>
      <c r="J166" s="402">
        <f t="shared" si="179"/>
        <v>7.75435767488315E-2</v>
      </c>
      <c r="K166" s="381">
        <f t="shared" si="180"/>
        <v>8.1118400000000079</v>
      </c>
      <c r="L166" s="402">
        <f t="shared" si="181"/>
        <v>-0.22422309532378371</v>
      </c>
      <c r="M166" s="175"/>
      <c r="AD166" t="s">
        <v>49</v>
      </c>
      <c r="AE166" s="381">
        <f>AE158-AE165</f>
        <v>-140.15499999999997</v>
      </c>
      <c r="AF166" s="402">
        <f t="shared" si="182"/>
        <v>-9.954674005148216E-2</v>
      </c>
      <c r="AG166" s="381">
        <f>AG158-AG165</f>
        <v>-187.57900000000004</v>
      </c>
      <c r="AH166" s="402">
        <f t="shared" si="183"/>
        <v>-0.12362031923446995</v>
      </c>
      <c r="AI166" s="381">
        <f>AI158-AI165</f>
        <v>-208.21335000000002</v>
      </c>
      <c r="AJ166" s="402">
        <f t="shared" si="184"/>
        <v>-0.14008659151083533</v>
      </c>
      <c r="AK166" s="381">
        <f t="shared" si="185"/>
        <v>47.424000000000063</v>
      </c>
      <c r="AL166" s="402">
        <f t="shared" si="186"/>
        <v>-0.25282147788398512</v>
      </c>
      <c r="AM166" s="381">
        <f t="shared" si="187"/>
        <v>68.058350000000047</v>
      </c>
      <c r="AN166" s="402">
        <f t="shared" si="188"/>
        <v>-0.32686833000861881</v>
      </c>
      <c r="AO166" s="175"/>
      <c r="BF166" s="290" t="s">
        <v>49</v>
      </c>
      <c r="BG166" s="381">
        <f>BG158-BG165</f>
        <v>-35.619425200657361</v>
      </c>
      <c r="BH166" s="402">
        <f t="shared" si="189"/>
        <v>-0.16490474629933963</v>
      </c>
      <c r="BI166" s="381">
        <f ca="1">BI158-BI165</f>
        <v>-33.990000000000023</v>
      </c>
      <c r="BJ166" s="402">
        <f t="shared" ca="1" si="190"/>
        <v>-0.14355521955628398</v>
      </c>
      <c r="BK166" s="381">
        <f ca="1">BK158-BK165</f>
        <v>-36.17754000000005</v>
      </c>
      <c r="BL166" s="402">
        <f t="shared" ca="1" si="191"/>
        <v>-0.1435155138998159</v>
      </c>
      <c r="BM166" s="381">
        <f t="shared" ca="1" si="192"/>
        <v>-1.6294252006573373</v>
      </c>
      <c r="BN166" s="402">
        <f t="shared" ca="1" si="193"/>
        <v>4.7938370128194574E-2</v>
      </c>
      <c r="BO166" s="381">
        <f t="shared" ca="1" si="194"/>
        <v>0.55811479934268959</v>
      </c>
      <c r="BP166" s="402">
        <f t="shared" ca="1" si="195"/>
        <v>-1.542710751871712E-2</v>
      </c>
      <c r="BQ166" s="354"/>
    </row>
    <row r="167" spans="1:69" ht="12.5" customHeight="1" x14ac:dyDescent="0.25">
      <c r="A167" s="238"/>
      <c r="C167" s="419"/>
      <c r="D167" s="416"/>
      <c r="E167" s="419"/>
      <c r="F167" s="352"/>
      <c r="G167" s="419"/>
      <c r="H167" s="352"/>
      <c r="I167" s="419"/>
      <c r="J167" s="352"/>
      <c r="K167" s="419"/>
      <c r="L167" s="352"/>
      <c r="M167" s="175"/>
      <c r="AE167" s="419"/>
      <c r="AF167" s="352"/>
      <c r="AG167" s="419"/>
      <c r="AH167" s="352"/>
      <c r="AI167" s="419"/>
      <c r="AJ167" s="352"/>
      <c r="AK167" s="419"/>
      <c r="AL167" s="352"/>
      <c r="AM167" s="419"/>
      <c r="AN167" s="352"/>
      <c r="AO167" s="175"/>
      <c r="BG167" s="419"/>
      <c r="BH167" s="352"/>
      <c r="BI167" s="419"/>
      <c r="BJ167" s="352"/>
      <c r="BK167" s="419"/>
      <c r="BL167" s="352"/>
      <c r="BM167" s="419"/>
      <c r="BN167" s="352"/>
      <c r="BO167" s="419"/>
      <c r="BP167" s="352"/>
      <c r="BQ167" s="352"/>
    </row>
    <row r="168" spans="1:69" ht="12.5" customHeight="1" x14ac:dyDescent="0.25">
      <c r="A168" s="238"/>
      <c r="B168" t="s">
        <v>50</v>
      </c>
      <c r="C168" s="418">
        <f>BDER!D116/1000</f>
        <v>0</v>
      </c>
      <c r="D168" s="417">
        <f>IF(C$149=0,"N.D.",C168/C$149)</f>
        <v>0</v>
      </c>
      <c r="E168" s="418">
        <f>BDER!L116/1000</f>
        <v>0</v>
      </c>
      <c r="F168" s="471">
        <f>IF(E$149=0,"N.D.",E168/E$149)</f>
        <v>0</v>
      </c>
      <c r="G168" s="418">
        <f>BDER!F116/1000</f>
        <v>0</v>
      </c>
      <c r="H168" s="471">
        <f>IF(G$149=0,"N.D.",G168/G$149)</f>
        <v>0</v>
      </c>
      <c r="I168" s="418">
        <f t="shared" ref="I168:I176" si="196">C168-E168</f>
        <v>0</v>
      </c>
      <c r="J168" s="471" t="str">
        <f t="shared" ref="J168:J176" si="197">IF(E168=0,"N.D.",C168/E168-1)</f>
        <v>N.D.</v>
      </c>
      <c r="K168" s="418">
        <f t="shared" ref="K168:K176" si="198">C168-G168</f>
        <v>0</v>
      </c>
      <c r="L168" s="471" t="str">
        <f t="shared" ref="L168:L176" si="199">IF(G168=0,"N.D.",C168/G168-1)</f>
        <v>N.D.</v>
      </c>
      <c r="M168" s="175"/>
      <c r="AD168" t="s">
        <v>50</v>
      </c>
      <c r="AE168" s="418">
        <f>BDER!E116/1000</f>
        <v>0</v>
      </c>
      <c r="AF168" s="471">
        <f>IF(AE$149=0,"N.D.",AE168/AE$149)</f>
        <v>0</v>
      </c>
      <c r="AG168" s="418">
        <f>BDER!M116/1000</f>
        <v>0</v>
      </c>
      <c r="AH168" s="471">
        <f>IF(AG$149=0,"N.D.",AG168/AG$149)</f>
        <v>0</v>
      </c>
      <c r="AI168" s="418">
        <f>BDER!I116/1000</f>
        <v>0</v>
      </c>
      <c r="AJ168" s="471">
        <f>IF(AI$149=0,"N.D.",AI168/AI$149)</f>
        <v>0</v>
      </c>
      <c r="AK168" s="418">
        <f t="shared" ref="AK168:AK176" si="200">AE168-AG168</f>
        <v>0</v>
      </c>
      <c r="AL168" s="471" t="str">
        <f t="shared" ref="AL168:AL176" si="201">IF(AG168=0,"N.D.",AE168/AG168-1)</f>
        <v>N.D.</v>
      </c>
      <c r="AM168" s="418">
        <f t="shared" ref="AM168:AM176" si="202">AE168-AI168</f>
        <v>0</v>
      </c>
      <c r="AN168" s="471" t="str">
        <f t="shared" ref="AN168:AN176" si="203">IF(AI168=0,"N.D.",AE168/AI168-1)</f>
        <v>N.D.</v>
      </c>
      <c r="AO168" s="175"/>
      <c r="BF168" s="290" t="s">
        <v>50</v>
      </c>
      <c r="BG168" s="418">
        <v>0</v>
      </c>
      <c r="BH168" s="471">
        <f>IF(BG$149=0,"N.D.",BG168/BG$149)</f>
        <v>0</v>
      </c>
      <c r="BI168" s="418">
        <f ca="1">INDIRECT(ADDRESS(MATCH(B146,BDPP!$B:$B,0)+22,MATCH(TEXT(EDATE(MES_CIERRE,1),"MMMM"),BDPP!$1:$1,0),,,"BDPP"))/1000</f>
        <v>0</v>
      </c>
      <c r="BJ168" s="471">
        <f ca="1">IF(BI$149=0,"N.D.",BI168/BI$149)</f>
        <v>0</v>
      </c>
      <c r="BK168" s="418">
        <f ca="1">INDIRECT(ADDRESS(MATCH(B146,INDIRECT("'"&amp;IF(MONTH(MES_CIERRE)=10,"ER ACT","ER AA")&amp;"'!$B:$B"),0)+20,MATCH(TEXT(EDATE(MES_CIERRE,1),"MMMM"),'ER AA'!$1:$1,0),,,IF(MONTH(MES_CIERRE)=12,"ER ACT","ER AA")))</f>
        <v>0</v>
      </c>
      <c r="BL168" s="471">
        <f ca="1">IF(BK$149=0,"N.D.",BK168/BK$149)</f>
        <v>0</v>
      </c>
      <c r="BM168" s="418">
        <f t="shared" ref="BM168:BM176" ca="1" si="204">BG168-BI168</f>
        <v>0</v>
      </c>
      <c r="BN168" s="471" t="str">
        <f t="shared" ref="BN168:BN176" ca="1" si="205">IF(BI168=0,"N.D.",BG168/BI168-1)</f>
        <v>N.D.</v>
      </c>
      <c r="BO168" s="418">
        <f t="shared" ref="BO168:BO176" ca="1" si="206">BG168-BK168</f>
        <v>0</v>
      </c>
      <c r="BP168" s="471" t="str">
        <f t="shared" ref="BP168:BP176" ca="1" si="207">IF(BK168=0,"N.D.",BG168/BK168-1)</f>
        <v>N.D.</v>
      </c>
      <c r="BQ168" s="353"/>
    </row>
    <row r="169" spans="1:69" ht="12.5" customHeight="1" x14ac:dyDescent="0.25">
      <c r="A169" s="238"/>
      <c r="B169" t="s">
        <v>51</v>
      </c>
      <c r="C169" s="314">
        <f>BDER!D117/1000</f>
        <v>0</v>
      </c>
      <c r="D169" s="414">
        <f>IF(C$149=0,"N.D.",C169/C$149)</f>
        <v>0</v>
      </c>
      <c r="E169" s="314">
        <f>BDER!L117/1000</f>
        <v>0</v>
      </c>
      <c r="F169" s="472">
        <f>IF(E$149=0,"N.D.",E169/E$149)</f>
        <v>0</v>
      </c>
      <c r="G169" s="314">
        <f>BDER!F117/1000</f>
        <v>0</v>
      </c>
      <c r="H169" s="472">
        <f>IF(G$149=0,"N.D.",G169/G$149)</f>
        <v>0</v>
      </c>
      <c r="I169" s="314">
        <f t="shared" si="196"/>
        <v>0</v>
      </c>
      <c r="J169" s="472" t="str">
        <f t="shared" si="197"/>
        <v>N.D.</v>
      </c>
      <c r="K169" s="314">
        <f t="shared" si="198"/>
        <v>0</v>
      </c>
      <c r="L169" s="472" t="str">
        <f t="shared" si="199"/>
        <v>N.D.</v>
      </c>
      <c r="M169" s="175"/>
      <c r="AD169" t="s">
        <v>51</v>
      </c>
      <c r="AE169" s="314">
        <f>BDER!E117/1000</f>
        <v>0</v>
      </c>
      <c r="AF169" s="472">
        <f>IF(AE$149=0,"N.D.",AE169/AE$149)</f>
        <v>0</v>
      </c>
      <c r="AG169" s="314">
        <f>BDER!M117/1000</f>
        <v>0</v>
      </c>
      <c r="AH169" s="472">
        <f>IF(AG$149=0,"N.D.",AG169/AG$149)</f>
        <v>0</v>
      </c>
      <c r="AI169" s="314">
        <f>BDER!I117/1000</f>
        <v>0</v>
      </c>
      <c r="AJ169" s="472">
        <f>IF(AI$149=0,"N.D.",AI169/AI$149)</f>
        <v>0</v>
      </c>
      <c r="AK169" s="314">
        <f t="shared" si="200"/>
        <v>0</v>
      </c>
      <c r="AL169" s="472" t="str">
        <f t="shared" si="201"/>
        <v>N.D.</v>
      </c>
      <c r="AM169" s="314">
        <f t="shared" si="202"/>
        <v>0</v>
      </c>
      <c r="AN169" s="472" t="str">
        <f t="shared" si="203"/>
        <v>N.D.</v>
      </c>
      <c r="AO169" s="175"/>
      <c r="BF169" s="290" t="s">
        <v>51</v>
      </c>
      <c r="BG169" s="314">
        <v>0</v>
      </c>
      <c r="BH169" s="472">
        <f>IF(BG$149=0,"N.D.",BG169/BG$149)</f>
        <v>0</v>
      </c>
      <c r="BI169" s="314">
        <f ca="1">INDIRECT(ADDRESS(MATCH(B146,BDPP!$B:$B,0)+23,MATCH(TEXT(EDATE(MES_CIERRE,1),"MMMM"),BDPP!$1:$1,0),,,"BDPP"))/1000</f>
        <v>0</v>
      </c>
      <c r="BJ169" s="472">
        <f ca="1">IF(BI$149=0,"N.D.",BI169/BI$149)</f>
        <v>0</v>
      </c>
      <c r="BK169" s="314">
        <f ca="1">INDIRECT(ADDRESS(MATCH(B146,INDIRECT("'"&amp;IF(MONTH(MES_CIERRE)=10,"ER ACT","ER AA")&amp;"'!$B:$B"),0)+21,MATCH(TEXT(EDATE(MES_CIERRE,1),"MMMM"),'ER AA'!$1:$1,0),,,IF(MONTH(MES_CIERRE)=12,"ER ACT","ER AA")))</f>
        <v>0</v>
      </c>
      <c r="BL169" s="472">
        <f ca="1">IF(BK$149=0,"N.D.",BK169/BK$149)</f>
        <v>0</v>
      </c>
      <c r="BM169" s="314">
        <f t="shared" ca="1" si="204"/>
        <v>0</v>
      </c>
      <c r="BN169" s="472" t="str">
        <f t="shared" ca="1" si="205"/>
        <v>N.D.</v>
      </c>
      <c r="BO169" s="314">
        <f t="shared" ca="1" si="206"/>
        <v>0</v>
      </c>
      <c r="BP169" s="472" t="str">
        <f t="shared" ca="1" si="207"/>
        <v>N.D.</v>
      </c>
      <c r="BQ169" s="353"/>
    </row>
    <row r="170" spans="1:69" ht="12.5" customHeight="1" x14ac:dyDescent="0.3">
      <c r="A170" s="238"/>
      <c r="B170" t="s">
        <v>53</v>
      </c>
      <c r="C170" s="381">
        <f>+C166-C168-C169</f>
        <v>-28.065700000000042</v>
      </c>
      <c r="D170" s="415">
        <f>IF(C$149=0,"N.D.",C170/C$149)</f>
        <v>-0.12803574929907158</v>
      </c>
      <c r="E170" s="381">
        <f>+E166-E168-E169</f>
        <v>-26.045999999999978</v>
      </c>
      <c r="F170" s="402">
        <f>IF(E$149=0,"N.D.",E170/E$149)</f>
        <v>-0.10082374618707701</v>
      </c>
      <c r="G170" s="381">
        <f>+G166-G168-G169</f>
        <v>-36.17754000000005</v>
      </c>
      <c r="H170" s="402">
        <f>IF(G$149=0,"N.D.",G170/G$149)</f>
        <v>-0.1435155138998159</v>
      </c>
      <c r="I170" s="381">
        <f t="shared" si="196"/>
        <v>-2.0197000000000642</v>
      </c>
      <c r="J170" s="402">
        <f t="shared" si="197"/>
        <v>7.75435767488315E-2</v>
      </c>
      <c r="K170" s="381">
        <f t="shared" si="198"/>
        <v>8.1118400000000079</v>
      </c>
      <c r="L170" s="402">
        <f t="shared" si="199"/>
        <v>-0.22422309532378371</v>
      </c>
      <c r="M170" s="175"/>
      <c r="AD170" t="s">
        <v>53</v>
      </c>
      <c r="AE170" s="381">
        <f>+AE166-AE168-AE169</f>
        <v>-140.15499999999997</v>
      </c>
      <c r="AF170" s="402">
        <f>IF(AE$149=0,"N.D.",AE170/AE$149)</f>
        <v>-9.954674005148216E-2</v>
      </c>
      <c r="AG170" s="381">
        <f>+AG166-AG168-AG169</f>
        <v>-187.57900000000004</v>
      </c>
      <c r="AH170" s="402">
        <f>IF(AG$149=0,"N.D.",AG170/AG$149)</f>
        <v>-0.12362031923446995</v>
      </c>
      <c r="AI170" s="381">
        <f>+AI166-AI168-AI169</f>
        <v>-208.21335000000002</v>
      </c>
      <c r="AJ170" s="402">
        <f>IF(AI$149=0,"N.D.",AI170/AI$149)</f>
        <v>-0.14008659151083533</v>
      </c>
      <c r="AK170" s="381">
        <f t="shared" si="200"/>
        <v>47.424000000000063</v>
      </c>
      <c r="AL170" s="402">
        <f t="shared" si="201"/>
        <v>-0.25282147788398512</v>
      </c>
      <c r="AM170" s="381">
        <f t="shared" si="202"/>
        <v>68.058350000000047</v>
      </c>
      <c r="AN170" s="402">
        <f t="shared" si="203"/>
        <v>-0.32686833000861881</v>
      </c>
      <c r="AO170" s="175"/>
      <c r="BF170" s="290" t="s">
        <v>53</v>
      </c>
      <c r="BG170" s="381">
        <f>+BG166-BG168-BG169</f>
        <v>-35.619425200657361</v>
      </c>
      <c r="BH170" s="402">
        <f>IF(BG$149=0,"N.D.",BG170/BG$149)</f>
        <v>-0.16490474629933963</v>
      </c>
      <c r="BI170" s="381">
        <f ca="1">+BI166-BI168-BI169</f>
        <v>-33.990000000000023</v>
      </c>
      <c r="BJ170" s="402">
        <f ca="1">IF(BI$149=0,"N.D.",BI170/BI$149)</f>
        <v>-0.14355521955628398</v>
      </c>
      <c r="BK170" s="381">
        <f ca="1">+BK166-BK168-BK169</f>
        <v>-36.17754000000005</v>
      </c>
      <c r="BL170" s="402">
        <f ca="1">IF(BK$149=0,"N.D.",BK170/BK$149)</f>
        <v>-0.1435155138998159</v>
      </c>
      <c r="BM170" s="381">
        <f t="shared" ca="1" si="204"/>
        <v>-1.6294252006573373</v>
      </c>
      <c r="BN170" s="402">
        <f t="shared" ca="1" si="205"/>
        <v>4.7938370128194574E-2</v>
      </c>
      <c r="BO170" s="381">
        <f t="shared" ca="1" si="206"/>
        <v>0.55811479934268959</v>
      </c>
      <c r="BP170" s="402">
        <f t="shared" ca="1" si="207"/>
        <v>-1.542710751871712E-2</v>
      </c>
      <c r="BQ170" s="354"/>
    </row>
    <row r="171" spans="1:69" ht="12.5" customHeight="1" x14ac:dyDescent="0.3">
      <c r="A171" s="238"/>
      <c r="B171" t="s">
        <v>122</v>
      </c>
      <c r="C171" s="381">
        <f>+C158+C156</f>
        <v>-23.613410000000044</v>
      </c>
      <c r="D171" s="415">
        <f>IF(C$149=0,"N.D.",C171/C$149)</f>
        <v>-0.10772439821049148</v>
      </c>
      <c r="E171" s="381">
        <f>+E158+E156</f>
        <v>-19.014999999999976</v>
      </c>
      <c r="F171" s="402">
        <f>IF(E$149=0,"N.D.",E171/E$149)</f>
        <v>-7.3606831519130334E-2</v>
      </c>
      <c r="G171" s="381">
        <f>+G158+G156</f>
        <v>-23.166060000000048</v>
      </c>
      <c r="H171" s="402">
        <f>IF(G$149=0,"N.D.",G171/G$149)</f>
        <v>-9.189925589009014E-2</v>
      </c>
      <c r="I171" s="381">
        <f t="shared" si="196"/>
        <v>-4.5984100000000687</v>
      </c>
      <c r="J171" s="402">
        <f t="shared" si="197"/>
        <v>0.24183066000526288</v>
      </c>
      <c r="K171" s="381">
        <f t="shared" si="198"/>
        <v>-0.44734999999999658</v>
      </c>
      <c r="L171" s="402">
        <f t="shared" si="199"/>
        <v>1.9310577629514825E-2</v>
      </c>
      <c r="M171" s="175"/>
      <c r="AD171" t="s">
        <v>122</v>
      </c>
      <c r="AE171" s="381">
        <f>+AE158+AE156</f>
        <v>-98.762299999999982</v>
      </c>
      <c r="AF171" s="402">
        <f>IF(AE$149=0,"N.D.",AE171/AE$149)</f>
        <v>-7.0147087189087062E-2</v>
      </c>
      <c r="AG171" s="381">
        <f>+AG158+AG156</f>
        <v>-145.39300000000003</v>
      </c>
      <c r="AH171" s="402">
        <f>IF(AG$149=0,"N.D.",AG171/AG$149)</f>
        <v>-9.5818450223411414E-2</v>
      </c>
      <c r="AI171" s="381">
        <f>+AI158+AI156</f>
        <v>-141.40333000000001</v>
      </c>
      <c r="AJ171" s="402">
        <f>IF(AI$149=0,"N.D.",AI171/AI$149)</f>
        <v>-9.513660160590974E-2</v>
      </c>
      <c r="AK171" s="381">
        <f t="shared" si="200"/>
        <v>46.630700000000047</v>
      </c>
      <c r="AL171" s="402">
        <f t="shared" si="201"/>
        <v>-0.32072176789804208</v>
      </c>
      <c r="AM171" s="381">
        <f t="shared" si="202"/>
        <v>42.641030000000029</v>
      </c>
      <c r="AN171" s="402">
        <f t="shared" si="203"/>
        <v>-0.30155605246354544</v>
      </c>
      <c r="AO171" s="175"/>
      <c r="BF171" s="290" t="s">
        <v>122</v>
      </c>
      <c r="BG171" s="381">
        <f>+BG158+BG156</f>
        <v>-28.619425200657361</v>
      </c>
      <c r="BH171" s="402">
        <f>IF(BG$149=0,"N.D.",BG171/BG$149)</f>
        <v>-0.13249733889193221</v>
      </c>
      <c r="BI171" s="381">
        <f ca="1">+BI158+BI156</f>
        <v>-26.959000000000021</v>
      </c>
      <c r="BJ171" s="402">
        <f ca="1">IF(BI$149=0,"N.D.",BI171/BI$149)</f>
        <v>-0.11386011073897793</v>
      </c>
      <c r="BK171" s="381">
        <f ca="1">+BK158+BK156</f>
        <v>-23.166060000000048</v>
      </c>
      <c r="BL171" s="402">
        <f ca="1">IF(BK$149=0,"N.D.",BK171/BK$149)</f>
        <v>-9.189925589009014E-2</v>
      </c>
      <c r="BM171" s="381">
        <f t="shared" ca="1" si="204"/>
        <v>-1.6604252006573397</v>
      </c>
      <c r="BN171" s="402">
        <f t="shared" ca="1" si="205"/>
        <v>6.1590756358074872E-2</v>
      </c>
      <c r="BO171" s="381">
        <f t="shared" ca="1" si="206"/>
        <v>-5.4533652006573128</v>
      </c>
      <c r="BP171" s="402">
        <f t="shared" ca="1" si="207"/>
        <v>0.23540322353724807</v>
      </c>
      <c r="BQ171" s="354"/>
    </row>
    <row r="172" spans="1:69" ht="12.5" customHeight="1" x14ac:dyDescent="0.3">
      <c r="A172" s="238"/>
      <c r="B172" s="1" t="s">
        <v>194</v>
      </c>
      <c r="C172" s="418">
        <v>0</v>
      </c>
      <c r="D172" s="475">
        <f>IF(C$9=0,"N.D.",C172/C$9)</f>
        <v>0</v>
      </c>
      <c r="E172" s="418">
        <v>0</v>
      </c>
      <c r="F172" s="475">
        <f>IF(E$9=0,"N.D.",E172/E$9)</f>
        <v>0</v>
      </c>
      <c r="G172" s="418">
        <v>0</v>
      </c>
      <c r="H172" s="475">
        <f>IF(G$9=0,"N.D.",G172/G$9)</f>
        <v>0</v>
      </c>
      <c r="I172" s="418">
        <f t="shared" si="196"/>
        <v>0</v>
      </c>
      <c r="J172" s="471" t="str">
        <f t="shared" si="197"/>
        <v>N.D.</v>
      </c>
      <c r="K172" s="418">
        <f t="shared" si="198"/>
        <v>0</v>
      </c>
      <c r="L172" s="471" t="str">
        <f t="shared" si="199"/>
        <v>N.D.</v>
      </c>
      <c r="M172" s="175"/>
      <c r="AD172" s="1" t="s">
        <v>194</v>
      </c>
      <c r="AE172" s="418">
        <v>0</v>
      </c>
      <c r="AF172" s="475">
        <f>IF(AE$9=0,"N.D.",AE172/AE$9)</f>
        <v>0</v>
      </c>
      <c r="AG172" s="418">
        <v>0</v>
      </c>
      <c r="AH172" s="475">
        <f>IF(AG$9=0,"N.D.",AG172/AG$9)</f>
        <v>0</v>
      </c>
      <c r="AI172" s="418">
        <v>0</v>
      </c>
      <c r="AJ172" s="475">
        <f>IF(AI$9=0,"N.D.",AI172/AI$9)</f>
        <v>0</v>
      </c>
      <c r="AK172" s="418">
        <f t="shared" si="200"/>
        <v>0</v>
      </c>
      <c r="AL172" s="471" t="str">
        <f t="shared" si="201"/>
        <v>N.D.</v>
      </c>
      <c r="AM172" s="418">
        <f t="shared" si="202"/>
        <v>0</v>
      </c>
      <c r="AN172" s="471" t="str">
        <f t="shared" si="203"/>
        <v>N.D.</v>
      </c>
      <c r="AO172" s="175"/>
      <c r="BF172" s="1" t="s">
        <v>194</v>
      </c>
      <c r="BG172" s="418">
        <v>0</v>
      </c>
      <c r="BH172" s="475">
        <f>IF(BG$9=0,"N.D.",BG172/BG$9)</f>
        <v>0</v>
      </c>
      <c r="BI172" s="418">
        <v>0</v>
      </c>
      <c r="BJ172" s="475">
        <f ca="1">IF(BI$9=0,"N.D.",BI172/BI$9)</f>
        <v>0</v>
      </c>
      <c r="BK172" s="418">
        <v>0</v>
      </c>
      <c r="BL172" s="475">
        <f ca="1">IF(BK$9=0,"N.D.",BK172/BK$9)</f>
        <v>0</v>
      </c>
      <c r="BM172" s="418">
        <f t="shared" si="204"/>
        <v>0</v>
      </c>
      <c r="BN172" s="471" t="str">
        <f t="shared" si="205"/>
        <v>N.D.</v>
      </c>
      <c r="BO172" s="418">
        <f t="shared" si="206"/>
        <v>0</v>
      </c>
      <c r="BP172" s="471" t="str">
        <f t="shared" si="207"/>
        <v>N.D.</v>
      </c>
      <c r="BQ172" s="354"/>
    </row>
    <row r="173" spans="1:69" ht="12.5" customHeight="1" x14ac:dyDescent="0.3">
      <c r="A173" s="238"/>
      <c r="B173" s="1" t="s">
        <v>123</v>
      </c>
      <c r="C173" s="314"/>
      <c r="D173" s="476">
        <f>IF(C$9=0,"N.D.",C173/C$9)</f>
        <v>0</v>
      </c>
      <c r="E173" s="314"/>
      <c r="F173" s="476">
        <f>IF(E$9=0,"N.D.",E173/E$9)</f>
        <v>0</v>
      </c>
      <c r="G173" s="314"/>
      <c r="H173" s="476">
        <f>IF(G$9=0,"N.D.",G173/G$9)</f>
        <v>0</v>
      </c>
      <c r="I173" s="314">
        <f t="shared" si="196"/>
        <v>0</v>
      </c>
      <c r="J173" s="472" t="str">
        <f t="shared" si="197"/>
        <v>N.D.</v>
      </c>
      <c r="K173" s="314">
        <f t="shared" si="198"/>
        <v>0</v>
      </c>
      <c r="L173" s="472" t="str">
        <f t="shared" si="199"/>
        <v>N.D.</v>
      </c>
      <c r="M173" s="175"/>
      <c r="AD173" s="1" t="s">
        <v>123</v>
      </c>
      <c r="AE173" s="314"/>
      <c r="AF173" s="476">
        <f>IF(AE$9=0,"N.D.",AE173/AE$9)</f>
        <v>0</v>
      </c>
      <c r="AG173" s="314"/>
      <c r="AH173" s="476">
        <f>IF(AG$9=0,"N.D.",AG173/AG$9)</f>
        <v>0</v>
      </c>
      <c r="AI173" s="314"/>
      <c r="AJ173" s="476">
        <f>IF(AI$9=0,"N.D.",AI173/AI$9)</f>
        <v>0</v>
      </c>
      <c r="AK173" s="314">
        <f t="shared" si="200"/>
        <v>0</v>
      </c>
      <c r="AL173" s="472" t="str">
        <f t="shared" si="201"/>
        <v>N.D.</v>
      </c>
      <c r="AM173" s="314">
        <f t="shared" si="202"/>
        <v>0</v>
      </c>
      <c r="AN173" s="472" t="str">
        <f t="shared" si="203"/>
        <v>N.D.</v>
      </c>
      <c r="AO173" s="175"/>
      <c r="BF173" s="1" t="s">
        <v>123</v>
      </c>
      <c r="BG173" s="314"/>
      <c r="BH173" s="476">
        <f>IF(BG$9=0,"N.D.",BG173/BG$9)</f>
        <v>0</v>
      </c>
      <c r="BI173" s="314"/>
      <c r="BJ173" s="476">
        <f ca="1">IF(BI$9=0,"N.D.",BI173/BI$9)</f>
        <v>0</v>
      </c>
      <c r="BK173" s="314"/>
      <c r="BL173" s="476">
        <f ca="1">IF(BK$9=0,"N.D.",BK173/BK$9)</f>
        <v>0</v>
      </c>
      <c r="BM173" s="314">
        <f t="shared" si="204"/>
        <v>0</v>
      </c>
      <c r="BN173" s="472" t="str">
        <f t="shared" si="205"/>
        <v>N.D.</v>
      </c>
      <c r="BO173" s="314">
        <f t="shared" si="206"/>
        <v>0</v>
      </c>
      <c r="BP173" s="472" t="str">
        <f t="shared" si="207"/>
        <v>N.D.</v>
      </c>
      <c r="BQ173" s="354"/>
    </row>
    <row r="174" spans="1:69" ht="12.5" customHeight="1" x14ac:dyDescent="0.3">
      <c r="A174" s="238"/>
      <c r="B174" s="7" t="s">
        <v>190</v>
      </c>
      <c r="C174" s="381">
        <f>+C170+C156+C172+C173</f>
        <v>-18.823940000000043</v>
      </c>
      <c r="D174" s="477">
        <f>IF(C$9=0,"N.D.",C174/C$9)</f>
        <v>-1.2065722038465395E-2</v>
      </c>
      <c r="E174" s="381">
        <f>+E170+E156+E172+E173</f>
        <v>-16.803999999999977</v>
      </c>
      <c r="F174" s="477">
        <f>IF(E$9=0,"N.D.",E174/E$9)</f>
        <v>-9.8719884384234312E-3</v>
      </c>
      <c r="G174" s="381">
        <f>+G170+G156+G172+G173</f>
        <v>-23.76886000000005</v>
      </c>
      <c r="H174" s="477">
        <f>IF(G$9=0,"N.D.",G174/G$9)</f>
        <v>-1.4398015539674862E-2</v>
      </c>
      <c r="I174" s="381">
        <f t="shared" si="196"/>
        <v>-2.0199400000000658</v>
      </c>
      <c r="J174" s="402">
        <f t="shared" si="197"/>
        <v>0.12020590335634784</v>
      </c>
      <c r="K174" s="381">
        <f t="shared" si="198"/>
        <v>4.9449200000000069</v>
      </c>
      <c r="L174" s="402">
        <f t="shared" si="199"/>
        <v>-0.2080419506867387</v>
      </c>
      <c r="M174" s="175"/>
      <c r="AD174" s="7" t="s">
        <v>190</v>
      </c>
      <c r="AE174" s="381">
        <f>+AE170+AE156+AE172+AE173</f>
        <v>-84.704439999999977</v>
      </c>
      <c r="AF174" s="477">
        <f>IF(AE$9=0,"N.D.",AE174/AE$9)</f>
        <v>-5.4258780421855167E-3</v>
      </c>
      <c r="AG174" s="381">
        <f>+AG170+AG156+AG172+AG173</f>
        <v>-132.12700000000004</v>
      </c>
      <c r="AH174" s="477">
        <f>IF(AG$9=0,"N.D.",AG174/AG$9)</f>
        <v>-6.2762395688339767E-3</v>
      </c>
      <c r="AI174" s="381">
        <f>+AI170+AI156+AI172+AI173</f>
        <v>-133.76127000000002</v>
      </c>
      <c r="AJ174" s="477">
        <f>IF(AI$9=0,"N.D.",AI174/AI$9)</f>
        <v>-6.5255571362627714E-3</v>
      </c>
      <c r="AK174" s="381">
        <f t="shared" si="200"/>
        <v>47.422560000000061</v>
      </c>
      <c r="AL174" s="402">
        <f t="shared" si="201"/>
        <v>-0.35891649700666817</v>
      </c>
      <c r="AM174" s="381">
        <f t="shared" si="202"/>
        <v>49.056830000000048</v>
      </c>
      <c r="AN174" s="402">
        <f t="shared" si="203"/>
        <v>-0.36674913448414503</v>
      </c>
      <c r="AO174" s="175"/>
      <c r="BF174" s="7" t="s">
        <v>190</v>
      </c>
      <c r="BG174" s="381">
        <f>+BG170+BG156+BG172+BG173</f>
        <v>-26.619425200657361</v>
      </c>
      <c r="BH174" s="477">
        <f>IF(BG$9=0,"N.D.",BG174/BG$9)</f>
        <v>-1.7184909748649037E-2</v>
      </c>
      <c r="BI174" s="381">
        <f ca="1">+BI170+BI156+BI172+BI173</f>
        <v>-24.748000000000022</v>
      </c>
      <c r="BJ174" s="477">
        <f ca="1">IF(BI$9=0,"N.D.",BI174/BI$9)</f>
        <v>-1.4902400955757683E-2</v>
      </c>
      <c r="BK174" s="381">
        <f ca="1">+BK170+BK156+BK172+BK173</f>
        <v>-23.76886000000005</v>
      </c>
      <c r="BL174" s="477">
        <f ca="1">IF(BK$9=0,"N.D.",BK174/BK$9)</f>
        <v>-1.4398015539674862E-2</v>
      </c>
      <c r="BM174" s="381">
        <f t="shared" ca="1" si="204"/>
        <v>-1.8714252006573382</v>
      </c>
      <c r="BN174" s="402">
        <f t="shared" ca="1" si="205"/>
        <v>7.5619250066968569E-2</v>
      </c>
      <c r="BO174" s="381">
        <f t="shared" ca="1" si="206"/>
        <v>-2.8505652006573108</v>
      </c>
      <c r="BP174" s="402">
        <f t="shared" ca="1" si="207"/>
        <v>0.1199285620201096</v>
      </c>
      <c r="BQ174" s="354"/>
    </row>
    <row r="175" spans="1:69" ht="12.5" customHeight="1" x14ac:dyDescent="0.3">
      <c r="A175" s="238"/>
      <c r="B175" s="7" t="s">
        <v>191</v>
      </c>
      <c r="C175" s="381">
        <v>0</v>
      </c>
      <c r="D175" s="477">
        <f>IF(C$9=0,"N.D.",C175/C$9)</f>
        <v>0</v>
      </c>
      <c r="E175" s="381">
        <v>0</v>
      </c>
      <c r="F175" s="477">
        <f>IF(E$9=0,"N.D.",E175/E$9)</f>
        <v>0</v>
      </c>
      <c r="G175" s="381">
        <f>+BDLT!P16/1000</f>
        <v>7.90693</v>
      </c>
      <c r="H175" s="477">
        <f>IF(G$9=0,"N.D.",G175/G$9)</f>
        <v>4.7896323597817108E-3</v>
      </c>
      <c r="I175" s="381">
        <f t="shared" si="196"/>
        <v>0</v>
      </c>
      <c r="J175" s="402" t="str">
        <f t="shared" si="197"/>
        <v>N.D.</v>
      </c>
      <c r="K175" s="381">
        <f t="shared" si="198"/>
        <v>-7.90693</v>
      </c>
      <c r="L175" s="402">
        <f t="shared" si="199"/>
        <v>-1</v>
      </c>
      <c r="M175" s="175"/>
      <c r="AD175" s="7" t="s">
        <v>191</v>
      </c>
      <c r="AE175" s="381">
        <f>+AW35</f>
        <v>0</v>
      </c>
      <c r="AF175" s="477">
        <f>IF(AE$9=0,"N.D.",AE175/AE$9)</f>
        <v>0</v>
      </c>
      <c r="AG175" s="381">
        <v>0</v>
      </c>
      <c r="AH175" s="477">
        <f>IF(AG$9=0,"N.D.",AG175/AG$9)</f>
        <v>0</v>
      </c>
      <c r="AI175" s="381">
        <v>0</v>
      </c>
      <c r="AJ175" s="477">
        <f>IF(AI$9=0,"N.D.",AI175/AI$9)</f>
        <v>0</v>
      </c>
      <c r="AK175" s="381">
        <f t="shared" si="200"/>
        <v>0</v>
      </c>
      <c r="AL175" s="402" t="str">
        <f t="shared" si="201"/>
        <v>N.D.</v>
      </c>
      <c r="AM175" s="381">
        <f t="shared" si="202"/>
        <v>0</v>
      </c>
      <c r="AN175" s="402" t="str">
        <f t="shared" si="203"/>
        <v>N.D.</v>
      </c>
      <c r="AO175" s="175"/>
      <c r="BF175" s="7" t="s">
        <v>191</v>
      </c>
      <c r="BG175" s="381">
        <f>+C175</f>
        <v>0</v>
      </c>
      <c r="BH175" s="477">
        <f>IF(BG$9=0,"N.D.",BG175/BG$9)</f>
        <v>0</v>
      </c>
      <c r="BI175" s="381">
        <v>0</v>
      </c>
      <c r="BJ175" s="477">
        <f ca="1">IF(BI$9=0,"N.D.",BI175/BI$9)</f>
        <v>0</v>
      </c>
      <c r="BK175" s="381">
        <v>0</v>
      </c>
      <c r="BL175" s="477">
        <f ca="1">IF(BK$9=0,"N.D.",BK175/BK$9)</f>
        <v>0</v>
      </c>
      <c r="BM175" s="381">
        <f t="shared" si="204"/>
        <v>0</v>
      </c>
      <c r="BN175" s="402" t="str">
        <f t="shared" si="205"/>
        <v>N.D.</v>
      </c>
      <c r="BO175" s="381">
        <f t="shared" si="206"/>
        <v>0</v>
      </c>
      <c r="BP175" s="402" t="str">
        <f t="shared" si="207"/>
        <v>N.D.</v>
      </c>
      <c r="BQ175" s="354"/>
    </row>
    <row r="176" spans="1:69" ht="12.5" customHeight="1" x14ac:dyDescent="0.3">
      <c r="A176" s="238"/>
      <c r="B176" s="7" t="s">
        <v>84</v>
      </c>
      <c r="C176" s="381">
        <f>C174-C175</f>
        <v>-18.823940000000043</v>
      </c>
      <c r="D176" s="477">
        <f>IF(C$9=0,"N.D.",C176/C$9)</f>
        <v>-1.2065722038465395E-2</v>
      </c>
      <c r="E176" s="381">
        <f>E174-E175</f>
        <v>-16.803999999999977</v>
      </c>
      <c r="F176" s="477">
        <f>IF(E$9=0,"N.D.",E176/E$9)</f>
        <v>-9.8719884384234312E-3</v>
      </c>
      <c r="G176" s="381">
        <f>G174-G175</f>
        <v>-31.675790000000049</v>
      </c>
      <c r="H176" s="477">
        <f>IF(G$9=0,"N.D.",G176/G$9)</f>
        <v>-1.9187647899456574E-2</v>
      </c>
      <c r="I176" s="381">
        <f t="shared" si="196"/>
        <v>-2.0199400000000658</v>
      </c>
      <c r="J176" s="402">
        <f t="shared" si="197"/>
        <v>0.12020590335634784</v>
      </c>
      <c r="K176" s="381">
        <f t="shared" si="198"/>
        <v>12.851850000000006</v>
      </c>
      <c r="L176" s="402">
        <f t="shared" si="199"/>
        <v>-0.40573100149988328</v>
      </c>
      <c r="M176" s="175"/>
      <c r="AD176" s="7" t="s">
        <v>84</v>
      </c>
      <c r="AE176" s="381">
        <f>AE174-AE175</f>
        <v>-84.704439999999977</v>
      </c>
      <c r="AF176" s="477">
        <f>IF(AE$9=0,"N.D.",AE176/AE$9)</f>
        <v>-5.4258780421855167E-3</v>
      </c>
      <c r="AG176" s="381">
        <f>AG174-AG175</f>
        <v>-132.12700000000004</v>
      </c>
      <c r="AH176" s="477">
        <f>IF(AG$9=0,"N.D.",AG176/AG$9)</f>
        <v>-6.2762395688339767E-3</v>
      </c>
      <c r="AI176" s="381">
        <f>AI174-AI175</f>
        <v>-133.76127000000002</v>
      </c>
      <c r="AJ176" s="477">
        <f>IF(AI$9=0,"N.D.",AI176/AI$9)</f>
        <v>-6.5255571362627714E-3</v>
      </c>
      <c r="AK176" s="381">
        <f t="shared" si="200"/>
        <v>47.422560000000061</v>
      </c>
      <c r="AL176" s="402">
        <f t="shared" si="201"/>
        <v>-0.35891649700666817</v>
      </c>
      <c r="AM176" s="381">
        <f t="shared" si="202"/>
        <v>49.056830000000048</v>
      </c>
      <c r="AN176" s="402">
        <f t="shared" si="203"/>
        <v>-0.36674913448414503</v>
      </c>
      <c r="AO176" s="175"/>
      <c r="BF176" s="7" t="s">
        <v>84</v>
      </c>
      <c r="BG176" s="381">
        <f>BG174-BG175</f>
        <v>-26.619425200657361</v>
      </c>
      <c r="BH176" s="477">
        <f>IF(BG$9=0,"N.D.",BG176/BG$9)</f>
        <v>-1.7184909748649037E-2</v>
      </c>
      <c r="BI176" s="381">
        <f ca="1">BI174-BI175</f>
        <v>-24.748000000000022</v>
      </c>
      <c r="BJ176" s="477">
        <f ca="1">IF(BI$9=0,"N.D.",BI176/BI$9)</f>
        <v>-1.4902400955757683E-2</v>
      </c>
      <c r="BK176" s="381">
        <f ca="1">BK174-BK175</f>
        <v>-23.76886000000005</v>
      </c>
      <c r="BL176" s="477">
        <f ca="1">IF(BK$9=0,"N.D.",BK176/BK$9)</f>
        <v>-1.4398015539674862E-2</v>
      </c>
      <c r="BM176" s="381">
        <f t="shared" ca="1" si="204"/>
        <v>-1.8714252006573382</v>
      </c>
      <c r="BN176" s="402">
        <f t="shared" ca="1" si="205"/>
        <v>7.5619250066968569E-2</v>
      </c>
      <c r="BO176" s="381">
        <f t="shared" ca="1" si="206"/>
        <v>-2.8505652006573108</v>
      </c>
      <c r="BP176" s="402">
        <f t="shared" ca="1" si="207"/>
        <v>0.1199285620201096</v>
      </c>
      <c r="BQ176" s="354"/>
    </row>
    <row r="177" spans="1:69" ht="12.5" customHeight="1" x14ac:dyDescent="0.3">
      <c r="A177" s="238"/>
      <c r="B177" s="1" t="s">
        <v>193</v>
      </c>
      <c r="C177" s="412" t="str">
        <f>IF(C175=0,"N.D.",(C174-C172-C173)/C175)</f>
        <v>N.D.</v>
      </c>
      <c r="D177" s="478"/>
      <c r="E177" s="412" t="str">
        <f>IF(E175=0,"N.D.",(E174-E172-E173)/E175)</f>
        <v>N.D.</v>
      </c>
      <c r="F177" s="478"/>
      <c r="G177" s="412">
        <f>IF(G175=0,"N.D.",(G174-G172-G173)/G175)</f>
        <v>-3.006079477116915</v>
      </c>
      <c r="H177" s="478"/>
      <c r="I177" s="479"/>
      <c r="J177" s="354"/>
      <c r="K177" s="479"/>
      <c r="L177" s="354"/>
      <c r="M177" s="175"/>
      <c r="AD177" s="1" t="s">
        <v>193</v>
      </c>
      <c r="AE177" s="412" t="str">
        <f>IF(AE175=0,"N.D.",(AE174-AE172-AE173)/AE175)</f>
        <v>N.D.</v>
      </c>
      <c r="AF177" s="478"/>
      <c r="AG177" s="412" t="str">
        <f>IF(AG175=0,"N.D.",(AG174-AG172-AG173)/AG175)</f>
        <v>N.D.</v>
      </c>
      <c r="AH177" s="478"/>
      <c r="AI177" s="412" t="str">
        <f>IF(AI175=0,"N.D.",(AI174-AI172-AI173)/AI175)</f>
        <v>N.D.</v>
      </c>
      <c r="AJ177" s="478"/>
      <c r="AK177" s="479"/>
      <c r="AL177" s="354"/>
      <c r="AM177" s="479"/>
      <c r="AN177" s="354"/>
      <c r="AO177" s="175"/>
      <c r="BF177" s="1" t="s">
        <v>193</v>
      </c>
      <c r="BG177" s="412" t="str">
        <f>IF(BG175=0,"N.D.",(BG174-BG172-BG173)/BG175)</f>
        <v>N.D.</v>
      </c>
      <c r="BH177" s="478"/>
      <c r="BI177" s="412" t="str">
        <f>IF(BI175=0,"N.D.",(BI174-BI172-BI173)/BI175)</f>
        <v>N.D.</v>
      </c>
      <c r="BJ177" s="478"/>
      <c r="BK177" s="412" t="str">
        <f>IF(BK175=0,"N.D.",(BK174-BK172-BK173)/BK175)</f>
        <v>N.D.</v>
      </c>
      <c r="BL177" s="478"/>
      <c r="BM177" s="479"/>
      <c r="BN177" s="354"/>
      <c r="BO177" s="479"/>
      <c r="BP177" s="354"/>
      <c r="BQ177" s="354"/>
    </row>
    <row r="178" spans="1:69" ht="12.5" customHeight="1" x14ac:dyDescent="0.25">
      <c r="M178" s="175"/>
      <c r="AO178" s="175"/>
    </row>
    <row r="179" spans="1:69" ht="12.5" customHeight="1" x14ac:dyDescent="0.3">
      <c r="B179" s="310"/>
      <c r="C179" s="479"/>
      <c r="D179" s="354"/>
      <c r="E179" s="479"/>
      <c r="F179" s="354"/>
      <c r="G179" s="479"/>
      <c r="H179" s="354"/>
      <c r="I179" s="479"/>
      <c r="J179" s="354"/>
      <c r="K179" s="479"/>
      <c r="L179" s="354"/>
      <c r="M179" s="175"/>
      <c r="AD179" s="310"/>
      <c r="AE179" s="479"/>
      <c r="AF179" s="354"/>
      <c r="AG179" s="479"/>
      <c r="AH179" s="354"/>
      <c r="AI179" s="479"/>
      <c r="AJ179" s="354"/>
      <c r="AK179" s="479"/>
      <c r="AL179" s="354"/>
      <c r="AM179" s="479"/>
      <c r="AN179" s="354"/>
      <c r="AO179" s="175"/>
      <c r="BF179" s="310"/>
      <c r="BG179" s="479"/>
      <c r="BH179" s="354"/>
      <c r="BI179" s="479"/>
      <c r="BJ179" s="354"/>
      <c r="BK179" s="479"/>
      <c r="BL179" s="354"/>
      <c r="BM179" s="479"/>
      <c r="BN179" s="354"/>
      <c r="BO179" s="479"/>
      <c r="BP179" s="354"/>
      <c r="BQ179" s="354"/>
    </row>
    <row r="180" spans="1:69" ht="12.5" customHeight="1" x14ac:dyDescent="0.25">
      <c r="B180" s="310"/>
      <c r="M180" s="175"/>
      <c r="AO180" s="175"/>
    </row>
    <row r="181" spans="1:69" ht="0.5" customHeight="1" x14ac:dyDescent="0.25">
      <c r="B181" s="310"/>
      <c r="M181" s="175"/>
      <c r="AO181" s="175"/>
    </row>
    <row r="182" spans="1:69" ht="12.5" customHeight="1" x14ac:dyDescent="0.3">
      <c r="B182" s="310"/>
      <c r="C182" s="739" t="s">
        <v>188</v>
      </c>
      <c r="D182" s="741"/>
      <c r="E182" s="741"/>
      <c r="F182" s="741"/>
      <c r="G182" s="741"/>
      <c r="H182" s="741"/>
      <c r="I182" s="741"/>
      <c r="J182" s="742"/>
      <c r="K182" s="741"/>
      <c r="L182" s="742"/>
      <c r="M182" s="175"/>
      <c r="AE182" s="739" t="str">
        <f>C182</f>
        <v>Pizzas del Golfo</v>
      </c>
      <c r="AF182" s="739"/>
      <c r="AG182" s="739"/>
      <c r="AH182" s="739"/>
      <c r="AI182" s="739"/>
      <c r="AJ182" s="739"/>
      <c r="AK182" s="739"/>
      <c r="AL182" s="739"/>
      <c r="AM182" s="739"/>
      <c r="AN182" s="739"/>
      <c r="AO182" s="175"/>
      <c r="BG182" s="739" t="str">
        <f>AE182</f>
        <v>Pizzas del Golfo</v>
      </c>
      <c r="BH182" s="739"/>
      <c r="BI182" s="739"/>
      <c r="BJ182" s="739"/>
      <c r="BK182" s="739"/>
      <c r="BL182" s="739"/>
      <c r="BM182" s="739"/>
      <c r="BN182" s="739"/>
      <c r="BO182" s="739"/>
      <c r="BP182" s="739"/>
      <c r="BQ182" s="349"/>
    </row>
    <row r="183" spans="1:69" ht="12.5" customHeight="1" x14ac:dyDescent="0.3">
      <c r="B183" s="310"/>
      <c r="C183" s="739" t="s">
        <v>18</v>
      </c>
      <c r="D183" s="743"/>
      <c r="E183" s="743"/>
      <c r="F183" s="743"/>
      <c r="G183" s="743"/>
      <c r="H183" s="743"/>
      <c r="I183" s="743"/>
      <c r="J183" s="744"/>
      <c r="K183" s="743"/>
      <c r="L183" s="744"/>
      <c r="M183" s="175"/>
      <c r="AE183" s="739" t="s">
        <v>18</v>
      </c>
      <c r="AF183" s="739"/>
      <c r="AG183" s="739"/>
      <c r="AH183" s="739"/>
      <c r="AI183" s="739"/>
      <c r="AJ183" s="739"/>
      <c r="AK183" s="739"/>
      <c r="AL183" s="739"/>
      <c r="AM183" s="739"/>
      <c r="AN183" s="739"/>
      <c r="AO183" s="175"/>
      <c r="BG183" s="739" t="s">
        <v>18</v>
      </c>
      <c r="BH183" s="739"/>
      <c r="BI183" s="739"/>
      <c r="BJ183" s="739"/>
      <c r="BK183" s="739"/>
      <c r="BL183" s="739"/>
      <c r="BM183" s="739"/>
      <c r="BN183" s="739"/>
      <c r="BO183" s="739"/>
      <c r="BP183" s="739"/>
      <c r="BQ183" s="349"/>
    </row>
    <row r="184" spans="1:69" ht="12.5" customHeight="1" x14ac:dyDescent="0.3">
      <c r="B184" s="277" t="s">
        <v>328</v>
      </c>
      <c r="C184" s="739" t="str">
        <f>PROPER(TEXT(MES_CIERRE,"MMMM "))&amp;YEAR(MES_CIERRE)</f>
        <v>Junio 2019</v>
      </c>
      <c r="D184" s="739"/>
      <c r="E184" s="739"/>
      <c r="F184" s="739"/>
      <c r="G184" s="739"/>
      <c r="H184" s="739"/>
      <c r="I184" s="739"/>
      <c r="J184" s="739"/>
      <c r="K184" s="739"/>
      <c r="L184" s="739"/>
      <c r="M184" s="175"/>
      <c r="AD184" s="311" t="str">
        <f>B184</f>
        <v>PIZZAS DEL GOLFO</v>
      </c>
      <c r="AE184" s="740" t="str">
        <f>"Accum to "&amp;PROPER(TEXT(MES_CIERRE,"MMMM "))&amp;YEAR(MES_CIERRE)</f>
        <v>Accum to Junio 2019</v>
      </c>
      <c r="AF184" s="740"/>
      <c r="AG184" s="740"/>
      <c r="AH184" s="740"/>
      <c r="AI184" s="740"/>
      <c r="AJ184" s="740"/>
      <c r="AK184" s="740"/>
      <c r="AL184" s="740"/>
      <c r="AM184" s="740"/>
      <c r="AN184" s="740"/>
      <c r="AO184" s="175"/>
      <c r="BF184" s="113" t="str">
        <f>AD184</f>
        <v>PIZZAS DEL GOLFO</v>
      </c>
      <c r="BG184" s="740" t="str">
        <f>$BG$41</f>
        <v>Projection- Julio 2019</v>
      </c>
      <c r="BH184" s="740"/>
      <c r="BI184" s="740"/>
      <c r="BJ184" s="740"/>
      <c r="BK184" s="740"/>
      <c r="BL184" s="740"/>
      <c r="BM184" s="740"/>
      <c r="BN184" s="740"/>
      <c r="BO184" s="740"/>
      <c r="BP184" s="740"/>
      <c r="BQ184" s="350"/>
    </row>
    <row r="185" spans="1:69" ht="12.5" customHeight="1" x14ac:dyDescent="0.3">
      <c r="A185" s="238"/>
      <c r="C185" s="394" t="s">
        <v>0</v>
      </c>
      <c r="D185" s="395"/>
      <c r="E185" s="394" t="s">
        <v>4</v>
      </c>
      <c r="F185" s="395"/>
      <c r="G185" s="394" t="s">
        <v>5</v>
      </c>
      <c r="H185" s="464"/>
      <c r="I185" s="349" t="s">
        <v>6</v>
      </c>
      <c r="J185" s="351"/>
      <c r="K185" s="349" t="s">
        <v>7</v>
      </c>
      <c r="L185" s="351"/>
      <c r="M185" s="174"/>
      <c r="AE185" s="394" t="s">
        <v>8</v>
      </c>
      <c r="AF185" s="464"/>
      <c r="AG185" s="394" t="s">
        <v>4</v>
      </c>
      <c r="AH185" s="464"/>
      <c r="AI185" s="394" t="s">
        <v>9</v>
      </c>
      <c r="AJ185" s="465"/>
      <c r="AK185" s="349" t="s">
        <v>6</v>
      </c>
      <c r="AL185" s="351"/>
      <c r="AM185" s="349" t="s">
        <v>7</v>
      </c>
      <c r="AN185" s="351"/>
      <c r="AO185" s="291"/>
      <c r="BG185" s="394" t="s">
        <v>502</v>
      </c>
      <c r="BH185" s="464"/>
      <c r="BI185" s="394" t="s">
        <v>4</v>
      </c>
      <c r="BJ185" s="464"/>
      <c r="BK185" s="394" t="s">
        <v>9</v>
      </c>
      <c r="BL185" s="465"/>
      <c r="BM185" s="349" t="s">
        <v>6</v>
      </c>
      <c r="BN185" s="351"/>
      <c r="BO185" s="349" t="s">
        <v>7</v>
      </c>
      <c r="BP185" s="351"/>
      <c r="BQ185" s="351"/>
    </row>
    <row r="186" spans="1:69" ht="12.5" customHeight="1" x14ac:dyDescent="0.25">
      <c r="A186" s="238"/>
      <c r="C186" s="469"/>
      <c r="D186" s="500"/>
      <c r="E186" s="468"/>
      <c r="F186" s="500"/>
      <c r="G186" s="469"/>
      <c r="H186" s="467"/>
      <c r="I186" s="419"/>
      <c r="J186" s="352"/>
      <c r="K186" s="419"/>
      <c r="L186" s="352"/>
      <c r="M186" s="175"/>
      <c r="AE186" s="480"/>
      <c r="AF186" s="467"/>
      <c r="AG186" s="468"/>
      <c r="AH186" s="467"/>
      <c r="AI186" s="483"/>
      <c r="AJ186" s="470"/>
      <c r="AK186" s="419"/>
      <c r="AL186" s="352"/>
      <c r="AM186" s="419"/>
      <c r="AN186" s="352"/>
      <c r="AO186" s="175"/>
      <c r="BG186" s="480"/>
      <c r="BH186" s="467"/>
      <c r="BI186" s="468"/>
      <c r="BJ186" s="467"/>
      <c r="BK186" s="483"/>
      <c r="BL186" s="470"/>
      <c r="BM186" s="419"/>
      <c r="BN186" s="352"/>
      <c r="BO186" s="419"/>
      <c r="BP186" s="352"/>
      <c r="BQ186" s="352"/>
    </row>
    <row r="187" spans="1:69" ht="12.5" customHeight="1" x14ac:dyDescent="0.25">
      <c r="A187" s="238"/>
      <c r="B187" t="s">
        <v>38</v>
      </c>
      <c r="C187" s="418">
        <f>BDER!D130/1000</f>
        <v>302.41525000000001</v>
      </c>
      <c r="D187" s="417">
        <f>IF(C$187=0,"N.D.",C187/C$187)</f>
        <v>1</v>
      </c>
      <c r="E187" s="418">
        <f>BDER!L130/1000</f>
        <v>335.10500000000002</v>
      </c>
      <c r="F187" s="417">
        <f>IF(E$187=0,"N.D.",E187/E$187)</f>
        <v>1</v>
      </c>
      <c r="G187" s="418">
        <f>BDER!F130/1000</f>
        <v>328.83873</v>
      </c>
      <c r="H187" s="417">
        <f>IF(G$187=0,"N.D.",G187/G$187)</f>
        <v>1</v>
      </c>
      <c r="I187" s="418">
        <f>C187-E187</f>
        <v>-32.689750000000004</v>
      </c>
      <c r="J187" s="471">
        <f>IF(E187=0,"N.D.",C187/E187-1)</f>
        <v>-9.7550767669834837E-2</v>
      </c>
      <c r="K187" s="418">
        <f>C187-G187</f>
        <v>-26.423479999999984</v>
      </c>
      <c r="L187" s="183">
        <f>IF(G187=0,"N.D.",C187/G187-1)</f>
        <v>-8.0353916948894599E-2</v>
      </c>
      <c r="M187" s="175"/>
      <c r="AD187" t="s">
        <v>38</v>
      </c>
      <c r="AE187" s="418">
        <f>BDER!E130/1000</f>
        <v>1822.6221699999999</v>
      </c>
      <c r="AF187" s="417">
        <f>IF(AE$187=0,"N.D.",AE187/AE$187)</f>
        <v>1</v>
      </c>
      <c r="AG187" s="418">
        <f>BDER!M130/1000</f>
        <v>2024.778</v>
      </c>
      <c r="AH187" s="417">
        <f>IF(AG$187=0,"N.D.",AG187/AG$187)</f>
        <v>1</v>
      </c>
      <c r="AI187" s="418">
        <f>BDER!I130/1000</f>
        <v>1980.44794</v>
      </c>
      <c r="AJ187" s="417">
        <f>IF(AI$187=0,"N.D.",AI187/AI$187)</f>
        <v>1</v>
      </c>
      <c r="AK187" s="418">
        <f>AE187-AG187</f>
        <v>-202.15583000000015</v>
      </c>
      <c r="AL187" s="471">
        <f>IF(AG187=0,"N.D.",AE187/AG187-1)</f>
        <v>-9.9840985036384278E-2</v>
      </c>
      <c r="AM187" s="418">
        <f>AE187-AI187</f>
        <v>-157.82577000000015</v>
      </c>
      <c r="AN187" s="183">
        <f>IF(AI187=0,"N.D.",AE187/AI187-1)</f>
        <v>-7.9691955952146953E-2</v>
      </c>
      <c r="AO187" s="175"/>
      <c r="BF187" s="290" t="s">
        <v>38</v>
      </c>
      <c r="BG187" s="418">
        <v>291</v>
      </c>
      <c r="BH187" s="417">
        <f>IF(BG$187=0,"N.D.",BG187/BG$187)</f>
        <v>1</v>
      </c>
      <c r="BI187" s="418">
        <f ca="1">INDIRECT(ADDRESS(MATCH(B184,BDPP!$B:$B,0)+6,MATCH(TEXT(EDATE(MES_CIERRE,1),"MMMM"),BDPP!$1:$1,0),,,"BDPP"))/1000</f>
        <v>320.38299999999998</v>
      </c>
      <c r="BJ187" s="417">
        <f ca="1">IF(BI$187=0,"N.D.",BI187/BI$187)</f>
        <v>1</v>
      </c>
      <c r="BK187" s="418">
        <f ca="1">INDIRECT(ADDRESS(MATCH(B184,INDIRECT("'"&amp;IF(MONTH(MES_CIERRE)=12,"ER ACT","ER AA")&amp;"'!$B:$B"),0)+1,MATCH(TEXT(EDATE(MES_CIERRE,1),"MMMM"),'ER AA'!$1:$1,0),,,IF(MONTH(MES_CIERRE)=12,"ER ACT","ER AA")))</f>
        <v>328.83873</v>
      </c>
      <c r="BL187" s="417">
        <f ca="1">IF(BK$187=0,"N.D.",BK187/BK$187)</f>
        <v>1</v>
      </c>
      <c r="BM187" s="418">
        <f ca="1">BG187-BI187</f>
        <v>-29.382999999999981</v>
      </c>
      <c r="BN187" s="471">
        <f ca="1">IF(BI187=0,"N.D.",BG187/BI187-1)</f>
        <v>-9.1712107071848292E-2</v>
      </c>
      <c r="BO187" s="418">
        <f ca="1">BG187-BK187</f>
        <v>-37.838729999999998</v>
      </c>
      <c r="BP187" s="471">
        <f ca="1">IF(BK187=0,"N.D.",BG187/BK187-1)</f>
        <v>-0.11506774156438326</v>
      </c>
      <c r="BQ187" s="353"/>
    </row>
    <row r="188" spans="1:69" ht="12.5" customHeight="1" x14ac:dyDescent="0.25">
      <c r="A188" s="238"/>
      <c r="B188" t="s">
        <v>39</v>
      </c>
      <c r="C188" s="314">
        <f>BDER!D131/1000</f>
        <v>100.41549000000001</v>
      </c>
      <c r="D188" s="414">
        <f t="shared" ref="D188:F209" si="208">IF(C$187=0,"N.D.",C188/C$187)</f>
        <v>0.33204506055828864</v>
      </c>
      <c r="E188" s="314">
        <f>BDER!L131/1000</f>
        <v>114.271</v>
      </c>
      <c r="F188" s="414">
        <f t="shared" si="208"/>
        <v>0.34100058190716342</v>
      </c>
      <c r="G188" s="314">
        <f>BDER!F131/1000</f>
        <v>111.46080000000001</v>
      </c>
      <c r="H188" s="414">
        <f>IF(G$187=0,"N.D.",G188/G$187)</f>
        <v>0.33895277481457248</v>
      </c>
      <c r="I188" s="314">
        <f>C188-E188</f>
        <v>-13.855509999999995</v>
      </c>
      <c r="J188" s="472">
        <f>IF(E188=0,"N.D.",C188/E188-1)</f>
        <v>-0.12125132360791446</v>
      </c>
      <c r="K188" s="314">
        <f>C188-G188</f>
        <v>-11.045310000000001</v>
      </c>
      <c r="L188" s="472">
        <f>IF(G188=0,"N.D.",C188/G188-1)</f>
        <v>-9.9095915335256857E-2</v>
      </c>
      <c r="M188" s="175"/>
      <c r="AD188" t="s">
        <v>39</v>
      </c>
      <c r="AE188" s="314">
        <f>BDER!E131/1000</f>
        <v>586.52386999999999</v>
      </c>
      <c r="AF188" s="176">
        <f>IF(AE$187=0,"N.D.",AE188/AE$187)</f>
        <v>0.32180222519733753</v>
      </c>
      <c r="AG188" s="314">
        <f>BDER!M131/1000</f>
        <v>690.45</v>
      </c>
      <c r="AH188" s="414">
        <f>IF(AG$187=0,"N.D.",AG188/AG$187)</f>
        <v>0.34100034670467577</v>
      </c>
      <c r="AI188" s="314">
        <f>BDER!I131/1000</f>
        <v>684.62881999999991</v>
      </c>
      <c r="AJ188" s="414">
        <f>IF(AI$187=0,"N.D.",AI188/AI$187)</f>
        <v>0.34569392417353817</v>
      </c>
      <c r="AK188" s="314">
        <f>AE188-AG188</f>
        <v>-103.92613000000006</v>
      </c>
      <c r="AL188" s="472">
        <f>IF(AG188=0,"N.D.",AE188/AG188-1)</f>
        <v>-0.15051941487435738</v>
      </c>
      <c r="AM188" s="314">
        <f>AE188-AI188</f>
        <v>-98.104949999999917</v>
      </c>
      <c r="AN188" s="472">
        <f>IF(AI188=0,"N.D.",AE188/AI188-1)</f>
        <v>-0.14329655301393818</v>
      </c>
      <c r="AO188" s="175"/>
      <c r="BF188" s="290" t="s">
        <v>39</v>
      </c>
      <c r="BG188" s="314">
        <f>BG187*D188</f>
        <v>96.625112622461998</v>
      </c>
      <c r="BH188" s="414">
        <f>IF(BG$187=0,"N.D.",BG188/BG$187)</f>
        <v>0.33204506055828864</v>
      </c>
      <c r="BI188" s="314">
        <f ca="1">INDIRECT(ADDRESS(MATCH(B184,BDPP!$B:$B,0)+7,MATCH(TEXT(EDATE(MES_CIERRE,1),"MMMM"),BDPP!$1:$1,0),,,"BDPP"))/1000</f>
        <v>109.25</v>
      </c>
      <c r="BJ188" s="414">
        <f ca="1">IF(BI$187=0,"N.D.",BI188/BI$187)</f>
        <v>0.34099811787766521</v>
      </c>
      <c r="BK188" s="314">
        <f ca="1">INDIRECT(ADDRESS(MATCH(B184,INDIRECT("'"&amp;IF(MONTH(MES_CIERRE)=12,"ER ACT","ER AA")&amp;"'!$B:$B"),0)+2,MATCH(TEXT(EDATE(MES_CIERRE,1),"MMMM"),'ER AA'!$1:$1,0),,,IF(MONTH(MES_CIERRE)=12,"ER ACT","ER AA")))</f>
        <v>111.46080000000001</v>
      </c>
      <c r="BL188" s="414">
        <f ca="1">IF(BK$187=0,"N.D.",BK188/BK$187)</f>
        <v>0.33895277481457248</v>
      </c>
      <c r="BM188" s="314">
        <f ca="1">BG188-BI188</f>
        <v>-12.624887377538002</v>
      </c>
      <c r="BN188" s="472">
        <f ca="1">IF(BI188=0,"N.D.",BG188/BI188-1)</f>
        <v>-0.11555960986304803</v>
      </c>
      <c r="BO188" s="314">
        <f ca="1">BG188-BK188</f>
        <v>-14.835687377538008</v>
      </c>
      <c r="BP188" s="472">
        <f ca="1">IF(BK188=0,"N.D.",BG188/BK188-1)</f>
        <v>-0.13310228688057157</v>
      </c>
      <c r="BQ188" s="353"/>
    </row>
    <row r="189" spans="1:69" ht="12.5" hidden="1" customHeight="1" x14ac:dyDescent="0.25">
      <c r="A189" s="238"/>
      <c r="B189" t="s">
        <v>219</v>
      </c>
      <c r="C189" s="314">
        <f>BDER!D132/1000</f>
        <v>0</v>
      </c>
      <c r="D189" s="414">
        <f t="shared" si="208"/>
        <v>0</v>
      </c>
      <c r="E189" s="314">
        <f>BDER!L132/1000</f>
        <v>0</v>
      </c>
      <c r="F189" s="414">
        <f t="shared" si="208"/>
        <v>0</v>
      </c>
      <c r="G189" s="314">
        <f>BDER!F132/1000</f>
        <v>0</v>
      </c>
      <c r="H189" s="414">
        <f>IF(G$187=0,"N.D.",G189/G$187)</f>
        <v>0</v>
      </c>
      <c r="I189" s="314">
        <f>C189-E189</f>
        <v>0</v>
      </c>
      <c r="J189" s="472" t="str">
        <f>IF(E189=0,"N.D.",C189/E189-1)</f>
        <v>N.D.</v>
      </c>
      <c r="K189" s="314">
        <f>C189-G189</f>
        <v>0</v>
      </c>
      <c r="L189" s="472" t="str">
        <f>IF(G189=0,"N.D.",C189/G189-1)</f>
        <v>N.D.</v>
      </c>
      <c r="M189" s="175"/>
      <c r="AD189" t="s">
        <v>219</v>
      </c>
      <c r="AE189" s="314">
        <f>BDER!E132/1000</f>
        <v>0</v>
      </c>
      <c r="AF189" s="176">
        <f>IF(AE$187=0,"N.D.",AE189/AE$187)</f>
        <v>0</v>
      </c>
      <c r="AG189" s="314">
        <f>BDER!M132/1000</f>
        <v>0</v>
      </c>
      <c r="AH189" s="414">
        <f>IF(AG$187=0,"N.D.",AG189/AG$187)</f>
        <v>0</v>
      </c>
      <c r="AI189" s="314">
        <f>BDER!I132/1000</f>
        <v>0</v>
      </c>
      <c r="AJ189" s="414">
        <f>IF(AI$187=0,"N.D.",AI189/AI$187)</f>
        <v>0</v>
      </c>
      <c r="AK189" s="314">
        <f>AE189-AG189</f>
        <v>0</v>
      </c>
      <c r="AL189" s="472" t="str">
        <f>IF(AG189=0,"N.D.",AE189/AG189-1)</f>
        <v>N.D.</v>
      </c>
      <c r="AM189" s="314">
        <f>AE189-AI189</f>
        <v>0</v>
      </c>
      <c r="AN189" s="472" t="str">
        <f>IF(AI189=0,"N.D.",AE189/AI189-1)</f>
        <v>N.D.</v>
      </c>
      <c r="AO189" s="175"/>
      <c r="BF189" s="290" t="s">
        <v>219</v>
      </c>
      <c r="BG189" s="314"/>
      <c r="BH189" s="414">
        <f>IF(BG$187=0,"N.D.",BG189/BG$187)</f>
        <v>0</v>
      </c>
      <c r="BI189" s="314">
        <f>BDER!Y187/1000</f>
        <v>0</v>
      </c>
      <c r="BJ189" s="414">
        <f ca="1">IF(BI$187=0,"N.D.",BI189/BI$187)</f>
        <v>0</v>
      </c>
      <c r="BK189" s="314">
        <f>BDER!U187/1000</f>
        <v>0</v>
      </c>
      <c r="BL189" s="414">
        <f ca="1">IF(BK$187=0,"N.D.",BK189/BK$187)</f>
        <v>0</v>
      </c>
      <c r="BM189" s="314">
        <f>BG189-BI189</f>
        <v>0</v>
      </c>
      <c r="BN189" s="472" t="str">
        <f>IF(BI189=0,"N.D.",BG189/BI189-1)</f>
        <v>N.D.</v>
      </c>
      <c r="BO189" s="314">
        <f>BG189-BK189</f>
        <v>0</v>
      </c>
      <c r="BP189" s="472" t="str">
        <f>IF(BK189=0,"N.D.",BG189/BK189-1)</f>
        <v>N.D.</v>
      </c>
      <c r="BQ189" s="353"/>
    </row>
    <row r="190" spans="1:69" ht="12.5" customHeight="1" x14ac:dyDescent="0.3">
      <c r="A190" s="238"/>
      <c r="B190" t="s">
        <v>40</v>
      </c>
      <c r="C190" s="381">
        <f>C187-C188-C189</f>
        <v>201.99976000000001</v>
      </c>
      <c r="D190" s="415">
        <f t="shared" si="208"/>
        <v>0.66795493944171136</v>
      </c>
      <c r="E190" s="381">
        <f>E187-E188-E189</f>
        <v>220.834</v>
      </c>
      <c r="F190" s="415">
        <f t="shared" si="208"/>
        <v>0.65899941809283658</v>
      </c>
      <c r="G190" s="381">
        <f>G187-G188-G189</f>
        <v>217.37792999999999</v>
      </c>
      <c r="H190" s="415">
        <f>IF(G$187=0,"N.D.",G190/G$187)</f>
        <v>0.66104722518542747</v>
      </c>
      <c r="I190" s="381">
        <f>C190-E190</f>
        <v>-18.834239999999994</v>
      </c>
      <c r="J190" s="402">
        <f>IF(E190=0,"N.D.",C190/E190-1)</f>
        <v>-8.5286867058514515E-2</v>
      </c>
      <c r="K190" s="381">
        <f>C190-G190</f>
        <v>-15.378169999999983</v>
      </c>
      <c r="L190" s="402">
        <f>IF(G190=0,"N.D.",C190/G190-1)</f>
        <v>-7.0743934308326484E-2</v>
      </c>
      <c r="M190" s="175"/>
      <c r="AD190" t="s">
        <v>40</v>
      </c>
      <c r="AE190" s="381">
        <f>AE187-AE188-AE189</f>
        <v>1236.0982999999999</v>
      </c>
      <c r="AF190" s="178">
        <f>IF(AE$187=0,"N.D.",AE190/AE$187)</f>
        <v>0.67819777480266241</v>
      </c>
      <c r="AG190" s="381">
        <f>AG187-AG188-AG189</f>
        <v>1334.328</v>
      </c>
      <c r="AH190" s="415">
        <f>IF(AG$187=0,"N.D.",AG190/AG$187)</f>
        <v>0.65899965329532417</v>
      </c>
      <c r="AI190" s="381">
        <f>AI187-AI188-AI189</f>
        <v>1295.8191200000001</v>
      </c>
      <c r="AJ190" s="415">
        <f>IF(AI$187=0,"N.D.",AI190/AI$187)</f>
        <v>0.65430607582646183</v>
      </c>
      <c r="AK190" s="381">
        <f>AE190-AG190</f>
        <v>-98.229700000000093</v>
      </c>
      <c r="AL190" s="402">
        <f>IF(AG190=0,"N.D.",AE190/AG190-1)</f>
        <v>-7.361735645208678E-2</v>
      </c>
      <c r="AM190" s="381">
        <f>AE190-AI190</f>
        <v>-59.720820000000231</v>
      </c>
      <c r="AN190" s="402">
        <f>IF(AI190=0,"N.D.",AE190/AI190-1)</f>
        <v>-4.6087311939030706E-2</v>
      </c>
      <c r="AO190" s="175"/>
      <c r="BF190" s="290" t="s">
        <v>40</v>
      </c>
      <c r="BG190" s="381">
        <f>BG187-BG188-BG189</f>
        <v>194.37488737753802</v>
      </c>
      <c r="BH190" s="415">
        <f>IF(BG$187=0,"N.D.",BG190/BG$187)</f>
        <v>0.66795493944171136</v>
      </c>
      <c r="BI190" s="381">
        <f ca="1">BI187-BI188-BI189</f>
        <v>211.13299999999998</v>
      </c>
      <c r="BJ190" s="415">
        <f ca="1">IF(BI$187=0,"N.D.",BI190/BI$187)</f>
        <v>0.65900188212233479</v>
      </c>
      <c r="BK190" s="381">
        <f ca="1">BK187-BK188-BK189</f>
        <v>217.37792999999999</v>
      </c>
      <c r="BL190" s="415">
        <f ca="1">IF(BK$187=0,"N.D.",BK190/BK$187)</f>
        <v>0.66104722518542747</v>
      </c>
      <c r="BM190" s="381">
        <f ca="1">BG190-BI190</f>
        <v>-16.758112622461965</v>
      </c>
      <c r="BN190" s="402">
        <f ca="1">IF(BI190=0,"N.D.",BG190/BI190-1)</f>
        <v>-7.9372303820160583E-2</v>
      </c>
      <c r="BO190" s="381">
        <f ca="1">BG190-BK190</f>
        <v>-23.003042622461976</v>
      </c>
      <c r="BP190" s="402">
        <f ca="1">IF(BK190=0,"N.D.",BG190/BK190-1)</f>
        <v>-0.10582050635251694</v>
      </c>
      <c r="BQ190" s="354"/>
    </row>
    <row r="191" spans="1:69" ht="12.5" customHeight="1" x14ac:dyDescent="0.25">
      <c r="A191" s="238"/>
      <c r="C191" s="419"/>
      <c r="D191" s="416"/>
      <c r="E191" s="419"/>
      <c r="F191" s="416"/>
      <c r="G191" s="419"/>
      <c r="H191" s="416"/>
      <c r="I191" s="419"/>
      <c r="J191" s="352"/>
      <c r="K191" s="419"/>
      <c r="L191" s="352"/>
      <c r="M191" s="175"/>
      <c r="AE191" s="419"/>
      <c r="AF191" s="180"/>
      <c r="AG191" s="419"/>
      <c r="AH191" s="416"/>
      <c r="AI191" s="419"/>
      <c r="AJ191" s="416"/>
      <c r="AK191" s="419"/>
      <c r="AL191" s="352"/>
      <c r="AM191" s="419"/>
      <c r="AN191" s="352"/>
      <c r="AO191" s="175"/>
      <c r="BG191" s="419"/>
      <c r="BH191" s="416"/>
      <c r="BI191" s="419"/>
      <c r="BJ191" s="416"/>
      <c r="BK191" s="419"/>
      <c r="BL191" s="416"/>
      <c r="BM191" s="419"/>
      <c r="BN191" s="352"/>
      <c r="BO191" s="419"/>
      <c r="BP191" s="352"/>
      <c r="BQ191" s="352"/>
    </row>
    <row r="192" spans="1:69" ht="12.5" customHeight="1" x14ac:dyDescent="0.25">
      <c r="A192" s="238"/>
      <c r="B192" t="s">
        <v>41</v>
      </c>
      <c r="C192" s="418">
        <f>BDER!D134/1000</f>
        <v>192.15586999999999</v>
      </c>
      <c r="D192" s="417">
        <f t="shared" si="208"/>
        <v>0.63540403468409734</v>
      </c>
      <c r="E192" s="418">
        <f>BDER!L134/1000</f>
        <v>203.011</v>
      </c>
      <c r="F192" s="417">
        <f t="shared" si="208"/>
        <v>0.60581310335566463</v>
      </c>
      <c r="G192" s="418">
        <f>BDER!F134/1000</f>
        <v>210.58204999999998</v>
      </c>
      <c r="H192" s="417">
        <f>IF(G$187=0,"N.D.",G192/G$187)</f>
        <v>0.64038092471650154</v>
      </c>
      <c r="I192" s="418">
        <f>C192-E192</f>
        <v>-10.855130000000003</v>
      </c>
      <c r="J192" s="471">
        <f>IF(E192=0,"N.D.",C192/E192-1)</f>
        <v>-5.3470649373679291E-2</v>
      </c>
      <c r="K192" s="418">
        <f>C192-G192</f>
        <v>-18.426179999999988</v>
      </c>
      <c r="L192" s="471">
        <f>IF(G192=0,"N.D.",C192/G192-1)</f>
        <v>-8.7501190153671637E-2</v>
      </c>
      <c r="M192" s="175"/>
      <c r="AD192" t="s">
        <v>41</v>
      </c>
      <c r="AE192" s="418">
        <f>BDER!E134/1000</f>
        <v>1158.9355700000001</v>
      </c>
      <c r="AF192" s="182">
        <f>IF(AE$187=0,"N.D.",AE192/AE$187)</f>
        <v>0.63586166627173213</v>
      </c>
      <c r="AG192" s="418">
        <f>BDER!M134/1000</f>
        <v>1252.307</v>
      </c>
      <c r="AH192" s="417">
        <f>IF(AG$187=0,"N.D.",AG192/AG$187)</f>
        <v>0.61849101481742685</v>
      </c>
      <c r="AI192" s="418">
        <f>BDER!I134/1000</f>
        <v>1256.8806299999999</v>
      </c>
      <c r="AJ192" s="417">
        <f>IF(AI$187=0,"N.D.",AI192/AI$187)</f>
        <v>0.63464461984292297</v>
      </c>
      <c r="AK192" s="418">
        <f>AE192-AG192</f>
        <v>-93.371429999999918</v>
      </c>
      <c r="AL192" s="471">
        <f>IF(AG192=0,"N.D.",AE192/AG192-1)</f>
        <v>-7.4559536918662794E-2</v>
      </c>
      <c r="AM192" s="418">
        <f>AE192-AI192</f>
        <v>-97.945059999999785</v>
      </c>
      <c r="AN192" s="471">
        <f>IF(AI192=0,"N.D.",AE192/AI192-1)</f>
        <v>-7.7927097977474435E-2</v>
      </c>
      <c r="AO192" s="175"/>
      <c r="BF192" s="290" t="s">
        <v>41</v>
      </c>
      <c r="BG192" s="418">
        <f>BG187*D192</f>
        <v>184.90257409307233</v>
      </c>
      <c r="BH192" s="417">
        <f>IF(BG$187=0,"N.D.",BG192/BG$187)</f>
        <v>0.63540403468409734</v>
      </c>
      <c r="BI192" s="418">
        <f ca="1">INDIRECT(ADDRESS(MATCH(B184,BDPP!$B:$B,0)+10,MATCH(TEXT(EDATE(MES_CIERRE,1),"MMMM"),BDPP!$1:$1,0),,,"BDPP"))/1000</f>
        <v>204.75200000000001</v>
      </c>
      <c r="BJ192" s="417">
        <f ca="1">IF(BI$187=0,"N.D.",BI192/BI$187)</f>
        <v>0.6390850950268897</v>
      </c>
      <c r="BK192" s="418">
        <f ca="1">INDIRECT(ADDRESS(MATCH(B184,INDIRECT("'"&amp;IF(MONTH(MES_CIERRE)=10,"ER ACT","ER AA")&amp;"'!$B:$B"),0)+6,MATCH(TEXT(EDATE(MES_CIERRE,1),"MMMM"),'ER AA'!$1:$1,0),,,IF(MONTH(MES_CIERRE)=12,"ER ACT","ER AA")))</f>
        <v>210.58204999999998</v>
      </c>
      <c r="BL192" s="417">
        <f ca="1">IF(BK$187=0,"N.D.",BK192/BK$187)</f>
        <v>0.64038092471650154</v>
      </c>
      <c r="BM192" s="418">
        <f ca="1">BG192-BI192</f>
        <v>-19.849425906927678</v>
      </c>
      <c r="BN192" s="471">
        <f ca="1">IF(BI192=0,"N.D.",BG192/BI192-1)</f>
        <v>-9.6943746126668784E-2</v>
      </c>
      <c r="BO192" s="418">
        <f ca="1">BG192-BK192</f>
        <v>-25.679475906927649</v>
      </c>
      <c r="BP192" s="471">
        <f ca="1">IF(BK192=0,"N.D.",BG192/BK192-1)</f>
        <v>-0.12194522708335132</v>
      </c>
      <c r="BQ192" s="353"/>
    </row>
    <row r="193" spans="1:69" ht="12.5" customHeight="1" x14ac:dyDescent="0.25">
      <c r="A193" s="238"/>
      <c r="B193" t="s">
        <v>42</v>
      </c>
      <c r="C193" s="314">
        <f>BDER!D135/1000</f>
        <v>13.566360000000001</v>
      </c>
      <c r="D193" s="414">
        <f t="shared" si="208"/>
        <v>4.4860039300266774E-2</v>
      </c>
      <c r="E193" s="314">
        <f>BDER!L135/1000</f>
        <v>15.369</v>
      </c>
      <c r="F193" s="414">
        <f t="shared" si="208"/>
        <v>4.5863236895898295E-2</v>
      </c>
      <c r="G193" s="314">
        <f>BDER!F135/1000</f>
        <v>17.328279999999999</v>
      </c>
      <c r="H193" s="414">
        <f>IF(G$187=0,"N.D.",G193/G$187)</f>
        <v>5.2695374416511093E-2</v>
      </c>
      <c r="I193" s="314">
        <f>C193-E193</f>
        <v>-1.8026399999999985</v>
      </c>
      <c r="J193" s="472">
        <f>IF(E193=0,"N.D.",C193/E193-1)</f>
        <v>-0.1172906500097598</v>
      </c>
      <c r="K193" s="314">
        <f>C193-G193</f>
        <v>-3.7619199999999982</v>
      </c>
      <c r="L193" s="472">
        <f>IF(G193=0,"N.D.",C193/G193-1)</f>
        <v>-0.21709713831955613</v>
      </c>
      <c r="M193" s="175"/>
      <c r="AD193" t="s">
        <v>42</v>
      </c>
      <c r="AE193" s="314">
        <f>BDER!E135/1000</f>
        <v>105.79178999999999</v>
      </c>
      <c r="AF193" s="414">
        <f>IF(AE$187=0,"N.D.",AE193/AE$187)</f>
        <v>5.8043730478709143E-2</v>
      </c>
      <c r="AG193" s="314">
        <f>BDER!M135/1000</f>
        <v>104.363</v>
      </c>
      <c r="AH193" s="414">
        <f>IF(AG$187=0,"N.D.",AG193/AG$187)</f>
        <v>5.1542934583445693E-2</v>
      </c>
      <c r="AI193" s="314">
        <f>BDER!I135/1000</f>
        <v>108.69119000000001</v>
      </c>
      <c r="AJ193" s="414">
        <f>IF(AI$187=0,"N.D.",AI193/AI$187)</f>
        <v>5.4882124293557551E-2</v>
      </c>
      <c r="AK193" s="314">
        <f>AE193-AG193</f>
        <v>1.4287899999999922</v>
      </c>
      <c r="AL193" s="472">
        <f>IF(AG193=0,"N.D.",AE193/AG193-1)</f>
        <v>1.3690579994825702E-2</v>
      </c>
      <c r="AM193" s="314">
        <f>AE193-AI193</f>
        <v>-2.8994000000000142</v>
      </c>
      <c r="AN193" s="472">
        <f>IF(AI193=0,"N.D.",AE193/AI193-1)</f>
        <v>-2.6675575085708503E-2</v>
      </c>
      <c r="AO193" s="175"/>
      <c r="BF193" s="290" t="s">
        <v>42</v>
      </c>
      <c r="BG193" s="314">
        <v>18</v>
      </c>
      <c r="BH193" s="414">
        <f>IF(BG$187=0,"N.D.",BG193/BG$187)</f>
        <v>6.1855670103092786E-2</v>
      </c>
      <c r="BI193" s="314">
        <f ca="1">INDIRECT(ADDRESS(MATCH(B184,BDPP!$B:$B,0)+11,MATCH(TEXT(EDATE(MES_CIERRE,1),"MMMM"),BDPP!$1:$1,0),,,"BDPP"))/1000</f>
        <v>13.743</v>
      </c>
      <c r="BJ193" s="414">
        <f ca="1">IF(BI$187=0,"N.D.",BI193/BI$187)</f>
        <v>4.2895534407256318E-2</v>
      </c>
      <c r="BK193" s="314">
        <f ca="1">INDIRECT(ADDRESS(MATCH(B184,INDIRECT("'"&amp;IF(MONTH(MES_CIERRE)=10,"ER ACT","ER AA")&amp;"'!$B:$B"),0)+7,MATCH(TEXT(EDATE(MES_CIERRE,1),"MMMM"),'ER AA'!$1:$1,0),,,IF(MONTH(MES_CIERRE)=12,"ER ACT","ER AA")))</f>
        <v>17.328279999999999</v>
      </c>
      <c r="BL193" s="414">
        <f ca="1">IF(BK$187=0,"N.D.",BK193/BK$187)</f>
        <v>5.2695374416511093E-2</v>
      </c>
      <c r="BM193" s="314">
        <f ca="1">BG193-BI193</f>
        <v>4.2569999999999997</v>
      </c>
      <c r="BN193" s="472">
        <f ca="1">IF(BI193=0,"N.D.",BG193/BI193-1)</f>
        <v>0.3097576948264571</v>
      </c>
      <c r="BO193" s="314">
        <f ca="1">BG193-BK193</f>
        <v>0.67172000000000054</v>
      </c>
      <c r="BP193" s="472">
        <f ca="1">IF(BK193=0,"N.D.",BG193/BK193-1)</f>
        <v>3.8764378230268681E-2</v>
      </c>
      <c r="BQ193" s="353"/>
    </row>
    <row r="194" spans="1:69" ht="12.5" customHeight="1" x14ac:dyDescent="0.25">
      <c r="A194" s="238"/>
      <c r="B194" t="s">
        <v>43</v>
      </c>
      <c r="C194" s="460">
        <f>BDER!D136/1000</f>
        <v>5.1190200000000008</v>
      </c>
      <c r="D194" s="491">
        <f t="shared" si="208"/>
        <v>1.6927122557476849E-2</v>
      </c>
      <c r="E194" s="460">
        <f>BDER!L136/1000</f>
        <v>14.724</v>
      </c>
      <c r="F194" s="491">
        <f t="shared" si="208"/>
        <v>4.3938467047641781E-2</v>
      </c>
      <c r="G194" s="460">
        <f>BDER!F136/1000</f>
        <v>14.723879999999999</v>
      </c>
      <c r="H194" s="491">
        <f>IF(G$187=0,"N.D.",G194/G$187)</f>
        <v>4.4775382753728554E-2</v>
      </c>
      <c r="I194" s="314">
        <f>C194-E194</f>
        <v>-9.6049799999999994</v>
      </c>
      <c r="J194" s="472">
        <f>IF(E194=0,"N.D.",C194/E194-1)</f>
        <v>-0.65233496332518337</v>
      </c>
      <c r="K194" s="314">
        <f>C194-G194</f>
        <v>-9.6048599999999986</v>
      </c>
      <c r="L194" s="472">
        <f>IF(G194=0,"N.D.",C194/G194-1)</f>
        <v>-0.65233212984620903</v>
      </c>
      <c r="M194" s="175"/>
      <c r="AD194" t="s">
        <v>43</v>
      </c>
      <c r="AE194" s="460">
        <f>BDER!E136/1000</f>
        <v>69.133560000000003</v>
      </c>
      <c r="AF194" s="491">
        <f>IF(AE$187=0,"N.D.",AE194/AE$187)</f>
        <v>3.7930823589180859E-2</v>
      </c>
      <c r="AG194" s="460">
        <f>BDER!M136/1000</f>
        <v>88.343999999999994</v>
      </c>
      <c r="AH194" s="491">
        <f>IF(AG$187=0,"N.D.",AG194/AG$187)</f>
        <v>4.3631449966366677E-2</v>
      </c>
      <c r="AI194" s="460">
        <f>BDER!I136/1000</f>
        <v>88.343279999999993</v>
      </c>
      <c r="AJ194" s="491">
        <f>IF(AI$187=0,"N.D.",AI194/AI$187)</f>
        <v>4.4607726472224253E-2</v>
      </c>
      <c r="AK194" s="314">
        <f>AE194-AG194</f>
        <v>-19.210439999999991</v>
      </c>
      <c r="AL194" s="472">
        <f>IF(AG194=0,"N.D.",AE194/AG194-1)</f>
        <v>-0.21745042108122781</v>
      </c>
      <c r="AM194" s="314">
        <f>AE194-AI194</f>
        <v>-19.20971999999999</v>
      </c>
      <c r="AN194" s="472">
        <f>IF(AI194=0,"N.D.",AE194/AI194-1)</f>
        <v>-0.21744404328206957</v>
      </c>
      <c r="AO194" s="175"/>
      <c r="BF194" s="290" t="s">
        <v>43</v>
      </c>
      <c r="BG194" s="460">
        <v>15</v>
      </c>
      <c r="BH194" s="491">
        <f>IF(BG$187=0,"N.D.",BG194/BG$187)</f>
        <v>5.1546391752577317E-2</v>
      </c>
      <c r="BI194" s="314">
        <f ca="1">INDIRECT(ADDRESS(MATCH(B184,BDPP!$B:$B,0)+12,MATCH(TEXT(EDATE(MES_CIERRE,1),"MMMM"),BDPP!$1:$1,0),,,"BDPP"))/1000</f>
        <v>14.724</v>
      </c>
      <c r="BJ194" s="491">
        <f ca="1">IF(BI$187=0,"N.D.",BI194/BI$187)</f>
        <v>4.5957494623622357E-2</v>
      </c>
      <c r="BK194" s="314">
        <f ca="1">INDIRECT(ADDRESS(MATCH(B184,INDIRECT("'"&amp;IF(MONTH(MES_CIERRE)=10,"ER ACT","ER AA")&amp;"'!$B:$B"),0)+8,MATCH(TEXT(EDATE(MES_CIERRE,1),"MMMM"),'ER AA'!$1:$1,0),,,IF(MONTH(MES_CIERRE)=12,"ER ACT","ER AA")))</f>
        <v>14.723879999999999</v>
      </c>
      <c r="BL194" s="491">
        <f ca="1">IF(BK$187=0,"N.D.",BK194/BK$187)</f>
        <v>4.4775382753728554E-2</v>
      </c>
      <c r="BM194" s="314">
        <f ca="1">BG194-BI194</f>
        <v>0.2759999999999998</v>
      </c>
      <c r="BN194" s="472">
        <f ca="1">IF(BI194=0,"N.D.",BG194/BI194-1)</f>
        <v>1.8744906275468542E-2</v>
      </c>
      <c r="BO194" s="314">
        <f ca="1">BG194-BK194</f>
        <v>0.27612000000000059</v>
      </c>
      <c r="BP194" s="472">
        <f ca="1">IF(BK194=0,"N.D.",BG194/BK194-1)</f>
        <v>1.8753209072608579E-2</v>
      </c>
      <c r="BQ194" s="353"/>
    </row>
    <row r="195" spans="1:69" ht="12.5" customHeight="1" x14ac:dyDescent="0.3">
      <c r="A195" s="238"/>
      <c r="B195" t="s">
        <v>44</v>
      </c>
      <c r="C195" s="381">
        <f>+C194+C193+C192</f>
        <v>210.84125</v>
      </c>
      <c r="D195" s="415">
        <f t="shared" si="208"/>
        <v>0.69719119654184103</v>
      </c>
      <c r="E195" s="381">
        <f>+E194+E193+E192</f>
        <v>233.10399999999998</v>
      </c>
      <c r="F195" s="415">
        <f t="shared" si="208"/>
        <v>0.69561480729920466</v>
      </c>
      <c r="G195" s="381">
        <f>+G194+G193+G192</f>
        <v>242.63421</v>
      </c>
      <c r="H195" s="415">
        <f>IF(G$187=0,"N.D.",G195/G$187)</f>
        <v>0.73785168188674122</v>
      </c>
      <c r="I195" s="381">
        <f>C195-E195</f>
        <v>-22.262749999999983</v>
      </c>
      <c r="J195" s="402">
        <f>IF(E195=0,"N.D.",C195/E195-1)</f>
        <v>-9.5505654128629214E-2</v>
      </c>
      <c r="K195" s="381">
        <f>C195-G195</f>
        <v>-31.792959999999994</v>
      </c>
      <c r="L195" s="402">
        <f>IF(G195=0,"N.D.",C195/G195-1)</f>
        <v>-0.13103247064789414</v>
      </c>
      <c r="M195" s="175"/>
      <c r="AD195" t="s">
        <v>44</v>
      </c>
      <c r="AE195" s="381">
        <f>+AE194+AE193+AE192</f>
        <v>1333.8609200000001</v>
      </c>
      <c r="AF195" s="415">
        <f>IF(AE$187=0,"N.D.",AE195/AE$187)</f>
        <v>0.73183622033962215</v>
      </c>
      <c r="AG195" s="381">
        <f>+AG194+AG193+AG192</f>
        <v>1445.0140000000001</v>
      </c>
      <c r="AH195" s="415">
        <f>IF(AG$187=0,"N.D.",AG195/AG$187)</f>
        <v>0.71366539936723927</v>
      </c>
      <c r="AI195" s="381">
        <f>+AI194+AI193+AI192</f>
        <v>1453.9150999999999</v>
      </c>
      <c r="AJ195" s="415">
        <f>IF(AI$187=0,"N.D.",AI195/AI$187)</f>
        <v>0.73413447060870474</v>
      </c>
      <c r="AK195" s="381">
        <f>AE195-AG195</f>
        <v>-111.15308000000005</v>
      </c>
      <c r="AL195" s="402">
        <f>IF(AG195=0,"N.D.",AE195/AG195-1)</f>
        <v>-7.6921801449674532E-2</v>
      </c>
      <c r="AM195" s="381">
        <f>AE195-AI195</f>
        <v>-120.05417999999986</v>
      </c>
      <c r="AN195" s="402">
        <f>IF(AI195=0,"N.D.",AE195/AI195-1)</f>
        <v>-8.2573033322234424E-2</v>
      </c>
      <c r="AO195" s="175"/>
      <c r="BF195" s="290" t="s">
        <v>44</v>
      </c>
      <c r="BG195" s="381">
        <f>+BG194+BG193+BG192</f>
        <v>217.90257409307233</v>
      </c>
      <c r="BH195" s="415">
        <f>IF(BG$187=0,"N.D.",BG195/BG$187)</f>
        <v>0.74880609653976749</v>
      </c>
      <c r="BI195" s="381">
        <f ca="1">BI192+BI193+BI194</f>
        <v>233.21899999999999</v>
      </c>
      <c r="BJ195" s="415">
        <f ca="1">IF(BI$187=0,"N.D.",BI195/BI$187)</f>
        <v>0.72793812405776837</v>
      </c>
      <c r="BK195" s="381">
        <f ca="1">BK192+BK193+BK194</f>
        <v>242.63421</v>
      </c>
      <c r="BL195" s="415">
        <f ca="1">IF(BK$187=0,"N.D.",BK195/BK$187)</f>
        <v>0.73785168188674122</v>
      </c>
      <c r="BM195" s="381">
        <f ca="1">BG195-BI195</f>
        <v>-15.316425906927662</v>
      </c>
      <c r="BN195" s="402">
        <f ca="1">IF(BI195=0,"N.D.",BG195/BI195-1)</f>
        <v>-6.5674005578137518E-2</v>
      </c>
      <c r="BO195" s="381">
        <f ca="1">BG195-BK195</f>
        <v>-24.731635906927664</v>
      </c>
      <c r="BP195" s="402">
        <f ca="1">IF(BK195=0,"N.D.",BG195/BK195-1)</f>
        <v>-0.10192971513344162</v>
      </c>
      <c r="BQ195" s="354"/>
    </row>
    <row r="196" spans="1:69" ht="12.5" customHeight="1" x14ac:dyDescent="0.3">
      <c r="A196" s="238"/>
      <c r="B196" t="s">
        <v>45</v>
      </c>
      <c r="C196" s="381">
        <f>+C190-C195</f>
        <v>-8.8414899999999932</v>
      </c>
      <c r="D196" s="508">
        <f t="shared" si="208"/>
        <v>-2.923625710012968E-2</v>
      </c>
      <c r="E196" s="381">
        <f>+E190-E195</f>
        <v>-12.269999999999982</v>
      </c>
      <c r="F196" s="415">
        <f t="shared" si="208"/>
        <v>-3.6615389206368094E-2</v>
      </c>
      <c r="G196" s="381">
        <f>+G190-G195</f>
        <v>-25.256280000000004</v>
      </c>
      <c r="H196" s="415">
        <f>IF(G$187=0,"N.D.",G196/G$187)</f>
        <v>-7.680445670131375E-2</v>
      </c>
      <c r="I196" s="381">
        <f>C196-E196</f>
        <v>3.4285099999999886</v>
      </c>
      <c r="J196" s="402">
        <f>IF(E196=0,"N.D.",C196/E196-1)</f>
        <v>-0.27942216788916008</v>
      </c>
      <c r="K196" s="381">
        <f>C196-G196</f>
        <v>16.414790000000011</v>
      </c>
      <c r="L196" s="402">
        <f>IF(G196=0,"N.D.",C196/G196-1)</f>
        <v>-0.64992904734980805</v>
      </c>
      <c r="M196" s="175"/>
      <c r="AD196" t="s">
        <v>45</v>
      </c>
      <c r="AE196" s="381">
        <f>+AE190-AE195</f>
        <v>-97.762620000000197</v>
      </c>
      <c r="AF196" s="415">
        <f>IF(AE$187=0,"N.D.",AE196/AE$187)</f>
        <v>-5.3638445536959643E-2</v>
      </c>
      <c r="AG196" s="381">
        <f>+AG190-AG195</f>
        <v>-110.68600000000015</v>
      </c>
      <c r="AH196" s="415">
        <f>IF(AG$187=0,"N.D.",AG196/AG$187)</f>
        <v>-5.4665746071915121E-2</v>
      </c>
      <c r="AI196" s="381">
        <f>+AI190-AI195</f>
        <v>-158.09597999999983</v>
      </c>
      <c r="AJ196" s="415">
        <f>IF(AI$187=0,"N.D.",AI196/AI$187)</f>
        <v>-7.9828394782242962E-2</v>
      </c>
      <c r="AK196" s="381">
        <f>AE196-AG196</f>
        <v>12.923379999999952</v>
      </c>
      <c r="AL196" s="402">
        <f>IF(AG196=0,"N.D.",AE196/AG196-1)</f>
        <v>-0.11675713279005417</v>
      </c>
      <c r="AM196" s="381">
        <f>AE196-AI196</f>
        <v>60.33335999999963</v>
      </c>
      <c r="AN196" s="402">
        <f>IF(AI196=0,"N.D.",AE196/AI196-1)</f>
        <v>-0.38162488382057336</v>
      </c>
      <c r="AO196" s="175"/>
      <c r="BF196" s="290" t="s">
        <v>45</v>
      </c>
      <c r="BG196" s="381">
        <f>+BG190-BG195</f>
        <v>-23.527686715534315</v>
      </c>
      <c r="BH196" s="415">
        <f>IF(BG$187=0,"N.D.",BG196/BG$187)</f>
        <v>-8.085115709805607E-2</v>
      </c>
      <c r="BI196" s="381">
        <f ca="1">BI190-BI195</f>
        <v>-22.086000000000013</v>
      </c>
      <c r="BJ196" s="415">
        <f ca="1">IF(BI$187=0,"N.D.",BI196/BI$187)</f>
        <v>-6.8936241935433573E-2</v>
      </c>
      <c r="BK196" s="381">
        <f ca="1">BK190-BK195</f>
        <v>-25.256280000000004</v>
      </c>
      <c r="BL196" s="415">
        <f ca="1">IF(BK$187=0,"N.D.",BK196/BK$187)</f>
        <v>-7.680445670131375E-2</v>
      </c>
      <c r="BM196" s="381">
        <f ca="1">BG196-BI196</f>
        <v>-1.4416867155343027</v>
      </c>
      <c r="BN196" s="402">
        <f ca="1">IF(BI196=0,"N.D.",BG196/BI196-1)</f>
        <v>6.5276044350914608E-2</v>
      </c>
      <c r="BO196" s="381">
        <f ca="1">BG196-BK196</f>
        <v>1.7285932844656884</v>
      </c>
      <c r="BP196" s="402">
        <f ca="1">IF(BK196=0,"N.D.",BG196/BK196-1)</f>
        <v>-6.8442117543268011E-2</v>
      </c>
      <c r="BQ196" s="354"/>
    </row>
    <row r="197" spans="1:69" ht="12.5" customHeight="1" x14ac:dyDescent="0.25">
      <c r="A197" s="238"/>
      <c r="C197" s="437"/>
      <c r="D197" s="487"/>
      <c r="E197" s="437"/>
      <c r="F197" s="487"/>
      <c r="G197" s="437"/>
      <c r="H197" s="487"/>
      <c r="I197" s="437"/>
      <c r="J197" s="473"/>
      <c r="K197" s="437"/>
      <c r="L197" s="473"/>
      <c r="M197" s="175"/>
      <c r="AE197" s="437"/>
      <c r="AF197" s="487"/>
      <c r="AG197" s="437"/>
      <c r="AH197" s="487"/>
      <c r="AI197" s="437"/>
      <c r="AJ197" s="487"/>
      <c r="AK197" s="437"/>
      <c r="AL197" s="473"/>
      <c r="AM197" s="437"/>
      <c r="AN197" s="473"/>
      <c r="AO197" s="175"/>
      <c r="BG197" s="437"/>
      <c r="BH197" s="487"/>
      <c r="BI197" s="437"/>
      <c r="BJ197" s="487"/>
      <c r="BK197" s="437"/>
      <c r="BL197" s="487"/>
      <c r="BM197" s="437"/>
      <c r="BN197" s="473"/>
      <c r="BO197" s="437"/>
      <c r="BP197" s="473"/>
      <c r="BQ197" s="352"/>
    </row>
    <row r="198" spans="1:69" ht="12.5" hidden="1" customHeight="1" x14ac:dyDescent="0.25">
      <c r="A198" s="238"/>
      <c r="C198" s="418"/>
      <c r="D198" s="417"/>
      <c r="E198" s="418"/>
      <c r="F198" s="417"/>
      <c r="G198" s="418"/>
      <c r="H198" s="417"/>
      <c r="I198" s="418">
        <f t="shared" ref="I198:I204" si="209">C198-E198</f>
        <v>0</v>
      </c>
      <c r="J198" s="471"/>
      <c r="K198" s="418">
        <f t="shared" ref="K198:K204" si="210">C198-G198</f>
        <v>0</v>
      </c>
      <c r="L198" s="471"/>
      <c r="M198" s="175"/>
      <c r="AE198" s="418"/>
      <c r="AF198" s="417"/>
      <c r="AG198" s="418"/>
      <c r="AH198" s="417"/>
      <c r="AI198" s="418"/>
      <c r="AJ198" s="417"/>
      <c r="AK198" s="418">
        <f t="shared" ref="AK198:AK204" si="211">AE198-AG198</f>
        <v>0</v>
      </c>
      <c r="AL198" s="471"/>
      <c r="AM198" s="418">
        <f t="shared" ref="AM198:AM204" si="212">AE198-AI198</f>
        <v>0</v>
      </c>
      <c r="AN198" s="471"/>
      <c r="AO198" s="175"/>
      <c r="BG198" s="418"/>
      <c r="BH198" s="417"/>
      <c r="BI198" s="418">
        <f ca="1">INDIRECT(ADDRESS(MATCH(B184,BDPP!$B:$B,0)+15,MATCH(TEXT(EDATE(MES_CIERRE,1),"MMMM"),BDPP!$1:$1,0),,,"BDPP"))/1000</f>
        <v>0</v>
      </c>
      <c r="BJ198" s="417"/>
      <c r="BK198" s="418">
        <f ca="1">INDIRECT(ADDRESS(MATCH(B184,INDIRECT("'"&amp;IF(MONTH(MES_CIERRE)=10,"ER ACT","ER AA")&amp;"'!$B:$B"),0)+12,MATCH(TEXT(EDATE(MES_CIERRE,1),"MMMM"),'ER AA'!$1:$1,0),,,IF(MONTH(MES_CIERRE)=12,"ER ACT","ER AA")))</f>
        <v>0</v>
      </c>
      <c r="BL198" s="417"/>
      <c r="BM198" s="418">
        <f t="shared" ref="BM198:BM204" ca="1" si="213">BG198-BI198</f>
        <v>0</v>
      </c>
      <c r="BN198" s="471"/>
      <c r="BO198" s="418">
        <f t="shared" ref="BO198:BO204" ca="1" si="214">BG198-BK198</f>
        <v>0</v>
      </c>
      <c r="BP198" s="471"/>
      <c r="BQ198" s="353"/>
    </row>
    <row r="199" spans="1:69" ht="12.5" customHeight="1" x14ac:dyDescent="0.25">
      <c r="A199" s="238"/>
      <c r="B199" t="s">
        <v>52</v>
      </c>
      <c r="C199" s="314">
        <f>BDER!D140/1000</f>
        <v>-6.4923799999999998</v>
      </c>
      <c r="D199" s="414">
        <f t="shared" si="208"/>
        <v>-2.1468427931461788E-2</v>
      </c>
      <c r="E199" s="314">
        <f>BDER!L140/1000</f>
        <v>-2.1680000000000001</v>
      </c>
      <c r="F199" s="414">
        <f t="shared" si="208"/>
        <v>-6.4696140015815936E-3</v>
      </c>
      <c r="G199" s="314">
        <f>BDER!F140/1000</f>
        <v>-0.29804000000000003</v>
      </c>
      <c r="H199" s="414">
        <f>IF(G$187=0,"N.D.",G199/G$187)</f>
        <v>-9.063409288802448E-4</v>
      </c>
      <c r="I199" s="314">
        <f t="shared" si="209"/>
        <v>-4.3243799999999997</v>
      </c>
      <c r="J199" s="472">
        <f t="shared" ref="J199:J204" si="215">IF(E199=0,"N.D.",C199/E199-1)</f>
        <v>1.9946402214022139</v>
      </c>
      <c r="K199" s="314">
        <f t="shared" si="210"/>
        <v>-6.1943399999999995</v>
      </c>
      <c r="L199" s="472">
        <f>IF(G199=0,"N.D.",C199/G199-1)</f>
        <v>20.78358609582606</v>
      </c>
      <c r="M199" s="175"/>
      <c r="AD199" t="s">
        <v>52</v>
      </c>
      <c r="AE199" s="314">
        <f>BDER!E140/1000</f>
        <v>-15.731129999999999</v>
      </c>
      <c r="AF199" s="414">
        <f>IF(AE$187=0,"N.D.",AE199/AE$187)</f>
        <v>-8.6310428233186687E-3</v>
      </c>
      <c r="AG199" s="314">
        <f>BDER!M140/1000</f>
        <v>-13.007999999999999</v>
      </c>
      <c r="AH199" s="414">
        <f>IF(AG$187=0,"N.D.",AG199/AG$187)</f>
        <v>-6.4244080091743387E-3</v>
      </c>
      <c r="AI199" s="314">
        <f>BDER!I140/1000</f>
        <v>-14.8329</v>
      </c>
      <c r="AJ199" s="414">
        <f>IF(AI$187=0,"N.D.",AI199/AI$187)</f>
        <v>-7.4896692310932444E-3</v>
      </c>
      <c r="AK199" s="314">
        <f t="shared" si="211"/>
        <v>-2.7231299999999994</v>
      </c>
      <c r="AL199" s="472">
        <f t="shared" ref="AL199:AL204" si="216">IF(AG199=0,"N.D.",AE199/AG199-1)</f>
        <v>0.20934271217712164</v>
      </c>
      <c r="AM199" s="314">
        <f t="shared" si="212"/>
        <v>-0.89822999999999809</v>
      </c>
      <c r="AN199" s="472">
        <f>IF(AI199=0,"N.D.",AE199/AI199-1)</f>
        <v>6.0556600529902971E-2</v>
      </c>
      <c r="AO199" s="175"/>
      <c r="BF199" s="290" t="s">
        <v>52</v>
      </c>
      <c r="BG199" s="314">
        <v>-2</v>
      </c>
      <c r="BH199" s="414">
        <f>IF(BG$187=0,"N.D.",BG199/BG$187)</f>
        <v>-6.8728522336769758E-3</v>
      </c>
      <c r="BI199" s="314">
        <f ca="1">INDIRECT(ADDRESS(MATCH(B184,BDPP!$B:$B,0)+16,MATCH(TEXT(EDATE(MES_CIERRE,1),"MMMM"),BDPP!$1:$1,0),,,"BDPP"))/1000</f>
        <v>-2.1680000000000001</v>
      </c>
      <c r="BJ199" s="414">
        <f ca="1">IF(BI$187=0,"N.D.",BI199/BI$187)</f>
        <v>-6.7669008655265733E-3</v>
      </c>
      <c r="BK199" s="314">
        <f ca="1">INDIRECT(ADDRESS(MATCH(B184,INDIRECT("'"&amp;IF(MONTH(MES_CIERRE)=10,"ER ACT","ER AA")&amp;"'!$B:$B"),0)+13,MATCH(TEXT(EDATE(MES_CIERRE,1),"MMMM"),'ER AA'!$1:$1,0),,,IF(MONTH(MES_CIERRE)=12,"ER ACT","ER AA")))</f>
        <v>-0.29804000000000003</v>
      </c>
      <c r="BL199" s="414">
        <f ca="1">IF(BK$187=0,"N.D.",BK199/BK$187)</f>
        <v>-9.063409288802448E-4</v>
      </c>
      <c r="BM199" s="314">
        <f t="shared" ca="1" si="213"/>
        <v>0.16800000000000015</v>
      </c>
      <c r="BN199" s="472">
        <f ca="1">IF(BI199=0,"N.D.",BG199/BI199-1)</f>
        <v>-7.7490774907749138E-2</v>
      </c>
      <c r="BO199" s="314">
        <f t="shared" ca="1" si="214"/>
        <v>-1.7019599999999999</v>
      </c>
      <c r="BP199" s="472">
        <f ca="1">IF(BK199=0,"N.D.",BG199/BK199-1)</f>
        <v>5.7105086565561667</v>
      </c>
      <c r="BQ199" s="353"/>
    </row>
    <row r="200" spans="1:69" ht="12.5" customHeight="1" x14ac:dyDescent="0.25">
      <c r="A200" s="238"/>
      <c r="B200" t="s">
        <v>184</v>
      </c>
      <c r="C200" s="314">
        <f>BDER!D141/1000</f>
        <v>0</v>
      </c>
      <c r="D200" s="414">
        <f t="shared" si="208"/>
        <v>0</v>
      </c>
      <c r="E200" s="314">
        <f>BDER!L141/1000</f>
        <v>0</v>
      </c>
      <c r="F200" s="414">
        <f t="shared" si="208"/>
        <v>0</v>
      </c>
      <c r="G200" s="314">
        <f>BDER!F141/1000</f>
        <v>2.45065</v>
      </c>
      <c r="H200" s="414">
        <f>IF(G$187=0,"N.D.",G200/G$187)</f>
        <v>7.4524372478874373E-3</v>
      </c>
      <c r="I200" s="314">
        <f>C200-E200</f>
        <v>0</v>
      </c>
      <c r="J200" s="472" t="str">
        <f>IF(E200=0,"N.D.",C200/E200-1)</f>
        <v>N.D.</v>
      </c>
      <c r="K200" s="314">
        <f>C200-G200</f>
        <v>-2.45065</v>
      </c>
      <c r="L200" s="472">
        <f>IF(G200=0,"N.D.",C200/G200-1)</f>
        <v>-1</v>
      </c>
      <c r="M200" s="175"/>
      <c r="AD200" t="s">
        <v>184</v>
      </c>
      <c r="AE200" s="314">
        <f>BDER!E141/1000</f>
        <v>0</v>
      </c>
      <c r="AF200" s="414">
        <f>IF(AE$187=0,"N.D.",AE200/AE$187)</f>
        <v>0</v>
      </c>
      <c r="AG200" s="314">
        <f>BDER!M141/1000</f>
        <v>0</v>
      </c>
      <c r="AH200" s="414">
        <f>IF(AG$187=0,"N.D.",AG200/AG$187)</f>
        <v>0</v>
      </c>
      <c r="AI200" s="314">
        <f>BDER!I141/1000</f>
        <v>14.76261</v>
      </c>
      <c r="AJ200" s="414">
        <f>IF(AI$187=0,"N.D.",AI200/AI$187)</f>
        <v>7.4541772605242022E-3</v>
      </c>
      <c r="AK200" s="314">
        <f>AE200-AG200</f>
        <v>0</v>
      </c>
      <c r="AL200" s="472" t="str">
        <f>IF(AG200=0,"N.D.",AE200/AG200-1)</f>
        <v>N.D.</v>
      </c>
      <c r="AM200" s="314">
        <f>AE200-AI200</f>
        <v>-14.76261</v>
      </c>
      <c r="AN200" s="472">
        <f>IF(AI200=0,"N.D.",AE200/AI200-1)</f>
        <v>-1</v>
      </c>
      <c r="AO200" s="175"/>
      <c r="BF200" s="290" t="s">
        <v>184</v>
      </c>
      <c r="BG200" s="314">
        <v>0</v>
      </c>
      <c r="BH200" s="414">
        <f>IF(BG$187=0,"N.D.",BG200/BG$187)</f>
        <v>0</v>
      </c>
      <c r="BI200" s="314">
        <f ca="1">INDIRECT(ADDRESS(MATCH(B184,BDPP!$B:$B,0)+17,MATCH(TEXT(EDATE(MES_CIERRE,1),"MMMM"),BDPP!$1:$1,0),,,"BDPP"))/1000</f>
        <v>0</v>
      </c>
      <c r="BJ200" s="414">
        <f ca="1">IF(BI$187=0,"N.D.",BI200/BI$187)</f>
        <v>0</v>
      </c>
      <c r="BK200" s="314">
        <f ca="1">INDIRECT(ADDRESS(MATCH(B184,INDIRECT("'"&amp;IF(MONTH(MES_CIERRE)=10,"ER ACT","ER AA")&amp;"'!$B:$B"),0)+14,MATCH(TEXT(EDATE(MES_CIERRE,1),"MMMM"),'ER AA'!$1:$1,0),,,IF(MONTH(MES_CIERRE)=12,"ER ACT","ER AA")))</f>
        <v>2.45065</v>
      </c>
      <c r="BL200" s="414">
        <f ca="1">IF(BK$187=0,"N.D.",BK200/BK$187)</f>
        <v>7.4524372478874373E-3</v>
      </c>
      <c r="BM200" s="314">
        <f t="shared" ca="1" si="213"/>
        <v>0</v>
      </c>
      <c r="BN200" s="472" t="str">
        <f ca="1">IF(BI200=0,"N.D.",BG200/BI200-1)</f>
        <v>N.D.</v>
      </c>
      <c r="BO200" s="314">
        <f t="shared" ca="1" si="214"/>
        <v>-2.45065</v>
      </c>
      <c r="BP200" s="472">
        <f ca="1">IF(BK200=0,"N.D.",BG200/BK200-1)</f>
        <v>-1</v>
      </c>
      <c r="BQ200" s="353"/>
    </row>
    <row r="201" spans="1:69" ht="12.5" customHeight="1" x14ac:dyDescent="0.25">
      <c r="A201" s="238"/>
      <c r="B201" t="s">
        <v>47</v>
      </c>
      <c r="C201" s="314">
        <f>BDER!D142/1000</f>
        <v>0</v>
      </c>
      <c r="D201" s="414">
        <f t="shared" si="208"/>
        <v>0</v>
      </c>
      <c r="E201" s="314">
        <f>BDER!L142/1000</f>
        <v>0</v>
      </c>
      <c r="F201" s="414">
        <f t="shared" si="208"/>
        <v>0</v>
      </c>
      <c r="G201" s="314">
        <f>BDER!F142/1000</f>
        <v>0</v>
      </c>
      <c r="H201" s="414">
        <f>IF(G$187=0,"N.D.",G201/G$187)</f>
        <v>0</v>
      </c>
      <c r="I201" s="314">
        <f>C201-E201</f>
        <v>0</v>
      </c>
      <c r="J201" s="472" t="str">
        <f>IF(E201=0,"N.D.",C201/E201-1)</f>
        <v>N.D.</v>
      </c>
      <c r="K201" s="314">
        <f>C201-G201</f>
        <v>0</v>
      </c>
      <c r="L201" s="472" t="str">
        <f>IF(G201=0,"N.D.",C201/G201-1)</f>
        <v>N.D.</v>
      </c>
      <c r="M201" s="175"/>
      <c r="AD201" t="s">
        <v>47</v>
      </c>
      <c r="AE201" s="314">
        <f>BDER!E142/1000</f>
        <v>0</v>
      </c>
      <c r="AF201" s="414">
        <f>IF(AE$187=0,"N.D.",AE201/AE$187)</f>
        <v>0</v>
      </c>
      <c r="AG201" s="314">
        <f>BDER!M142/1000</f>
        <v>0</v>
      </c>
      <c r="AH201" s="414">
        <f>IF(AG$187=0,"N.D.",AG201/AG$187)</f>
        <v>0</v>
      </c>
      <c r="AI201" s="314">
        <f>BDER!I142/1000</f>
        <v>0</v>
      </c>
      <c r="AJ201" s="414">
        <f>IF(AI$187=0,"N.D.",AI201/AI$187)</f>
        <v>0</v>
      </c>
      <c r="AK201" s="314">
        <f>AE201-AG201</f>
        <v>0</v>
      </c>
      <c r="AL201" s="472" t="str">
        <f>IF(AG201=0,"N.D.",AE201/AG201-1)</f>
        <v>N.D.</v>
      </c>
      <c r="AM201" s="314">
        <f>AE201-AI201</f>
        <v>0</v>
      </c>
      <c r="AN201" s="472" t="str">
        <f>IF(AI201=0,"N.D.",AE201/AI201-1)</f>
        <v>N.D.</v>
      </c>
      <c r="AO201" s="175"/>
      <c r="BF201" s="290" t="s">
        <v>47</v>
      </c>
      <c r="BG201" s="314">
        <v>0</v>
      </c>
      <c r="BH201" s="414">
        <f>IF(BG$187=0,"N.D.",BG201/BG$187)</f>
        <v>0</v>
      </c>
      <c r="BI201" s="314">
        <f ca="1">INDIRECT(ADDRESS(MATCH(B184,BDPP!$B:$B,0)+18,MATCH(TEXT(EDATE(MES_CIERRE,1),"MMMM"),BDPP!$1:$1,0),,,"BDPP"))/1000</f>
        <v>0</v>
      </c>
      <c r="BJ201" s="414">
        <f ca="1">IF(BI$187=0,"N.D.",BI201/BI$187)</f>
        <v>0</v>
      </c>
      <c r="BK201" s="314">
        <f ca="1">INDIRECT(ADDRESS(MATCH(B184,INDIRECT("'"&amp;IF(MONTH(MES_CIERRE)=10,"ER ACT","ER AA")&amp;"'!$B:$B"),0)+15,MATCH(TEXT(EDATE(MES_CIERRE,1),"MMMM"),'ER AA'!$1:$1,0),,,IF(MONTH(MES_CIERRE)=12,"ER ACT","ER AA")))</f>
        <v>0</v>
      </c>
      <c r="BL201" s="414">
        <f ca="1">IF(BK$187=0,"N.D.",BK201/BK$187)</f>
        <v>0</v>
      </c>
      <c r="BM201" s="314">
        <f t="shared" ca="1" si="213"/>
        <v>0</v>
      </c>
      <c r="BN201" s="472" t="str">
        <f ca="1">IF(BI201=0,"N.D.",BG201/BI201-1)</f>
        <v>N.D.</v>
      </c>
      <c r="BO201" s="314">
        <f t="shared" ca="1" si="214"/>
        <v>0</v>
      </c>
      <c r="BP201" s="472" t="str">
        <f ca="1">IF(BK201=0,"N.D.",BG201/BK201-1)</f>
        <v>N.D.</v>
      </c>
      <c r="BQ201" s="353"/>
    </row>
    <row r="202" spans="1:69" ht="12.5" hidden="1" customHeight="1" x14ac:dyDescent="0.25">
      <c r="A202" s="238"/>
      <c r="C202" s="314"/>
      <c r="D202" s="414"/>
      <c r="E202" s="314"/>
      <c r="F202" s="414"/>
      <c r="G202" s="314"/>
      <c r="H202" s="414"/>
      <c r="I202" s="314">
        <f t="shared" si="209"/>
        <v>0</v>
      </c>
      <c r="J202" s="472"/>
      <c r="K202" s="314">
        <f t="shared" si="210"/>
        <v>0</v>
      </c>
      <c r="L202" s="474"/>
      <c r="M202" s="175"/>
      <c r="AE202" s="314"/>
      <c r="AF202" s="414"/>
      <c r="AG202" s="314"/>
      <c r="AH202" s="414"/>
      <c r="AI202" s="314"/>
      <c r="AJ202" s="414"/>
      <c r="AK202" s="314">
        <f t="shared" si="211"/>
        <v>0</v>
      </c>
      <c r="AL202" s="472"/>
      <c r="AM202" s="314">
        <f t="shared" si="212"/>
        <v>0</v>
      </c>
      <c r="AN202" s="474"/>
      <c r="AO202" s="175"/>
      <c r="BG202" s="314"/>
      <c r="BH202" s="414"/>
      <c r="BI202" s="314"/>
      <c r="BJ202" s="414"/>
      <c r="BK202" s="314"/>
      <c r="BL202" s="414"/>
      <c r="BM202" s="314">
        <f t="shared" si="213"/>
        <v>0</v>
      </c>
      <c r="BN202" s="472"/>
      <c r="BO202" s="314">
        <f t="shared" si="214"/>
        <v>0</v>
      </c>
      <c r="BP202" s="474"/>
      <c r="BQ202" s="353"/>
    </row>
    <row r="203" spans="1:69" ht="12.5" customHeight="1" x14ac:dyDescent="0.3">
      <c r="A203" s="238"/>
      <c r="B203" t="s">
        <v>48</v>
      </c>
      <c r="C203" s="381">
        <f>C199+C200</f>
        <v>-6.4923799999999998</v>
      </c>
      <c r="D203" s="415">
        <f t="shared" si="208"/>
        <v>-2.1468427931461788E-2</v>
      </c>
      <c r="E203" s="381">
        <f>E199+E200</f>
        <v>-2.1680000000000001</v>
      </c>
      <c r="F203" s="415">
        <f t="shared" si="208"/>
        <v>-6.4696140015815936E-3</v>
      </c>
      <c r="G203" s="381">
        <f>G199+G200</f>
        <v>2.1526100000000001</v>
      </c>
      <c r="H203" s="415">
        <f>IF(G$187=0,"N.D.",G203/G$187)</f>
        <v>6.5460963190071926E-3</v>
      </c>
      <c r="I203" s="381">
        <f t="shared" si="209"/>
        <v>-4.3243799999999997</v>
      </c>
      <c r="J203" s="402">
        <f t="shared" si="215"/>
        <v>1.9946402214022139</v>
      </c>
      <c r="K203" s="381">
        <f t="shared" si="210"/>
        <v>-8.64499</v>
      </c>
      <c r="L203" s="402">
        <f>IF(G203=0,"N.D.",C203/G203-1)</f>
        <v>-4.0160502831446472</v>
      </c>
      <c r="M203" s="175"/>
      <c r="AD203" t="s">
        <v>48</v>
      </c>
      <c r="AE203" s="381">
        <f>AE199+AE200</f>
        <v>-15.731129999999999</v>
      </c>
      <c r="AF203" s="415">
        <f>IF(AE$187=0,"N.D.",AE203/AE$187)</f>
        <v>-8.6310428233186687E-3</v>
      </c>
      <c r="AG203" s="381">
        <f>AG199+AG200</f>
        <v>-13.007999999999999</v>
      </c>
      <c r="AH203" s="415">
        <f>IF(AG$187=0,"N.D.",AG203/AG$187)</f>
        <v>-6.4244080091743387E-3</v>
      </c>
      <c r="AI203" s="381">
        <f>AI199+AI200</f>
        <v>-7.0289999999999964E-2</v>
      </c>
      <c r="AJ203" s="415">
        <f>IF(AI$187=0,"N.D.",AI203/AI$187)</f>
        <v>-3.5491970569042056E-5</v>
      </c>
      <c r="AK203" s="381">
        <f t="shared" si="211"/>
        <v>-2.7231299999999994</v>
      </c>
      <c r="AL203" s="402">
        <f t="shared" si="216"/>
        <v>0.20934271217712164</v>
      </c>
      <c r="AM203" s="381">
        <f t="shared" si="212"/>
        <v>-15.660839999999999</v>
      </c>
      <c r="AN203" s="402">
        <f>IF(AI203=0,"N.D.",AE203/AI203-1)</f>
        <v>222.80324370465226</v>
      </c>
      <c r="AO203" s="175"/>
      <c r="BF203" s="290" t="s">
        <v>48</v>
      </c>
      <c r="BG203" s="381">
        <f>BG199+BG200</f>
        <v>-2</v>
      </c>
      <c r="BH203" s="415">
        <f>IF(BG$187=0,"N.D.",BG203/BG$187)</f>
        <v>-6.8728522336769758E-3</v>
      </c>
      <c r="BI203" s="381">
        <f ca="1">+BI199+BI200</f>
        <v>-2.1680000000000001</v>
      </c>
      <c r="BJ203" s="415">
        <f ca="1">IF(BI$187=0,"N.D.",BI203/BI$187)</f>
        <v>-6.7669008655265733E-3</v>
      </c>
      <c r="BK203" s="381">
        <f ca="1">+BK199+BK200</f>
        <v>2.1526100000000001</v>
      </c>
      <c r="BL203" s="415">
        <f ca="1">IF(BK$187=0,"N.D.",BK203/BK$187)</f>
        <v>6.5460963190071926E-3</v>
      </c>
      <c r="BM203" s="381">
        <f t="shared" ca="1" si="213"/>
        <v>0.16800000000000015</v>
      </c>
      <c r="BN203" s="402">
        <f ca="1">IF(BI203=0,"N.D.",BG203/BI203-1)</f>
        <v>-7.7490774907749138E-2</v>
      </c>
      <c r="BO203" s="381">
        <f t="shared" ca="1" si="214"/>
        <v>-4.1526100000000001</v>
      </c>
      <c r="BP203" s="402">
        <f ca="1">IF(BK203=0,"N.D.",BG203/BK203-1)</f>
        <v>-1.9291046682864057</v>
      </c>
      <c r="BQ203" s="354"/>
    </row>
    <row r="204" spans="1:69" ht="12.5" customHeight="1" x14ac:dyDescent="0.3">
      <c r="A204" s="238"/>
      <c r="B204" t="s">
        <v>49</v>
      </c>
      <c r="C204" s="381">
        <f>+C196-C203</f>
        <v>-2.3491099999999934</v>
      </c>
      <c r="D204" s="415">
        <f t="shared" si="208"/>
        <v>-7.7678291686678934E-3</v>
      </c>
      <c r="E204" s="381">
        <f>+E196-E203</f>
        <v>-10.101999999999983</v>
      </c>
      <c r="F204" s="415">
        <f t="shared" si="208"/>
        <v>-3.0145775204786507E-2</v>
      </c>
      <c r="G204" s="381">
        <f>+G196-G203</f>
        <v>-27.408890000000003</v>
      </c>
      <c r="H204" s="415">
        <f>IF(G$187=0,"N.D.",G204/G$187)</f>
        <v>-8.3350553020320947E-2</v>
      </c>
      <c r="I204" s="381">
        <f t="shared" si="209"/>
        <v>7.7528899999999892</v>
      </c>
      <c r="J204" s="402">
        <f t="shared" si="215"/>
        <v>-0.76746089883191471</v>
      </c>
      <c r="K204" s="381">
        <f t="shared" si="210"/>
        <v>25.059780000000011</v>
      </c>
      <c r="L204" s="402">
        <f>IF(G204=0,"N.D.",C204/G204-1)</f>
        <v>-0.91429386596830464</v>
      </c>
      <c r="M204" s="175"/>
      <c r="AD204" t="s">
        <v>49</v>
      </c>
      <c r="AE204" s="381">
        <f>+AE196-AE203</f>
        <v>-82.031490000000204</v>
      </c>
      <c r="AF204" s="415">
        <f>IF(AE$187=0,"N.D.",AE204/AE$187)</f>
        <v>-4.5007402713640982E-2</v>
      </c>
      <c r="AG204" s="381">
        <f>+AG196-AG203</f>
        <v>-97.678000000000154</v>
      </c>
      <c r="AH204" s="415">
        <f>IF(AG$187=0,"N.D.",AG204/AG$187)</f>
        <v>-4.824133806274078E-2</v>
      </c>
      <c r="AI204" s="381">
        <f>+AI196-AI203</f>
        <v>-158.02568999999983</v>
      </c>
      <c r="AJ204" s="415">
        <f>IF(AI$187=0,"N.D.",AI204/AI$187)</f>
        <v>-7.9792902811673921E-2</v>
      </c>
      <c r="AK204" s="381">
        <f t="shared" si="211"/>
        <v>15.64650999999995</v>
      </c>
      <c r="AL204" s="402">
        <f t="shared" si="216"/>
        <v>-0.16018458608898545</v>
      </c>
      <c r="AM204" s="381">
        <f t="shared" si="212"/>
        <v>75.994199999999623</v>
      </c>
      <c r="AN204" s="402">
        <f>IF(AI204=0,"N.D.",AE204/AI204-1)</f>
        <v>-0.4808977578265895</v>
      </c>
      <c r="AO204" s="175"/>
      <c r="BF204" s="290" t="s">
        <v>49</v>
      </c>
      <c r="BG204" s="381">
        <f>+BG196-BG203</f>
        <v>-21.527686715534315</v>
      </c>
      <c r="BH204" s="415">
        <f>IF(BG$187=0,"N.D.",BG204/BG$187)</f>
        <v>-7.3978304864379091E-2</v>
      </c>
      <c r="BI204" s="381">
        <f ca="1">BI196-BI203</f>
        <v>-19.918000000000013</v>
      </c>
      <c r="BJ204" s="415">
        <f ca="1">IF(BI$187=0,"N.D.",BI204/BI$187)</f>
        <v>-6.2169341069907E-2</v>
      </c>
      <c r="BK204" s="381">
        <f ca="1">BK196-BK203</f>
        <v>-27.408890000000003</v>
      </c>
      <c r="BL204" s="415">
        <f ca="1">IF(BK$187=0,"N.D.",BK204/BK$187)</f>
        <v>-8.3350553020320947E-2</v>
      </c>
      <c r="BM204" s="381">
        <f t="shared" ca="1" si="213"/>
        <v>-1.609686715534302</v>
      </c>
      <c r="BN204" s="402">
        <f ca="1">IF(BI204=0,"N.D.",BG204/BI204-1)</f>
        <v>8.0815680064981521E-2</v>
      </c>
      <c r="BO204" s="381">
        <f t="shared" ca="1" si="214"/>
        <v>5.8812032844656876</v>
      </c>
      <c r="BP204" s="402">
        <f ca="1">IF(BK204=0,"N.D.",BG204/BK204-1)</f>
        <v>-0.21457283693231233</v>
      </c>
      <c r="BQ204" s="354"/>
    </row>
    <row r="205" spans="1:69" ht="12.5" customHeight="1" x14ac:dyDescent="0.25">
      <c r="A205" s="238"/>
      <c r="C205" s="419"/>
      <c r="D205" s="416"/>
      <c r="E205" s="419"/>
      <c r="F205" s="416"/>
      <c r="G205" s="419"/>
      <c r="H205" s="416"/>
      <c r="I205" s="419"/>
      <c r="J205" s="352"/>
      <c r="K205" s="419"/>
      <c r="L205" s="352"/>
      <c r="M205" s="175"/>
      <c r="AE205" s="419"/>
      <c r="AF205" s="416"/>
      <c r="AG205" s="419"/>
      <c r="AH205" s="416"/>
      <c r="AI205" s="419"/>
      <c r="AJ205" s="416"/>
      <c r="AK205" s="419"/>
      <c r="AL205" s="352"/>
      <c r="AM205" s="419"/>
      <c r="AN205" s="352"/>
      <c r="AO205" s="175"/>
      <c r="BG205" s="419"/>
      <c r="BH205" s="416"/>
      <c r="BI205" s="419"/>
      <c r="BJ205" s="416"/>
      <c r="BK205" s="419"/>
      <c r="BL205" s="416"/>
      <c r="BM205" s="419"/>
      <c r="BN205" s="352"/>
      <c r="BO205" s="419"/>
      <c r="BP205" s="352"/>
      <c r="BQ205" s="352"/>
    </row>
    <row r="206" spans="1:69" ht="12.5" customHeight="1" x14ac:dyDescent="0.25">
      <c r="A206" s="238"/>
      <c r="B206" t="s">
        <v>50</v>
      </c>
      <c r="C206" s="418">
        <f>BDER!D146/1000</f>
        <v>0</v>
      </c>
      <c r="D206" s="417">
        <f t="shared" si="208"/>
        <v>0</v>
      </c>
      <c r="E206" s="418">
        <f>BDER!L146/1000</f>
        <v>0</v>
      </c>
      <c r="F206" s="417">
        <f t="shared" si="208"/>
        <v>0</v>
      </c>
      <c r="G206" s="418">
        <f>BDER!F146/1000</f>
        <v>0</v>
      </c>
      <c r="H206" s="417">
        <f>IF(G$187=0,"N.D.",G206/G$187)</f>
        <v>0</v>
      </c>
      <c r="I206" s="418">
        <f t="shared" ref="I206:I214" si="217">C206-E206</f>
        <v>0</v>
      </c>
      <c r="J206" s="471" t="str">
        <f t="shared" ref="J206:J214" si="218">IF(E206=0,"N.D.",C206/E206-1)</f>
        <v>N.D.</v>
      </c>
      <c r="K206" s="418">
        <f t="shared" ref="K206:K214" si="219">C206-G206</f>
        <v>0</v>
      </c>
      <c r="L206" s="471" t="str">
        <f t="shared" ref="L206:L214" si="220">IF(G206=0,"N.D.",C206/G206-1)</f>
        <v>N.D.</v>
      </c>
      <c r="M206" s="175"/>
      <c r="AD206" t="s">
        <v>50</v>
      </c>
      <c r="AE206" s="418">
        <f>BDER!E146/1000</f>
        <v>0</v>
      </c>
      <c r="AF206" s="417">
        <f>IF(AE$187=0,"N.D.",AE206/AE$187)</f>
        <v>0</v>
      </c>
      <c r="AG206" s="418">
        <f>BDER!M146/1000</f>
        <v>0</v>
      </c>
      <c r="AH206" s="417">
        <f>IF(AG$187=0,"N.D.",AG206/AG$187)</f>
        <v>0</v>
      </c>
      <c r="AI206" s="418">
        <f>BDER!I146/1000</f>
        <v>0</v>
      </c>
      <c r="AJ206" s="417">
        <f>IF(AI$187=0,"N.D.",AI206/AI$187)</f>
        <v>0</v>
      </c>
      <c r="AK206" s="418">
        <f t="shared" ref="AK206:AK214" si="221">AE206-AG206</f>
        <v>0</v>
      </c>
      <c r="AL206" s="471" t="str">
        <f t="shared" ref="AL206:AL214" si="222">IF(AG206=0,"N.D.",AE206/AG206-1)</f>
        <v>N.D.</v>
      </c>
      <c r="AM206" s="418">
        <f t="shared" ref="AM206:AM214" si="223">AE206-AI206</f>
        <v>0</v>
      </c>
      <c r="AN206" s="471" t="str">
        <f t="shared" ref="AN206:AN214" si="224">IF(AI206=0,"N.D.",AE206/AI206-1)</f>
        <v>N.D.</v>
      </c>
      <c r="AO206" s="175"/>
      <c r="BF206" s="290" t="s">
        <v>50</v>
      </c>
      <c r="BG206" s="418">
        <v>0</v>
      </c>
      <c r="BH206" s="417">
        <f>IF(BG$187=0,"N.D.",BG206/BG$187)</f>
        <v>0</v>
      </c>
      <c r="BI206" s="418">
        <f ca="1">INDIRECT(ADDRESS(MATCH(B184,BDPP!$B:$B,0)+22,MATCH(TEXT(EDATE(MES_CIERRE,1),"MMMM"),BDPP!$1:$1,0),,,"BDPP"))/1000</f>
        <v>0</v>
      </c>
      <c r="BJ206" s="417">
        <f ca="1">IF(BI$187=0,"N.D.",BI206/BI$187)</f>
        <v>0</v>
      </c>
      <c r="BK206" s="418">
        <f ca="1">INDIRECT(ADDRESS(MATCH(B184,INDIRECT("'"&amp;IF(MONTH(MES_CIERRE)=10,"ER ACT","ER AA")&amp;"'!$B:$B"),0)+20,MATCH(TEXT(EDATE(MES_CIERRE,1),"MMMM"),'ER AA'!$1:$1,0),,,IF(MONTH(MES_CIERRE)=12,"ER ACT","ER AA")))</f>
        <v>0</v>
      </c>
      <c r="BL206" s="417">
        <f ca="1">IF(BK$187=0,"N.D.",BK206/BK$187)</f>
        <v>0</v>
      </c>
      <c r="BM206" s="418">
        <f t="shared" ref="BM206:BM214" ca="1" si="225">BG206-BI206</f>
        <v>0</v>
      </c>
      <c r="BN206" s="471" t="str">
        <f t="shared" ref="BN206:BN214" ca="1" si="226">IF(BI206=0,"N.D.",BG206/BI206-1)</f>
        <v>N.D.</v>
      </c>
      <c r="BO206" s="418">
        <f t="shared" ref="BO206:BO214" ca="1" si="227">BG206-BK206</f>
        <v>0</v>
      </c>
      <c r="BP206" s="471" t="str">
        <f t="shared" ref="BP206:BP214" ca="1" si="228">IF(BK206=0,"N.D.",BG206/BK206-1)</f>
        <v>N.D.</v>
      </c>
      <c r="BQ206" s="353"/>
    </row>
    <row r="207" spans="1:69" ht="12.5" customHeight="1" x14ac:dyDescent="0.25">
      <c r="A207" s="238"/>
      <c r="B207" t="s">
        <v>51</v>
      </c>
      <c r="C207" s="314">
        <f>BDER!D147/1000</f>
        <v>0</v>
      </c>
      <c r="D207" s="414">
        <f t="shared" si="208"/>
        <v>0</v>
      </c>
      <c r="E207" s="314">
        <f>BDER!L147/1000</f>
        <v>0</v>
      </c>
      <c r="F207" s="414">
        <f t="shared" si="208"/>
        <v>0</v>
      </c>
      <c r="G207" s="314">
        <f>BDER!F147/1000</f>
        <v>0</v>
      </c>
      <c r="H207" s="414">
        <f>IF(G$187=0,"N.D.",G207/G$187)</f>
        <v>0</v>
      </c>
      <c r="I207" s="314">
        <f t="shared" si="217"/>
        <v>0</v>
      </c>
      <c r="J207" s="472" t="str">
        <f t="shared" si="218"/>
        <v>N.D.</v>
      </c>
      <c r="K207" s="314">
        <f t="shared" si="219"/>
        <v>0</v>
      </c>
      <c r="L207" s="472" t="str">
        <f t="shared" si="220"/>
        <v>N.D.</v>
      </c>
      <c r="M207" s="175"/>
      <c r="AD207" t="s">
        <v>51</v>
      </c>
      <c r="AE207" s="314">
        <f>BDER!E147/1000</f>
        <v>0</v>
      </c>
      <c r="AF207" s="414">
        <f>IF(AE$187=0,"N.D.",AE207/AE$187)</f>
        <v>0</v>
      </c>
      <c r="AG207" s="314">
        <f>BDER!M147/1000</f>
        <v>0</v>
      </c>
      <c r="AH207" s="414">
        <f>IF(AG$187=0,"N.D.",AG207/AG$187)</f>
        <v>0</v>
      </c>
      <c r="AI207" s="314">
        <f>BDER!I147/1000</f>
        <v>0</v>
      </c>
      <c r="AJ207" s="414">
        <f>IF(AI$187=0,"N.D.",AI207/AI$187)</f>
        <v>0</v>
      </c>
      <c r="AK207" s="314">
        <f t="shared" si="221"/>
        <v>0</v>
      </c>
      <c r="AL207" s="472" t="str">
        <f t="shared" si="222"/>
        <v>N.D.</v>
      </c>
      <c r="AM207" s="314">
        <f t="shared" si="223"/>
        <v>0</v>
      </c>
      <c r="AN207" s="472" t="str">
        <f t="shared" si="224"/>
        <v>N.D.</v>
      </c>
      <c r="AO207" s="175"/>
      <c r="BF207" s="290" t="s">
        <v>51</v>
      </c>
      <c r="BG207" s="314">
        <v>0</v>
      </c>
      <c r="BH207" s="414">
        <f>IF(BG$187=0,"N.D.",BG207/BG$187)</f>
        <v>0</v>
      </c>
      <c r="BI207" s="314">
        <f ca="1">INDIRECT(ADDRESS(MATCH(B184,BDPP!$B:$B,0)+23,MATCH(TEXT(EDATE(MES_CIERRE,1),"MMMM"),BDPP!$1:$1,0),,,"BDPP"))/1000</f>
        <v>0</v>
      </c>
      <c r="BJ207" s="414">
        <f ca="1">IF(BI$187=0,"N.D.",BI207/BI$187)</f>
        <v>0</v>
      </c>
      <c r="BK207" s="314">
        <f ca="1">INDIRECT(ADDRESS(MATCH(B184,INDIRECT("'"&amp;IF(MONTH(MES_CIERRE)=10,"ER ACT","ER AA")&amp;"'!$B:$B"),0)+21,MATCH(TEXT(EDATE(MES_CIERRE,1),"MMMM"),'ER AA'!$1:$1,0),,,IF(MONTH(MES_CIERRE)=12,"ER ACT","ER AA")))</f>
        <v>0</v>
      </c>
      <c r="BL207" s="414">
        <f ca="1">IF(BK$187=0,"N.D.",BK207/BK$187)</f>
        <v>0</v>
      </c>
      <c r="BM207" s="314">
        <f t="shared" ca="1" si="225"/>
        <v>0</v>
      </c>
      <c r="BN207" s="472" t="str">
        <f t="shared" ca="1" si="226"/>
        <v>N.D.</v>
      </c>
      <c r="BO207" s="314">
        <f t="shared" ca="1" si="227"/>
        <v>0</v>
      </c>
      <c r="BP207" s="472" t="str">
        <f t="shared" ca="1" si="228"/>
        <v>N.D.</v>
      </c>
      <c r="BQ207" s="353"/>
    </row>
    <row r="208" spans="1:69" ht="12.5" customHeight="1" x14ac:dyDescent="0.3">
      <c r="A208" s="238"/>
      <c r="B208" t="s">
        <v>53</v>
      </c>
      <c r="C208" s="381">
        <f>+C204-C206-C207</f>
        <v>-2.3491099999999934</v>
      </c>
      <c r="D208" s="415">
        <f t="shared" si="208"/>
        <v>-7.7678291686678934E-3</v>
      </c>
      <c r="E208" s="381">
        <f>+E204-E206-E207</f>
        <v>-10.101999999999983</v>
      </c>
      <c r="F208" s="415">
        <f t="shared" si="208"/>
        <v>-3.0145775204786507E-2</v>
      </c>
      <c r="G208" s="381">
        <f>+G204-G206-G207</f>
        <v>-27.408890000000003</v>
      </c>
      <c r="H208" s="415">
        <f>IF(G$187=0,"N.D.",G208/G$187)</f>
        <v>-8.3350553020320947E-2</v>
      </c>
      <c r="I208" s="381">
        <f t="shared" si="217"/>
        <v>7.7528899999999892</v>
      </c>
      <c r="J208" s="402">
        <f t="shared" si="218"/>
        <v>-0.76746089883191471</v>
      </c>
      <c r="K208" s="381">
        <f t="shared" si="219"/>
        <v>25.059780000000011</v>
      </c>
      <c r="L208" s="402">
        <f t="shared" si="220"/>
        <v>-0.91429386596830464</v>
      </c>
      <c r="M208" s="175"/>
      <c r="AD208" t="s">
        <v>53</v>
      </c>
      <c r="AE208" s="381">
        <f>+AE204-AE206-AE207</f>
        <v>-82.031490000000204</v>
      </c>
      <c r="AF208" s="415">
        <f>IF(AE$187=0,"N.D.",AE208/AE$187)</f>
        <v>-4.5007402713640982E-2</v>
      </c>
      <c r="AG208" s="381">
        <f>+AG204-AG206-AG207</f>
        <v>-97.678000000000154</v>
      </c>
      <c r="AH208" s="415">
        <f>IF(AG$187=0,"N.D.",AG208/AG$187)</f>
        <v>-4.824133806274078E-2</v>
      </c>
      <c r="AI208" s="381">
        <f>+AI204-AI206-AI207</f>
        <v>-158.02568999999983</v>
      </c>
      <c r="AJ208" s="415">
        <f>IF(AI$187=0,"N.D.",AI208/AI$187)</f>
        <v>-7.9792902811673921E-2</v>
      </c>
      <c r="AK208" s="381">
        <f t="shared" si="221"/>
        <v>15.64650999999995</v>
      </c>
      <c r="AL208" s="402">
        <f t="shared" si="222"/>
        <v>-0.16018458608898545</v>
      </c>
      <c r="AM208" s="381">
        <f t="shared" si="223"/>
        <v>75.994199999999623</v>
      </c>
      <c r="AN208" s="402">
        <f t="shared" si="224"/>
        <v>-0.4808977578265895</v>
      </c>
      <c r="AO208" s="175"/>
      <c r="BF208" s="290" t="s">
        <v>53</v>
      </c>
      <c r="BG208" s="381">
        <f>+BG204-BG206-BG207</f>
        <v>-21.527686715534315</v>
      </c>
      <c r="BH208" s="415">
        <f>IF(BG$187=0,"N.D.",BG208/BG$187)</f>
        <v>-7.3978304864379091E-2</v>
      </c>
      <c r="BI208" s="381">
        <f ca="1">+BI204-BI206-BI207</f>
        <v>-19.918000000000013</v>
      </c>
      <c r="BJ208" s="415">
        <f ca="1">IF(BI$187=0,"N.D.",BI208/BI$187)</f>
        <v>-6.2169341069907E-2</v>
      </c>
      <c r="BK208" s="381">
        <f ca="1">+BK204-BK206-BK207</f>
        <v>-27.408890000000003</v>
      </c>
      <c r="BL208" s="415">
        <f ca="1">IF(BK$187=0,"N.D.",BK208/BK$187)</f>
        <v>-8.3350553020320947E-2</v>
      </c>
      <c r="BM208" s="381">
        <f t="shared" ca="1" si="225"/>
        <v>-1.609686715534302</v>
      </c>
      <c r="BN208" s="402">
        <f t="shared" ca="1" si="226"/>
        <v>8.0815680064981521E-2</v>
      </c>
      <c r="BO208" s="381">
        <f t="shared" ca="1" si="227"/>
        <v>5.8812032844656876</v>
      </c>
      <c r="BP208" s="402">
        <f t="shared" ca="1" si="228"/>
        <v>-0.21457283693231233</v>
      </c>
      <c r="BQ208" s="354"/>
    </row>
    <row r="209" spans="1:69" ht="12.5" customHeight="1" x14ac:dyDescent="0.3">
      <c r="A209" s="238"/>
      <c r="B209" t="s">
        <v>122</v>
      </c>
      <c r="C209" s="381">
        <f>+C196+C194</f>
        <v>-3.7224699999999924</v>
      </c>
      <c r="D209" s="415">
        <f t="shared" si="208"/>
        <v>-1.2309134542652833E-2</v>
      </c>
      <c r="E209" s="381">
        <f>+E196+E194</f>
        <v>2.4540000000000184</v>
      </c>
      <c r="F209" s="415">
        <f t="shared" si="208"/>
        <v>7.3230778412736851E-3</v>
      </c>
      <c r="G209" s="381">
        <f>+G196+G194</f>
        <v>-10.532400000000004</v>
      </c>
      <c r="H209" s="415">
        <f>IF(G$187=0,"N.D.",G209/G$187)</f>
        <v>-3.2029073947585203E-2</v>
      </c>
      <c r="I209" s="381">
        <f t="shared" si="217"/>
        <v>-6.1764700000000108</v>
      </c>
      <c r="J209" s="402">
        <f t="shared" si="218"/>
        <v>-2.5168989405052828</v>
      </c>
      <c r="K209" s="381">
        <f t="shared" si="219"/>
        <v>6.809930000000012</v>
      </c>
      <c r="L209" s="402">
        <f t="shared" si="220"/>
        <v>-0.64656963275227008</v>
      </c>
      <c r="M209" s="175"/>
      <c r="AD209" t="s">
        <v>122</v>
      </c>
      <c r="AE209" s="381">
        <f>+AE196+AE194</f>
        <v>-28.629060000000194</v>
      </c>
      <c r="AF209" s="415">
        <f>IF(AE$187=0,"N.D.",AE209/AE$187)</f>
        <v>-1.5707621947778784E-2</v>
      </c>
      <c r="AG209" s="381">
        <f>+AG196+AG194</f>
        <v>-22.342000000000155</v>
      </c>
      <c r="AH209" s="415">
        <f>IF(AG$187=0,"N.D.",AG209/AG$187)</f>
        <v>-1.1034296105548437E-2</v>
      </c>
      <c r="AI209" s="381">
        <f>+AI196+AI194</f>
        <v>-69.752699999999834</v>
      </c>
      <c r="AJ209" s="415">
        <f>IF(AI$187=0,"N.D.",AI209/AI$187)</f>
        <v>-3.5220668310018709E-2</v>
      </c>
      <c r="AK209" s="381">
        <f t="shared" si="221"/>
        <v>-6.2870600000000394</v>
      </c>
      <c r="AL209" s="402">
        <f t="shared" si="222"/>
        <v>0.28140094888550693</v>
      </c>
      <c r="AM209" s="381">
        <f t="shared" si="223"/>
        <v>41.123639999999639</v>
      </c>
      <c r="AN209" s="402">
        <f t="shared" si="224"/>
        <v>-0.58956341474953278</v>
      </c>
      <c r="AO209" s="175"/>
      <c r="BF209" s="290" t="s">
        <v>122</v>
      </c>
      <c r="BG209" s="381">
        <f>+BG196+BG194</f>
        <v>-8.5276867155343155</v>
      </c>
      <c r="BH209" s="415">
        <f>IF(BG$187=0,"N.D.",BG209/BG$187)</f>
        <v>-2.9304765345478746E-2</v>
      </c>
      <c r="BI209" s="381">
        <f ca="1">+BI196+BI194</f>
        <v>-7.3620000000000125</v>
      </c>
      <c r="BJ209" s="415">
        <f ca="1">IF(BI$187=0,"N.D.",BI209/BI$187)</f>
        <v>-2.2978747311811216E-2</v>
      </c>
      <c r="BK209" s="381">
        <f ca="1">+BK196+BK194</f>
        <v>-10.532400000000004</v>
      </c>
      <c r="BL209" s="415">
        <f ca="1">IF(BK$187=0,"N.D.",BK209/BK$187)</f>
        <v>-3.2029073947585203E-2</v>
      </c>
      <c r="BM209" s="381">
        <f t="shared" ca="1" si="225"/>
        <v>-1.1656867155343029</v>
      </c>
      <c r="BN209" s="402">
        <f t="shared" ca="1" si="226"/>
        <v>0.15833832050180674</v>
      </c>
      <c r="BO209" s="381">
        <f t="shared" ca="1" si="227"/>
        <v>2.004713284465689</v>
      </c>
      <c r="BP209" s="402">
        <f t="shared" ca="1" si="228"/>
        <v>-0.19033774680658622</v>
      </c>
      <c r="BQ209" s="354"/>
    </row>
    <row r="210" spans="1:69" ht="12.5" customHeight="1" x14ac:dyDescent="0.3">
      <c r="A210" s="238"/>
      <c r="B210" s="1" t="s">
        <v>194</v>
      </c>
      <c r="C210" s="418">
        <v>0</v>
      </c>
      <c r="D210" s="475">
        <f>IF(C$9=0,"N.D.",C210/C$9)</f>
        <v>0</v>
      </c>
      <c r="E210" s="418">
        <v>0</v>
      </c>
      <c r="F210" s="475">
        <f>IF(E$9=0,"N.D.",E210/E$9)</f>
        <v>0</v>
      </c>
      <c r="G210" s="418">
        <v>0</v>
      </c>
      <c r="H210" s="475">
        <f>IF(G$9=0,"N.D.",G210/G$9)</f>
        <v>0</v>
      </c>
      <c r="I210" s="418">
        <f t="shared" si="217"/>
        <v>0</v>
      </c>
      <c r="J210" s="471" t="str">
        <f t="shared" si="218"/>
        <v>N.D.</v>
      </c>
      <c r="K210" s="418">
        <f t="shared" si="219"/>
        <v>0</v>
      </c>
      <c r="L210" s="471" t="str">
        <f t="shared" si="220"/>
        <v>N.D.</v>
      </c>
      <c r="M210" s="175"/>
      <c r="AD210" s="1" t="s">
        <v>194</v>
      </c>
      <c r="AE210" s="418">
        <v>0</v>
      </c>
      <c r="AF210" s="475">
        <f>IF(AE$9=0,"N.D.",AE210/AE$9)</f>
        <v>0</v>
      </c>
      <c r="AG210" s="418">
        <v>0</v>
      </c>
      <c r="AH210" s="475">
        <f>IF(AG$9=0,"N.D.",AG210/AG$9)</f>
        <v>0</v>
      </c>
      <c r="AI210" s="418">
        <v>0</v>
      </c>
      <c r="AJ210" s="475">
        <f>IF(AI$9=0,"N.D.",AI210/AI$9)</f>
        <v>0</v>
      </c>
      <c r="AK210" s="418">
        <f t="shared" si="221"/>
        <v>0</v>
      </c>
      <c r="AL210" s="471" t="str">
        <f t="shared" si="222"/>
        <v>N.D.</v>
      </c>
      <c r="AM210" s="418">
        <f t="shared" si="223"/>
        <v>0</v>
      </c>
      <c r="AN210" s="471" t="str">
        <f t="shared" si="224"/>
        <v>N.D.</v>
      </c>
      <c r="AO210" s="175"/>
      <c r="BF210" s="1" t="s">
        <v>194</v>
      </c>
      <c r="BG210" s="418">
        <v>0</v>
      </c>
      <c r="BH210" s="475">
        <f>IF(BG$9=0,"N.D.",BG210/BG$9)</f>
        <v>0</v>
      </c>
      <c r="BI210" s="418">
        <v>0</v>
      </c>
      <c r="BJ210" s="475">
        <f ca="1">IF(BI$9=0,"N.D.",BI210/BI$9)</f>
        <v>0</v>
      </c>
      <c r="BK210" s="418">
        <v>0</v>
      </c>
      <c r="BL210" s="475">
        <f ca="1">IF(BK$9=0,"N.D.",BK210/BK$9)</f>
        <v>0</v>
      </c>
      <c r="BM210" s="418">
        <f t="shared" si="225"/>
        <v>0</v>
      </c>
      <c r="BN210" s="471" t="str">
        <f t="shared" si="226"/>
        <v>N.D.</v>
      </c>
      <c r="BO210" s="418">
        <f t="shared" si="227"/>
        <v>0</v>
      </c>
      <c r="BP210" s="471" t="str">
        <f t="shared" si="228"/>
        <v>N.D.</v>
      </c>
      <c r="BQ210" s="354"/>
    </row>
    <row r="211" spans="1:69" ht="12.5" customHeight="1" x14ac:dyDescent="0.3">
      <c r="A211" s="238"/>
      <c r="B211" s="1" t="s">
        <v>123</v>
      </c>
      <c r="C211" s="314"/>
      <c r="D211" s="476">
        <f>IF(C$9=0,"N.D.",C211/C$9)</f>
        <v>0</v>
      </c>
      <c r="E211" s="314"/>
      <c r="F211" s="476">
        <f>IF(E$9=0,"N.D.",E211/E$9)</f>
        <v>0</v>
      </c>
      <c r="G211" s="314"/>
      <c r="H211" s="476">
        <f>IF(G$9=0,"N.D.",G211/G$9)</f>
        <v>0</v>
      </c>
      <c r="I211" s="314">
        <f t="shared" si="217"/>
        <v>0</v>
      </c>
      <c r="J211" s="472" t="str">
        <f t="shared" si="218"/>
        <v>N.D.</v>
      </c>
      <c r="K211" s="314">
        <f t="shared" si="219"/>
        <v>0</v>
      </c>
      <c r="L211" s="472" t="str">
        <f t="shared" si="220"/>
        <v>N.D.</v>
      </c>
      <c r="M211" s="175"/>
      <c r="AD211" s="1" t="s">
        <v>123</v>
      </c>
      <c r="AE211" s="314"/>
      <c r="AF211" s="476">
        <f>IF(AE$9=0,"N.D.",AE211/AE$9)</f>
        <v>0</v>
      </c>
      <c r="AG211" s="314"/>
      <c r="AH211" s="476">
        <f>IF(AG$9=0,"N.D.",AG211/AG$9)</f>
        <v>0</v>
      </c>
      <c r="AI211" s="314"/>
      <c r="AJ211" s="476">
        <f>IF(AI$9=0,"N.D.",AI211/AI$9)</f>
        <v>0</v>
      </c>
      <c r="AK211" s="314">
        <f t="shared" si="221"/>
        <v>0</v>
      </c>
      <c r="AL211" s="472" t="str">
        <f t="shared" si="222"/>
        <v>N.D.</v>
      </c>
      <c r="AM211" s="314">
        <f t="shared" si="223"/>
        <v>0</v>
      </c>
      <c r="AN211" s="472" t="str">
        <f t="shared" si="224"/>
        <v>N.D.</v>
      </c>
      <c r="AO211" s="175"/>
      <c r="BF211" s="1" t="s">
        <v>123</v>
      </c>
      <c r="BG211" s="314"/>
      <c r="BH211" s="476">
        <f>IF(BG$9=0,"N.D.",BG211/BG$9)</f>
        <v>0</v>
      </c>
      <c r="BI211" s="314"/>
      <c r="BJ211" s="476">
        <f ca="1">IF(BI$9=0,"N.D.",BI211/BI$9)</f>
        <v>0</v>
      </c>
      <c r="BK211" s="314"/>
      <c r="BL211" s="476">
        <f ca="1">IF(BK$9=0,"N.D.",BK211/BK$9)</f>
        <v>0</v>
      </c>
      <c r="BM211" s="314">
        <f t="shared" si="225"/>
        <v>0</v>
      </c>
      <c r="BN211" s="472" t="str">
        <f t="shared" si="226"/>
        <v>N.D.</v>
      </c>
      <c r="BO211" s="314">
        <f t="shared" si="227"/>
        <v>0</v>
      </c>
      <c r="BP211" s="472" t="str">
        <f t="shared" si="228"/>
        <v>N.D.</v>
      </c>
      <c r="BQ211" s="354"/>
    </row>
    <row r="212" spans="1:69" ht="12.5" customHeight="1" x14ac:dyDescent="0.3">
      <c r="A212" s="238"/>
      <c r="B212" s="7" t="s">
        <v>190</v>
      </c>
      <c r="C212" s="381">
        <f>+C208+C194+C210+C211</f>
        <v>2.7699100000000074</v>
      </c>
      <c r="D212" s="477">
        <f>IF(C$9=0,"N.D.",C212/C$9)</f>
        <v>1.7754499924864664E-3</v>
      </c>
      <c r="E212" s="381">
        <f>+E208+E194+E210+E211</f>
        <v>4.6220000000000176</v>
      </c>
      <c r="F212" s="477">
        <f>IF(E$9=0,"N.D.",E212/E$9)</f>
        <v>2.7153255512016978E-3</v>
      </c>
      <c r="G212" s="381">
        <f>+G208+G194+G210+G211</f>
        <v>-12.685010000000004</v>
      </c>
      <c r="H212" s="477">
        <f>IF(G$9=0,"N.D.",G212/G$9)</f>
        <v>-7.6839600679599572E-3</v>
      </c>
      <c r="I212" s="381">
        <f t="shared" si="217"/>
        <v>-1.8520900000000102</v>
      </c>
      <c r="J212" s="402">
        <f t="shared" si="218"/>
        <v>-0.40071181306793668</v>
      </c>
      <c r="K212" s="381">
        <f t="shared" si="219"/>
        <v>15.454920000000012</v>
      </c>
      <c r="L212" s="402">
        <f t="shared" si="220"/>
        <v>-1.2183608842247666</v>
      </c>
      <c r="M212" s="175"/>
      <c r="AD212" s="7" t="s">
        <v>190</v>
      </c>
      <c r="AE212" s="381">
        <f>+AE208+AE194+AE210+AE211</f>
        <v>-12.897930000000201</v>
      </c>
      <c r="AF212" s="477">
        <f>IF(AE$9=0,"N.D.",AE212/AE$9)</f>
        <v>-8.2619748358701091E-4</v>
      </c>
      <c r="AG212" s="381">
        <f>+AG208+AG194+AG210+AG211</f>
        <v>-9.3340000000001595</v>
      </c>
      <c r="AH212" s="477">
        <f>IF(AG$9=0,"N.D.",AG212/AG$9)</f>
        <v>-4.4337962820239108E-4</v>
      </c>
      <c r="AI212" s="381">
        <f>+AI208+AI194+AI210+AI211</f>
        <v>-69.682409999999834</v>
      </c>
      <c r="AJ212" s="477">
        <f>IF(AI$9=0,"N.D.",AI212/AI$9)</f>
        <v>-3.3994634459398238E-3</v>
      </c>
      <c r="AK212" s="381">
        <f t="shared" si="221"/>
        <v>-3.5639300000000418</v>
      </c>
      <c r="AL212" s="402">
        <f t="shared" si="222"/>
        <v>0.38182236983072437</v>
      </c>
      <c r="AM212" s="381">
        <f t="shared" si="223"/>
        <v>56.784479999999633</v>
      </c>
      <c r="AN212" s="402">
        <f t="shared" si="224"/>
        <v>-0.81490407693993028</v>
      </c>
      <c r="AO212" s="175"/>
      <c r="BF212" s="7" t="s">
        <v>190</v>
      </c>
      <c r="BG212" s="381">
        <f>+BG208+BG194+BG210+BG211</f>
        <v>-6.5276867155343155</v>
      </c>
      <c r="BH212" s="477">
        <f>IF(BG$9=0,"N.D.",BG212/BG$9)</f>
        <v>-4.2141295774914883E-3</v>
      </c>
      <c r="BI212" s="381">
        <f ca="1">+BI208+BI194+BI210+BI211</f>
        <v>-5.1940000000000133</v>
      </c>
      <c r="BJ212" s="477">
        <f ca="1">IF(BI$9=0,"N.D.",BI212/BI$9)</f>
        <v>-3.1276495298288966E-3</v>
      </c>
      <c r="BK212" s="381">
        <f ca="1">+BK208+BK194+BK210+BK211</f>
        <v>-12.685010000000004</v>
      </c>
      <c r="BL212" s="477">
        <f ca="1">IF(BK$9=0,"N.D.",BK212/BK$9)</f>
        <v>-7.6839600679599572E-3</v>
      </c>
      <c r="BM212" s="381">
        <f t="shared" ca="1" si="225"/>
        <v>-1.3336867155343022</v>
      </c>
      <c r="BN212" s="402">
        <f t="shared" ca="1" si="226"/>
        <v>0.25677449278673437</v>
      </c>
      <c r="BO212" s="381">
        <f t="shared" ca="1" si="227"/>
        <v>6.1573232844656882</v>
      </c>
      <c r="BP212" s="402">
        <f t="shared" ca="1" si="228"/>
        <v>-0.48540153176589429</v>
      </c>
      <c r="BQ212" s="354"/>
    </row>
    <row r="213" spans="1:69" ht="12.5" customHeight="1" x14ac:dyDescent="0.3">
      <c r="A213" s="238"/>
      <c r="B213" s="7" t="s">
        <v>191</v>
      </c>
      <c r="C213" s="381">
        <v>0</v>
      </c>
      <c r="D213" s="477">
        <f>IF(C$9=0,"N.D.",C213/C$9)</f>
        <v>0</v>
      </c>
      <c r="E213" s="381">
        <v>0</v>
      </c>
      <c r="F213" s="477">
        <f>IF(E$9=0,"N.D.",E213/E$9)</f>
        <v>0</v>
      </c>
      <c r="G213" s="381">
        <f>+BDLT!P18/1000</f>
        <v>2.4089399999999999</v>
      </c>
      <c r="H213" s="477">
        <f>IF(G$9=0,"N.D.",G213/G$9)</f>
        <v>1.4592183030294381E-3</v>
      </c>
      <c r="I213" s="381">
        <f t="shared" si="217"/>
        <v>0</v>
      </c>
      <c r="J213" s="402" t="str">
        <f t="shared" si="218"/>
        <v>N.D.</v>
      </c>
      <c r="K213" s="381">
        <f t="shared" si="219"/>
        <v>-2.4089399999999999</v>
      </c>
      <c r="L213" s="402">
        <f t="shared" si="220"/>
        <v>-1</v>
      </c>
      <c r="M213" s="175"/>
      <c r="AD213" s="7" t="s">
        <v>191</v>
      </c>
      <c r="AE213" s="381">
        <v>0</v>
      </c>
      <c r="AF213" s="477">
        <f>IF(AE$9=0,"N.D.",AE213/AE$9)</f>
        <v>0</v>
      </c>
      <c r="AG213" s="381">
        <v>0</v>
      </c>
      <c r="AH213" s="477">
        <f>IF(AG$9=0,"N.D.",AG213/AG$9)</f>
        <v>0</v>
      </c>
      <c r="AI213" s="381">
        <v>0</v>
      </c>
      <c r="AJ213" s="477">
        <f>IF(AI$9=0,"N.D.",AI213/AI$9)</f>
        <v>0</v>
      </c>
      <c r="AK213" s="381">
        <f t="shared" si="221"/>
        <v>0</v>
      </c>
      <c r="AL213" s="402" t="str">
        <f t="shared" si="222"/>
        <v>N.D.</v>
      </c>
      <c r="AM213" s="381">
        <f t="shared" si="223"/>
        <v>0</v>
      </c>
      <c r="AN213" s="402" t="str">
        <f t="shared" si="224"/>
        <v>N.D.</v>
      </c>
      <c r="AO213" s="175"/>
      <c r="BF213" s="7" t="s">
        <v>191</v>
      </c>
      <c r="BG213" s="381">
        <f>+C213</f>
        <v>0</v>
      </c>
      <c r="BH213" s="477">
        <f>IF(BG$9=0,"N.D.",BG213/BG$9)</f>
        <v>0</v>
      </c>
      <c r="BI213" s="381">
        <f>+BG213</f>
        <v>0</v>
      </c>
      <c r="BJ213" s="477">
        <f ca="1">IF(BI$9=0,"N.D.",BI213/BI$9)</f>
        <v>0</v>
      </c>
      <c r="BK213" s="381">
        <v>0</v>
      </c>
      <c r="BL213" s="477">
        <f ca="1">IF(BK$9=0,"N.D.",BK213/BK$9)</f>
        <v>0</v>
      </c>
      <c r="BM213" s="381">
        <f t="shared" si="225"/>
        <v>0</v>
      </c>
      <c r="BN213" s="402" t="str">
        <f t="shared" si="226"/>
        <v>N.D.</v>
      </c>
      <c r="BO213" s="381">
        <f t="shared" si="227"/>
        <v>0</v>
      </c>
      <c r="BP213" s="402" t="str">
        <f t="shared" si="228"/>
        <v>N.D.</v>
      </c>
      <c r="BQ213" s="354"/>
    </row>
    <row r="214" spans="1:69" ht="12.5" customHeight="1" x14ac:dyDescent="0.3">
      <c r="A214" s="238"/>
      <c r="B214" s="7" t="s">
        <v>84</v>
      </c>
      <c r="C214" s="381">
        <f>C212-C213</f>
        <v>2.7699100000000074</v>
      </c>
      <c r="D214" s="477">
        <f>IF(C$9=0,"N.D.",C214/C$9)</f>
        <v>1.7754499924864664E-3</v>
      </c>
      <c r="E214" s="381">
        <f>E212-E213</f>
        <v>4.6220000000000176</v>
      </c>
      <c r="F214" s="477">
        <f>IF(E$9=0,"N.D.",E214/E$9)</f>
        <v>2.7153255512016978E-3</v>
      </c>
      <c r="G214" s="381">
        <f>G212-G213</f>
        <v>-15.093950000000003</v>
      </c>
      <c r="H214" s="477">
        <f>IF(G$9=0,"N.D.",G214/G$9)</f>
        <v>-9.1431783709893938E-3</v>
      </c>
      <c r="I214" s="381">
        <f t="shared" si="217"/>
        <v>-1.8520900000000102</v>
      </c>
      <c r="J214" s="402">
        <f t="shared" si="218"/>
        <v>-0.40071181306793668</v>
      </c>
      <c r="K214" s="381">
        <f t="shared" si="219"/>
        <v>17.86386000000001</v>
      </c>
      <c r="L214" s="402">
        <f t="shared" si="220"/>
        <v>-1.1835112743847704</v>
      </c>
      <c r="M214" s="175"/>
      <c r="AD214" s="7" t="s">
        <v>84</v>
      </c>
      <c r="AE214" s="381">
        <f>AE212-AE213</f>
        <v>-12.897930000000201</v>
      </c>
      <c r="AF214" s="477">
        <f>IF(AE$9=0,"N.D.",AE214/AE$9)</f>
        <v>-8.2619748358701091E-4</v>
      </c>
      <c r="AG214" s="381">
        <f>AG212-AG213</f>
        <v>-9.3340000000001595</v>
      </c>
      <c r="AH214" s="477">
        <f>IF(AG$9=0,"N.D.",AG214/AG$9)</f>
        <v>-4.4337962820239108E-4</v>
      </c>
      <c r="AI214" s="381">
        <f>AI212-AI213</f>
        <v>-69.682409999999834</v>
      </c>
      <c r="AJ214" s="477">
        <f>IF(AI$9=0,"N.D.",AI214/AI$9)</f>
        <v>-3.3994634459398238E-3</v>
      </c>
      <c r="AK214" s="381">
        <f t="shared" si="221"/>
        <v>-3.5639300000000418</v>
      </c>
      <c r="AL214" s="402">
        <f t="shared" si="222"/>
        <v>0.38182236983072437</v>
      </c>
      <c r="AM214" s="381">
        <f t="shared" si="223"/>
        <v>56.784479999999633</v>
      </c>
      <c r="AN214" s="402">
        <f t="shared" si="224"/>
        <v>-0.81490407693993028</v>
      </c>
      <c r="AO214" s="175"/>
      <c r="BF214" s="7" t="s">
        <v>84</v>
      </c>
      <c r="BG214" s="381">
        <f>BG212-BG213</f>
        <v>-6.5276867155343155</v>
      </c>
      <c r="BH214" s="477">
        <f>IF(BG$9=0,"N.D.",BG214/BG$9)</f>
        <v>-4.2141295774914883E-3</v>
      </c>
      <c r="BI214" s="381">
        <f ca="1">BI212-BI213</f>
        <v>-5.1940000000000133</v>
      </c>
      <c r="BJ214" s="477">
        <f ca="1">IF(BI$9=0,"N.D.",BI214/BI$9)</f>
        <v>-3.1276495298288966E-3</v>
      </c>
      <c r="BK214" s="381">
        <f ca="1">BK212-BK213</f>
        <v>-12.685010000000004</v>
      </c>
      <c r="BL214" s="477">
        <f ca="1">IF(BK$9=0,"N.D.",BK214/BK$9)</f>
        <v>-7.6839600679599572E-3</v>
      </c>
      <c r="BM214" s="381">
        <f t="shared" ca="1" si="225"/>
        <v>-1.3336867155343022</v>
      </c>
      <c r="BN214" s="402">
        <f t="shared" ca="1" si="226"/>
        <v>0.25677449278673437</v>
      </c>
      <c r="BO214" s="381">
        <f t="shared" ca="1" si="227"/>
        <v>6.1573232844656882</v>
      </c>
      <c r="BP214" s="402">
        <f t="shared" ca="1" si="228"/>
        <v>-0.48540153176589429</v>
      </c>
      <c r="BQ214" s="354"/>
    </row>
    <row r="215" spans="1:69" ht="12.5" customHeight="1" x14ac:dyDescent="0.3">
      <c r="A215" s="238"/>
      <c r="B215" s="1" t="s">
        <v>193</v>
      </c>
      <c r="C215" s="412" t="str">
        <f>IF(C213=0,"N.D.",(C212-C210-C211)/C213)</f>
        <v>N.D.</v>
      </c>
      <c r="D215" s="478"/>
      <c r="E215" s="412" t="str">
        <f>IF(E213=0,"N.D.",(E212-E210-E211)/E213)</f>
        <v>N.D.</v>
      </c>
      <c r="F215" s="478"/>
      <c r="G215" s="412">
        <f>IF(G213=0,"N.D.",(G212-G210-G211)/G213)</f>
        <v>-5.2658057070744828</v>
      </c>
      <c r="H215" s="478"/>
      <c r="I215" s="479"/>
      <c r="J215" s="354"/>
      <c r="K215" s="479"/>
      <c r="L215" s="354"/>
      <c r="M215" s="175"/>
      <c r="AD215" s="1" t="s">
        <v>193</v>
      </c>
      <c r="AE215" s="412" t="str">
        <f>IF(AE213=0,"N.D.",(AE212-AE210-AE211)/AE213)</f>
        <v>N.D.</v>
      </c>
      <c r="AF215" s="478"/>
      <c r="AG215" s="412" t="str">
        <f>IF(AG213=0,"N.D.",(AG212-AG210-AG211)/AG213)</f>
        <v>N.D.</v>
      </c>
      <c r="AH215" s="478"/>
      <c r="AI215" s="412" t="str">
        <f>IF(AI213=0,"N.D.",(AI212-AI210-AI211)/AI213)</f>
        <v>N.D.</v>
      </c>
      <c r="AJ215" s="478"/>
      <c r="AK215" s="479"/>
      <c r="AL215" s="354"/>
      <c r="AM215" s="479"/>
      <c r="AN215" s="354"/>
      <c r="AO215" s="175"/>
      <c r="BF215" s="1" t="s">
        <v>193</v>
      </c>
      <c r="BG215" s="412" t="str">
        <f>IF(BG213=0,"N.D.",(BG212-BG210-BG211)/BG213)</f>
        <v>N.D.</v>
      </c>
      <c r="BH215" s="478"/>
      <c r="BI215" s="412" t="str">
        <f>IF(BI213=0,"N.D.",(BI212-BI210-BI211)/BI213)</f>
        <v>N.D.</v>
      </c>
      <c r="BJ215" s="478"/>
      <c r="BK215" s="412" t="str">
        <f>IF(BK213=0,"N.D.",(BK212-BK210-BK211)/BK213)</f>
        <v>N.D.</v>
      </c>
      <c r="BL215" s="478"/>
      <c r="BM215" s="479"/>
      <c r="BN215" s="354"/>
      <c r="BO215" s="479"/>
      <c r="BP215" s="354"/>
      <c r="BQ215" s="354"/>
    </row>
    <row r="216" spans="1:69" ht="12.5" customHeight="1" x14ac:dyDescent="0.25">
      <c r="M216" s="175"/>
      <c r="AO216" s="175"/>
    </row>
    <row r="217" spans="1:69" ht="12.5" customHeight="1" x14ac:dyDescent="0.25">
      <c r="M217" s="175"/>
      <c r="AO217" s="175"/>
    </row>
    <row r="218" spans="1:69" ht="12.5" customHeight="1" x14ac:dyDescent="0.3">
      <c r="C218" s="739" t="s">
        <v>209</v>
      </c>
      <c r="D218" s="743"/>
      <c r="E218" s="743"/>
      <c r="F218" s="743"/>
      <c r="G218" s="743"/>
      <c r="H218" s="743"/>
      <c r="I218" s="743"/>
      <c r="J218" s="744"/>
      <c r="K218" s="743"/>
      <c r="L218" s="744"/>
      <c r="M218" s="175"/>
      <c r="AE218" s="739" t="s">
        <v>209</v>
      </c>
      <c r="AF218" s="739"/>
      <c r="AG218" s="739"/>
      <c r="AH218" s="739"/>
      <c r="AI218" s="739"/>
      <c r="AJ218" s="739"/>
      <c r="AK218" s="739"/>
      <c r="AL218" s="739"/>
      <c r="AM218" s="739"/>
      <c r="AN218" s="739"/>
      <c r="AO218" s="175"/>
      <c r="BG218" s="739" t="s">
        <v>209</v>
      </c>
      <c r="BH218" s="739"/>
      <c r="BI218" s="739"/>
      <c r="BJ218" s="739"/>
      <c r="BK218" s="739"/>
      <c r="BL218" s="739"/>
      <c r="BM218" s="739"/>
      <c r="BN218" s="739"/>
      <c r="BO218" s="739"/>
      <c r="BP218" s="739"/>
      <c r="BQ218" s="349"/>
    </row>
    <row r="219" spans="1:69" ht="12.5" customHeight="1" x14ac:dyDescent="0.3">
      <c r="C219" s="739" t="s">
        <v>18</v>
      </c>
      <c r="D219" s="743"/>
      <c r="E219" s="743"/>
      <c r="F219" s="743"/>
      <c r="G219" s="743"/>
      <c r="H219" s="743"/>
      <c r="I219" s="743"/>
      <c r="J219" s="744"/>
      <c r="K219" s="743"/>
      <c r="L219" s="744"/>
      <c r="M219" s="175"/>
      <c r="AE219" s="739" t="s">
        <v>18</v>
      </c>
      <c r="AF219" s="739"/>
      <c r="AG219" s="739"/>
      <c r="AH219" s="739"/>
      <c r="AI219" s="739"/>
      <c r="AJ219" s="739"/>
      <c r="AK219" s="739"/>
      <c r="AL219" s="739"/>
      <c r="AM219" s="739"/>
      <c r="AN219" s="739"/>
      <c r="AO219" s="175"/>
      <c r="BG219" s="739" t="s">
        <v>18</v>
      </c>
      <c r="BH219" s="739"/>
      <c r="BI219" s="739"/>
      <c r="BJ219" s="739"/>
      <c r="BK219" s="739"/>
      <c r="BL219" s="739"/>
      <c r="BM219" s="739"/>
      <c r="BN219" s="739"/>
      <c r="BO219" s="739"/>
      <c r="BP219" s="739"/>
      <c r="BQ219" s="349"/>
    </row>
    <row r="220" spans="1:69" ht="12.5" customHeight="1" x14ac:dyDescent="0.3">
      <c r="B220" s="277" t="s">
        <v>340</v>
      </c>
      <c r="C220" s="739" t="str">
        <f>PROPER(TEXT(MES_CIERRE,"MMMM "))&amp;YEAR(MES_CIERRE)</f>
        <v>Junio 2019</v>
      </c>
      <c r="D220" s="739"/>
      <c r="E220" s="739"/>
      <c r="F220" s="739"/>
      <c r="G220" s="739"/>
      <c r="H220" s="739"/>
      <c r="I220" s="739"/>
      <c r="J220" s="739"/>
      <c r="K220" s="739"/>
      <c r="L220" s="739"/>
      <c r="M220" s="175"/>
      <c r="AD220" s="311" t="str">
        <f>B220</f>
        <v>REAL ESTATE</v>
      </c>
      <c r="AE220" s="740" t="str">
        <f>"Accum to "&amp;PROPER(TEXT(MES_CIERRE,"MMMM "))&amp;YEAR(MES_CIERRE)</f>
        <v>Accum to Junio 2019</v>
      </c>
      <c r="AF220" s="740"/>
      <c r="AG220" s="740"/>
      <c r="AH220" s="740"/>
      <c r="AI220" s="740"/>
      <c r="AJ220" s="740"/>
      <c r="AK220" s="740"/>
      <c r="AL220" s="740"/>
      <c r="AM220" s="740"/>
      <c r="AN220" s="740"/>
      <c r="AO220" s="175"/>
      <c r="BF220" s="113" t="str">
        <f>AD220</f>
        <v>REAL ESTATE</v>
      </c>
      <c r="BG220" s="740" t="str">
        <f>$BG$41</f>
        <v>Projection- Julio 2019</v>
      </c>
      <c r="BH220" s="740"/>
      <c r="BI220" s="740"/>
      <c r="BJ220" s="740"/>
      <c r="BK220" s="740"/>
      <c r="BL220" s="740"/>
      <c r="BM220" s="740"/>
      <c r="BN220" s="740"/>
      <c r="BO220" s="740"/>
      <c r="BP220" s="740"/>
      <c r="BQ220" s="350"/>
    </row>
    <row r="221" spans="1:69" ht="12.5" customHeight="1" x14ac:dyDescent="0.3">
      <c r="A221" s="238"/>
      <c r="C221" s="394" t="s">
        <v>0</v>
      </c>
      <c r="D221" s="395"/>
      <c r="E221" s="394" t="s">
        <v>4</v>
      </c>
      <c r="F221" s="395"/>
      <c r="G221" s="394" t="s">
        <v>5</v>
      </c>
      <c r="H221" s="464"/>
      <c r="I221" s="349" t="s">
        <v>6</v>
      </c>
      <c r="J221" s="351"/>
      <c r="K221" s="349" t="s">
        <v>7</v>
      </c>
      <c r="L221" s="351"/>
      <c r="M221" s="174"/>
      <c r="AE221" s="394" t="s">
        <v>8</v>
      </c>
      <c r="AF221" s="464"/>
      <c r="AG221" s="394" t="s">
        <v>4</v>
      </c>
      <c r="AH221" s="464"/>
      <c r="AI221" s="394" t="s">
        <v>9</v>
      </c>
      <c r="AJ221" s="465"/>
      <c r="AK221" s="349" t="s">
        <v>6</v>
      </c>
      <c r="AL221" s="351"/>
      <c r="AM221" s="349" t="s">
        <v>7</v>
      </c>
      <c r="AN221" s="351"/>
      <c r="AO221" s="291"/>
      <c r="BG221" s="394" t="s">
        <v>502</v>
      </c>
      <c r="BH221" s="464"/>
      <c r="BI221" s="394" t="s">
        <v>4</v>
      </c>
      <c r="BJ221" s="464"/>
      <c r="BK221" s="394" t="s">
        <v>9</v>
      </c>
      <c r="BL221" s="465"/>
      <c r="BM221" s="349" t="s">
        <v>6</v>
      </c>
      <c r="BN221" s="351"/>
      <c r="BO221" s="349" t="s">
        <v>7</v>
      </c>
      <c r="BP221" s="351"/>
      <c r="BQ221" s="351"/>
    </row>
    <row r="222" spans="1:69" ht="12.5" customHeight="1" x14ac:dyDescent="0.25">
      <c r="A222" s="238"/>
      <c r="C222" s="469"/>
      <c r="D222" s="500"/>
      <c r="E222" s="468"/>
      <c r="F222" s="500"/>
      <c r="G222" s="469"/>
      <c r="H222" s="467"/>
      <c r="I222" s="419"/>
      <c r="J222" s="352"/>
      <c r="K222" s="419"/>
      <c r="L222" s="352"/>
      <c r="M222" s="175"/>
      <c r="AE222" s="480"/>
      <c r="AF222" s="467"/>
      <c r="AG222" s="468"/>
      <c r="AH222" s="467"/>
      <c r="AI222" s="483"/>
      <c r="AJ222" s="470"/>
      <c r="AK222" s="419"/>
      <c r="AL222" s="352"/>
      <c r="AM222" s="419"/>
      <c r="AN222" s="352"/>
      <c r="AO222" s="175"/>
      <c r="BG222" s="480"/>
      <c r="BH222" s="467"/>
      <c r="BI222" s="468"/>
      <c r="BJ222" s="467"/>
      <c r="BK222" s="483"/>
      <c r="BL222" s="470"/>
      <c r="BM222" s="419"/>
      <c r="BN222" s="352"/>
      <c r="BO222" s="419"/>
      <c r="BP222" s="352"/>
      <c r="BQ222" s="352"/>
    </row>
    <row r="223" spans="1:69" ht="12.5" customHeight="1" x14ac:dyDescent="0.25">
      <c r="A223" s="238"/>
      <c r="B223" t="s">
        <v>38</v>
      </c>
      <c r="C223" s="418">
        <f>BDER!D158/1000</f>
        <v>130.23875000000001</v>
      </c>
      <c r="D223" s="417">
        <f>IF(C$223=0,"N.D.",C223/C$223)</f>
        <v>1</v>
      </c>
      <c r="E223" s="418">
        <f>BDER!L158/1000</f>
        <v>116.3</v>
      </c>
      <c r="F223" s="417">
        <f>IF(E$223=0,"N.D.",E223/E$223)</f>
        <v>1</v>
      </c>
      <c r="G223" s="418">
        <f>BDER!F158/1000</f>
        <v>117.95889</v>
      </c>
      <c r="H223" s="417">
        <f>IF(G$223=0,"N.D.",G223/G$223)</f>
        <v>1</v>
      </c>
      <c r="I223" s="418">
        <f>C223-E223</f>
        <v>13.938750000000013</v>
      </c>
      <c r="J223" s="471">
        <f>IF(E223=0,"N.D.",C223/E223-1)</f>
        <v>0.11985167669819452</v>
      </c>
      <c r="K223" s="418">
        <f>C223-G223</f>
        <v>12.279860000000014</v>
      </c>
      <c r="L223" s="471">
        <f>IF(G223=0,"N.D.",C223/G223-1)</f>
        <v>0.10410287855370637</v>
      </c>
      <c r="M223" s="175"/>
      <c r="AD223" t="s">
        <v>38</v>
      </c>
      <c r="AE223" s="418">
        <f>BDER!E158/1000</f>
        <v>722.99585999999999</v>
      </c>
      <c r="AF223" s="417">
        <f>IF(AE$223=0,"N.D.",AE223/AE$223)</f>
        <v>1</v>
      </c>
      <c r="AG223" s="418">
        <f>BDER!M158/1000</f>
        <v>697.5</v>
      </c>
      <c r="AH223" s="417">
        <f>IF(AG$223=0,"N.D.",AG223/AG$223)</f>
        <v>1</v>
      </c>
      <c r="AI223" s="418">
        <f>BDER!I158/1000</f>
        <v>722.85870999999997</v>
      </c>
      <c r="AJ223" s="417">
        <f>IF(AI$223=0,"N.D.",AI223/AI$223)</f>
        <v>1</v>
      </c>
      <c r="AK223" s="418">
        <f>AE223-AG223</f>
        <v>25.495859999999993</v>
      </c>
      <c r="AL223" s="471">
        <f>IF(AG223=0,"N.D.",AE223/AG223-1)</f>
        <v>3.6553204301075226E-2</v>
      </c>
      <c r="AM223" s="418">
        <f>AE223-AI223</f>
        <v>0.13715000000001965</v>
      </c>
      <c r="AN223" s="471">
        <f>IF(AI223=0,"N.D.",AE223/AI223-1)</f>
        <v>1.8973279024336875E-4</v>
      </c>
      <c r="AO223" s="175"/>
      <c r="BF223" s="290" t="s">
        <v>38</v>
      </c>
      <c r="BG223" s="418">
        <v>136</v>
      </c>
      <c r="BH223" s="417">
        <f>IF(BG$223=0,"N.D.",BG223/BG$223)</f>
        <v>1</v>
      </c>
      <c r="BI223" s="418">
        <f ca="1">INDIRECT(ADDRESS(MATCH(B220,BDPP!$B:$B,0)+6,MATCH(TEXT(EDATE(MES_CIERRE,1),"MMMM"),BDPP!$1:$1,0),,,"BDPP"))/1000</f>
        <v>116.4</v>
      </c>
      <c r="BJ223" s="417">
        <f ca="1">IF(BI$223=0,"N.D.",BI223/BI$223)</f>
        <v>1</v>
      </c>
      <c r="BK223" s="418">
        <f ca="1">INDIRECT(ADDRESS(MATCH(B220,INDIRECT("'"&amp;IF(MONTH(MES_CIERRE)=12,"ER ACT","ER AA")&amp;"'!$B:$B"),0)+1,MATCH(TEXT(EDATE(MES_CIERRE,1),"MMMM"),'ER AA'!$1:$1,0),,,IF(MONTH(MES_CIERRE)=12,"ER ACT","ER AA")))</f>
        <v>117.95889</v>
      </c>
      <c r="BL223" s="417">
        <f ca="1">IF(BK$223=0,"N.D.",BK223/BK$223)</f>
        <v>1</v>
      </c>
      <c r="BM223" s="418">
        <f ca="1">BG223-BI223</f>
        <v>19.599999999999994</v>
      </c>
      <c r="BN223" s="471">
        <f ca="1">IF(BI223=0,"N.D.",BG223/BI223-1)</f>
        <v>0.16838487972508576</v>
      </c>
      <c r="BO223" s="418">
        <f ca="1">BG223-BK223</f>
        <v>18.041110000000003</v>
      </c>
      <c r="BP223" s="471">
        <f ca="1">IF(BK223=0,"N.D.",BG223/BK223-1)</f>
        <v>0.15294404686242813</v>
      </c>
      <c r="BQ223" s="353"/>
    </row>
    <row r="224" spans="1:69" ht="12" customHeight="1" x14ac:dyDescent="0.25">
      <c r="A224" s="238"/>
      <c r="B224" t="s">
        <v>39</v>
      </c>
      <c r="C224" s="314">
        <v>0</v>
      </c>
      <c r="D224" s="414">
        <f>IF(C$223=0,"N.D.",C224/C$223)</f>
        <v>0</v>
      </c>
      <c r="E224" s="314">
        <v>0</v>
      </c>
      <c r="F224" s="414">
        <f>IF(E$223=0,"N.D.",E224/E$223)</f>
        <v>0</v>
      </c>
      <c r="G224" s="314">
        <v>0</v>
      </c>
      <c r="H224" s="414">
        <f>IF(G$223=0,"N.D.",G224/G$223)</f>
        <v>0</v>
      </c>
      <c r="I224" s="314">
        <f>C224-E224</f>
        <v>0</v>
      </c>
      <c r="J224" s="472" t="str">
        <f>IF(E224=0,"N.D.",C224/E224-1)</f>
        <v>N.D.</v>
      </c>
      <c r="K224" s="314">
        <f>C224-G224</f>
        <v>0</v>
      </c>
      <c r="L224" s="472" t="str">
        <f>IF(G224=0,"N.D.",C224/G224-1)</f>
        <v>N.D.</v>
      </c>
      <c r="M224" s="175"/>
      <c r="AD224" t="s">
        <v>39</v>
      </c>
      <c r="AE224" s="314">
        <v>0</v>
      </c>
      <c r="AF224" s="414">
        <f>IF(AE$223=0,"N.D.",AE224/AE$223)</f>
        <v>0</v>
      </c>
      <c r="AG224" s="314">
        <v>0</v>
      </c>
      <c r="AH224" s="414">
        <f>IF(AG$223=0,"N.D.",AG224/AG$223)</f>
        <v>0</v>
      </c>
      <c r="AI224" s="314">
        <v>0</v>
      </c>
      <c r="AJ224" s="414">
        <f>IF(AI$223=0,"N.D.",AI224/AI$223)</f>
        <v>0</v>
      </c>
      <c r="AK224" s="314">
        <f>AE224-AG224</f>
        <v>0</v>
      </c>
      <c r="AL224" s="472" t="str">
        <f>IF(AG224=0,"N.D.",AE224/AG224-1)</f>
        <v>N.D.</v>
      </c>
      <c r="AM224" s="314">
        <f>AE224-AI224</f>
        <v>0</v>
      </c>
      <c r="AN224" s="472" t="str">
        <f>IF(AI224=0,"N.D.",AE224/AI224-1)</f>
        <v>N.D.</v>
      </c>
      <c r="AO224" s="175"/>
      <c r="BF224" s="290" t="s">
        <v>39</v>
      </c>
      <c r="BG224" s="314">
        <v>0</v>
      </c>
      <c r="BH224" s="414">
        <f>IF(BG$223=0,"N.D.",BG224/BG$223)</f>
        <v>0</v>
      </c>
      <c r="BI224" s="460">
        <f ca="1">INDIRECT(ADDRESS(MATCH(B220,BDPP!$B:$B,0)+7,MATCH(TEXT(EDATE(MES_CIERRE,1),"MMMM"),BDPP!$1:$1,0),,,"BDPP"))/1000</f>
        <v>0</v>
      </c>
      <c r="BJ224" s="414">
        <f ca="1">IF(BI$223=0,"N.D.",BI224/BI$223)</f>
        <v>0</v>
      </c>
      <c r="BK224" s="460">
        <f ca="1">INDIRECT(ADDRESS(MATCH(B220,INDIRECT("'"&amp;IF(MONTH(MES_CIERRE)=12,"ER ACT","ER AA")&amp;"'!$B:$B"),0)+2,MATCH(TEXT(EDATE(MES_CIERRE,1),"MMMM"),'ER AA'!$1:$1,0),,,IF(MONTH(MES_CIERRE)=12,"ER ACT","ER AA")))</f>
        <v>0</v>
      </c>
      <c r="BL224" s="414">
        <f ca="1">IF(BK$223=0,"N.D.",BK224/BK$223)</f>
        <v>0</v>
      </c>
      <c r="BM224" s="314">
        <f ca="1">BG224-BI224</f>
        <v>0</v>
      </c>
      <c r="BN224" s="472" t="str">
        <f ca="1">IF(BI224=0,"N.D.",BG224/BI224-1)</f>
        <v>N.D.</v>
      </c>
      <c r="BO224" s="314">
        <f ca="1">BG224-BK224</f>
        <v>0</v>
      </c>
      <c r="BP224" s="472" t="str">
        <f ca="1">IF(BK224=0,"N.D.",BG224/BK224-1)</f>
        <v>N.D.</v>
      </c>
      <c r="BQ224" s="353"/>
    </row>
    <row r="225" spans="1:69" ht="12.5" hidden="1" customHeight="1" x14ac:dyDescent="0.25">
      <c r="A225" s="238"/>
      <c r="B225" t="s">
        <v>219</v>
      </c>
      <c r="C225" s="314">
        <v>0</v>
      </c>
      <c r="D225" s="414">
        <f>IF(C$223=0,"N.D.",C225/C$223)</f>
        <v>0</v>
      </c>
      <c r="E225" s="314">
        <v>0</v>
      </c>
      <c r="F225" s="414">
        <f>IF(E$223=0,"N.D.",E225/E$223)</f>
        <v>0</v>
      </c>
      <c r="G225" s="314">
        <v>0</v>
      </c>
      <c r="H225" s="414">
        <f>IF(G$223=0,"N.D.",G225/G$223)</f>
        <v>0</v>
      </c>
      <c r="I225" s="314">
        <f>C225-E225</f>
        <v>0</v>
      </c>
      <c r="J225" s="472" t="str">
        <f>IF(E225=0,"N.D.",C225/E225-1)</f>
        <v>N.D.</v>
      </c>
      <c r="K225" s="314">
        <f>C225-G225</f>
        <v>0</v>
      </c>
      <c r="L225" s="472" t="str">
        <f>IF(G225=0,"N.D.",C225/G225-1)</f>
        <v>N.D.</v>
      </c>
      <c r="M225" s="175"/>
      <c r="AD225" t="s">
        <v>219</v>
      </c>
      <c r="AE225" s="314">
        <v>0</v>
      </c>
      <c r="AF225" s="414">
        <f>IF(AE$223=0,"N.D.",AE225/AE$223)</f>
        <v>0</v>
      </c>
      <c r="AG225" s="314">
        <v>0</v>
      </c>
      <c r="AH225" s="414">
        <f>IF(AG$223=0,"N.D.",AG225/AG$223)</f>
        <v>0</v>
      </c>
      <c r="AI225" s="314">
        <v>0</v>
      </c>
      <c r="AJ225" s="414">
        <f>IF(AI$223=0,"N.D.",AI225/AI$223)</f>
        <v>0</v>
      </c>
      <c r="AK225" s="314">
        <f>AE225-AG225</f>
        <v>0</v>
      </c>
      <c r="AL225" s="472" t="str">
        <f>IF(AG225=0,"N.D.",AE225/AG225-1)</f>
        <v>N.D.</v>
      </c>
      <c r="AM225" s="314">
        <f>AE225-AI225</f>
        <v>0</v>
      </c>
      <c r="AN225" s="472" t="str">
        <f>IF(AI225=0,"N.D.",AE225/AI225-1)</f>
        <v>N.D.</v>
      </c>
      <c r="AO225" s="175"/>
      <c r="BF225" s="290" t="s">
        <v>219</v>
      </c>
      <c r="BG225" s="314">
        <v>0</v>
      </c>
      <c r="BH225" s="414">
        <f>IF(BG$223=0,"N.D.",BG225/BG$223)</f>
        <v>0</v>
      </c>
      <c r="BI225" s="314">
        <f>BDER!Y128/1000</f>
        <v>0</v>
      </c>
      <c r="BJ225" s="414">
        <f ca="1">IF(BI$223=0,"N.D.",BI225/BI$223)</f>
        <v>0</v>
      </c>
      <c r="BK225" s="314">
        <f>BDER!U128/1000</f>
        <v>0</v>
      </c>
      <c r="BL225" s="414">
        <f ca="1">IF(BK$223=0,"N.D.",BK225/BK$223)</f>
        <v>0</v>
      </c>
      <c r="BM225" s="314">
        <f>BG225-BI225</f>
        <v>0</v>
      </c>
      <c r="BN225" s="472" t="str">
        <f>IF(BI225=0,"N.D.",BG225/BI225-1)</f>
        <v>N.D.</v>
      </c>
      <c r="BO225" s="314">
        <f>BG225-BK225</f>
        <v>0</v>
      </c>
      <c r="BP225" s="472" t="str">
        <f>IF(BK225=0,"N.D.",BG225/BK225-1)</f>
        <v>N.D.</v>
      </c>
      <c r="BQ225" s="353"/>
    </row>
    <row r="226" spans="1:69" ht="12.5" customHeight="1" x14ac:dyDescent="0.3">
      <c r="A226" s="238"/>
      <c r="B226" t="s">
        <v>40</v>
      </c>
      <c r="C226" s="381">
        <f>C223-C224-C225</f>
        <v>130.23875000000001</v>
      </c>
      <c r="D226" s="415">
        <f>IF(C$223=0,"N.D.",C226/C$223)</f>
        <v>1</v>
      </c>
      <c r="E226" s="381">
        <f>E223-E224-E225</f>
        <v>116.3</v>
      </c>
      <c r="F226" s="415">
        <f>IF(E$223=0,"N.D.",E226/E$223)</f>
        <v>1</v>
      </c>
      <c r="G226" s="381">
        <f>G223-G224-G225</f>
        <v>117.95889</v>
      </c>
      <c r="H226" s="415">
        <f>IF(G$223=0,"N.D.",G226/G$223)</f>
        <v>1</v>
      </c>
      <c r="I226" s="381">
        <f>C226-E226</f>
        <v>13.938750000000013</v>
      </c>
      <c r="J226" s="402">
        <f>IF(E226=0,"N.D.",C226/E226-1)</f>
        <v>0.11985167669819452</v>
      </c>
      <c r="K226" s="381">
        <f>C226-G226</f>
        <v>12.279860000000014</v>
      </c>
      <c r="L226" s="402">
        <f>IF(G226=0,"N.D.",C226/G226-1)</f>
        <v>0.10410287855370637</v>
      </c>
      <c r="M226" s="175"/>
      <c r="AD226" t="s">
        <v>40</v>
      </c>
      <c r="AE226" s="381">
        <f>AE223-AE224-AE225</f>
        <v>722.99585999999999</v>
      </c>
      <c r="AF226" s="415">
        <f>IF(AE$223=0,"N.D.",AE226/AE$223)</f>
        <v>1</v>
      </c>
      <c r="AG226" s="381">
        <f>AG223-AG224-AG225</f>
        <v>697.5</v>
      </c>
      <c r="AH226" s="415">
        <f>IF(AG$223=0,"N.D.",AG226/AG$223)</f>
        <v>1</v>
      </c>
      <c r="AI226" s="381">
        <f>AI223-AI224-AI225</f>
        <v>722.85870999999997</v>
      </c>
      <c r="AJ226" s="415">
        <f>IF(AI$223=0,"N.D.",AI226/AI$223)</f>
        <v>1</v>
      </c>
      <c r="AK226" s="381">
        <f>AE226-AG226</f>
        <v>25.495859999999993</v>
      </c>
      <c r="AL226" s="402">
        <f>IF(AG226=0,"N.D.",AE226/AG226-1)</f>
        <v>3.6553204301075226E-2</v>
      </c>
      <c r="AM226" s="381">
        <f>AE226-AI226</f>
        <v>0.13715000000001965</v>
      </c>
      <c r="AN226" s="402">
        <f>IF(AI226=0,"N.D.",AE226/AI226-1)</f>
        <v>1.8973279024336875E-4</v>
      </c>
      <c r="AO226" s="175"/>
      <c r="BF226" s="290" t="s">
        <v>40</v>
      </c>
      <c r="BG226" s="381">
        <f>BG223-BG224-BG225</f>
        <v>136</v>
      </c>
      <c r="BH226" s="415">
        <f>IF(BG$223=0,"N.D.",BG226/BG$223)</f>
        <v>1</v>
      </c>
      <c r="BI226" s="381">
        <f ca="1">BI223-BI224-BI225</f>
        <v>116.4</v>
      </c>
      <c r="BJ226" s="415">
        <f ca="1">IF(BI$223=0,"N.D.",BI226/BI$223)</f>
        <v>1</v>
      </c>
      <c r="BK226" s="381">
        <f ca="1">BK223-BK224-BK225</f>
        <v>117.95889</v>
      </c>
      <c r="BL226" s="415">
        <f ca="1">IF(BK$223=0,"N.D.",BK226/BK$223)</f>
        <v>1</v>
      </c>
      <c r="BM226" s="381">
        <f ca="1">BG226-BI226</f>
        <v>19.599999999999994</v>
      </c>
      <c r="BN226" s="402">
        <f ca="1">IF(BI226=0,"N.D.",BG226/BI226-1)</f>
        <v>0.16838487972508576</v>
      </c>
      <c r="BO226" s="381">
        <f ca="1">BG226-BK226</f>
        <v>18.041110000000003</v>
      </c>
      <c r="BP226" s="402">
        <f ca="1">IF(BK226=0,"N.D.",BG226/BK226-1)</f>
        <v>0.15294404686242813</v>
      </c>
      <c r="BQ226" s="354"/>
    </row>
    <row r="227" spans="1:69" ht="12.5" customHeight="1" x14ac:dyDescent="0.25">
      <c r="A227" s="238"/>
      <c r="C227" s="419"/>
      <c r="D227" s="416"/>
      <c r="E227" s="419"/>
      <c r="F227" s="416"/>
      <c r="G227" s="419"/>
      <c r="H227" s="416"/>
      <c r="I227" s="419"/>
      <c r="J227" s="352"/>
      <c r="K227" s="419"/>
      <c r="L227" s="352"/>
      <c r="M227" s="175"/>
      <c r="AE227" s="419"/>
      <c r="AF227" s="416"/>
      <c r="AG227" s="419"/>
      <c r="AH227" s="416"/>
      <c r="AI227" s="419"/>
      <c r="AJ227" s="416"/>
      <c r="AK227" s="419"/>
      <c r="AL227" s="352"/>
      <c r="AM227" s="419"/>
      <c r="AN227" s="352"/>
      <c r="AO227" s="175"/>
      <c r="BG227" s="419"/>
      <c r="BH227" s="416"/>
      <c r="BI227" s="419"/>
      <c r="BJ227" s="416"/>
      <c r="BK227" s="419"/>
      <c r="BL227" s="416"/>
      <c r="BM227" s="419"/>
      <c r="BN227" s="352"/>
      <c r="BO227" s="419"/>
      <c r="BP227" s="352"/>
      <c r="BQ227" s="352"/>
    </row>
    <row r="228" spans="1:69" ht="12.5" customHeight="1" x14ac:dyDescent="0.25">
      <c r="A228" s="238"/>
      <c r="B228" t="s">
        <v>41</v>
      </c>
      <c r="C228" s="418">
        <f>BDER!D163/1000</f>
        <v>21.58905</v>
      </c>
      <c r="D228" s="417">
        <f>IF(C$223=0,"N.D.",C228/C$223)</f>
        <v>0.16576518125365913</v>
      </c>
      <c r="E228" s="418">
        <f>BDER!L163/1000</f>
        <v>6.2</v>
      </c>
      <c r="F228" s="417">
        <f>IF(E$223=0,"N.D.",E228/E$223)</f>
        <v>5.3310404127257099E-2</v>
      </c>
      <c r="G228" s="418">
        <f>BDER!F163/1000</f>
        <v>6.2828900000000001</v>
      </c>
      <c r="H228" s="417">
        <f>IF(G$223=0,"N.D.",G228/G$223)</f>
        <v>5.3263386930819716E-2</v>
      </c>
      <c r="I228" s="418">
        <f>C228-E228</f>
        <v>15.389050000000001</v>
      </c>
      <c r="J228" s="471">
        <f>IF(E228=0,"N.D.",C228/E228-1)</f>
        <v>2.4821048387096774</v>
      </c>
      <c r="K228" s="418">
        <f>C228-G228</f>
        <v>15.30616</v>
      </c>
      <c r="L228" s="471">
        <f>IF(G228=0,"N.D.",C228/G228-1)</f>
        <v>2.4361655225541115</v>
      </c>
      <c r="M228" s="175"/>
      <c r="AD228" t="s">
        <v>41</v>
      </c>
      <c r="AE228" s="418">
        <f>BDER!E163/1000</f>
        <v>67.03358999999999</v>
      </c>
      <c r="AF228" s="417">
        <f>IF(AE$223=0,"N.D.",AE228/AE$223)</f>
        <v>9.271642302350111E-2</v>
      </c>
      <c r="AG228" s="418">
        <f>BDER!M163/1000</f>
        <v>37.200000000000003</v>
      </c>
      <c r="AH228" s="417">
        <f>IF(AG$223=0,"N.D.",AG228/AG$223)</f>
        <v>5.3333333333333337E-2</v>
      </c>
      <c r="AI228" s="418">
        <f>BDER!I163/1000</f>
        <v>54.216560000000001</v>
      </c>
      <c r="AJ228" s="417">
        <f>IF(AI$223=0,"N.D.",AI228/AI$223)</f>
        <v>7.5002983639776574E-2</v>
      </c>
      <c r="AK228" s="418">
        <f>AE228-AG228</f>
        <v>29.833589999999987</v>
      </c>
      <c r="AL228" s="471">
        <f>IF(AG228=0,"N.D.",AE228/AG228-1)</f>
        <v>0.80197822580645117</v>
      </c>
      <c r="AM228" s="418">
        <f>AE228-AI228</f>
        <v>12.817029999999988</v>
      </c>
      <c r="AN228" s="471">
        <f>IF(AI228=0,"N.D.",AE228/AI228-1)</f>
        <v>0.23640433845304809</v>
      </c>
      <c r="AO228" s="175"/>
      <c r="BF228" s="290" t="s">
        <v>41</v>
      </c>
      <c r="BG228" s="418">
        <v>6</v>
      </c>
      <c r="BH228" s="417">
        <f>IF(BG$223=0,"N.D.",BG228/BG$223)</f>
        <v>4.4117647058823532E-2</v>
      </c>
      <c r="BI228" s="418">
        <f ca="1">INDIRECT(ADDRESS(MATCH(B220,BDPP!$B:$B,0)+10,MATCH(TEXT(EDATE(MES_CIERRE,1),"MMMM"),BDPP!$1:$1,0),,,"BDPP"))/1000</f>
        <v>6.2</v>
      </c>
      <c r="BJ228" s="417">
        <f ca="1">IF(BI$223=0,"N.D.",BI228/BI$223)</f>
        <v>5.3264604810996562E-2</v>
      </c>
      <c r="BK228" s="418">
        <f ca="1">INDIRECT(ADDRESS(MATCH(B220,INDIRECT("'"&amp;IF(MONTH(MES_CIERRE)=10,"ER ACT","ER AA")&amp;"'!$B:$B"),0)+6,MATCH(TEXT(EDATE(MES_CIERRE,1),"MMMM"),'ER AA'!$1:$1,0),,,IF(MONTH(MES_CIERRE)=12,"ER ACT","ER AA")))</f>
        <v>6.2828900000000001</v>
      </c>
      <c r="BL228" s="417">
        <f ca="1">IF(BK$223=0,"N.D.",BK228/BK$223)</f>
        <v>5.3263386930819716E-2</v>
      </c>
      <c r="BM228" s="418">
        <f ca="1">BG228-BI228</f>
        <v>-0.20000000000000018</v>
      </c>
      <c r="BN228" s="471">
        <f ca="1">IF(BI228=0,"N.D.",BG228/BI228-1)</f>
        <v>-3.2258064516129115E-2</v>
      </c>
      <c r="BO228" s="418">
        <f ca="1">BG228-BK228</f>
        <v>-0.28289000000000009</v>
      </c>
      <c r="BP228" s="471">
        <f ca="1">IF(BK228=0,"N.D.",BG228/BK228-1)</f>
        <v>-4.5025458029664733E-2</v>
      </c>
      <c r="BQ228" s="353"/>
    </row>
    <row r="229" spans="1:69" ht="12.5" customHeight="1" x14ac:dyDescent="0.25">
      <c r="A229" s="238"/>
      <c r="B229" t="s">
        <v>42</v>
      </c>
      <c r="C229" s="314">
        <f>BDER!D164/1000</f>
        <v>2.2620000000000001E-2</v>
      </c>
      <c r="D229" s="414">
        <f>IF(C$223=0,"N.D.",C229/C$223)</f>
        <v>1.7368102811183306E-4</v>
      </c>
      <c r="E229" s="314">
        <f>BDER!L164/1000</f>
        <v>4.25</v>
      </c>
      <c r="F229" s="414">
        <f>IF(E$223=0,"N.D.",E229/E$223)</f>
        <v>3.6543422184006878E-2</v>
      </c>
      <c r="G229" s="314">
        <f>BDER!F164/1000</f>
        <v>2.0809999999999999E-2</v>
      </c>
      <c r="H229" s="414">
        <f>IF(G$223=0,"N.D.",G229/G$223)</f>
        <v>1.7641739422946418E-4</v>
      </c>
      <c r="I229" s="314">
        <f>C229-E229</f>
        <v>-4.2273800000000001</v>
      </c>
      <c r="J229" s="472">
        <f>IF(E229=0,"N.D.",C229/E229-1)</f>
        <v>-0.99467764705882356</v>
      </c>
      <c r="K229" s="314">
        <f>C229-G229</f>
        <v>1.8100000000000026E-3</v>
      </c>
      <c r="L229" s="472">
        <f>IF(G229=0,"N.D.",C229/G229-1)</f>
        <v>8.6977414704469069E-2</v>
      </c>
      <c r="M229" s="175"/>
      <c r="AD229" t="s">
        <v>42</v>
      </c>
      <c r="AE229" s="314">
        <f>BDER!E164/1000</f>
        <v>0.10747</v>
      </c>
      <c r="AF229" s="414">
        <f>IF(AE$223=0,"N.D.",AE229/AE$223)</f>
        <v>1.4864538781729676E-4</v>
      </c>
      <c r="AG229" s="314">
        <f>BDER!M164/1000</f>
        <v>25.5</v>
      </c>
      <c r="AH229" s="414">
        <f>IF(AG$223=0,"N.D.",AG229/AG$223)</f>
        <v>3.6559139784946237E-2</v>
      </c>
      <c r="AI229" s="314">
        <f>BDER!I164/1000</f>
        <v>2.1167500000000001</v>
      </c>
      <c r="AJ229" s="414">
        <f>IF(AI$223=0,"N.D.",AI229/AI$223)</f>
        <v>2.9283039281632231E-3</v>
      </c>
      <c r="AK229" s="314">
        <f>AE236-AG229</f>
        <v>166.79217</v>
      </c>
      <c r="AL229" s="472">
        <f>IF(AG229=0,"N.D.",AE236/AG229-1)</f>
        <v>6.5408694117647057</v>
      </c>
      <c r="AM229" s="314">
        <f>AE236-AI236</f>
        <v>36.037210000000016</v>
      </c>
      <c r="AN229" s="472">
        <f>IF(AI236=0,"N.D.",AE236/AI236-1)</f>
        <v>0.23063082285515946</v>
      </c>
      <c r="AO229" s="175"/>
      <c r="BF229" s="290" t="s">
        <v>42</v>
      </c>
      <c r="BG229" s="570">
        <v>10</v>
      </c>
      <c r="BH229" s="414">
        <f>IF(BG$223=0,"N.D.",BG229/BG$223)</f>
        <v>7.3529411764705885E-2</v>
      </c>
      <c r="BI229" s="314">
        <f ca="1">INDIRECT(ADDRESS(MATCH(B220,BDPP!$B:$B,0)+11,MATCH(TEXT(EDATE(MES_CIERRE,1),"MMMM"),BDPP!$1:$1,0),,,"BDPP"))/1000</f>
        <v>4.25</v>
      </c>
      <c r="BJ229" s="414">
        <f ca="1">IF(BI$223=0,"N.D.",BI229/BI$223)</f>
        <v>3.651202749140893E-2</v>
      </c>
      <c r="BK229" s="314">
        <f ca="1">INDIRECT(ADDRESS(MATCH(B220,INDIRECT("'"&amp;IF(MONTH(MES_CIERRE)=10,"ER ACT","ER AA")&amp;"'!$B:$B"),0)+7,MATCH(TEXT(EDATE(MES_CIERRE,1),"MMMM"),'ER AA'!$1:$1,0),,,IF(MONTH(MES_CIERRE)=12,"ER ACT","ER AA")))</f>
        <v>2.0809999999999999E-2</v>
      </c>
      <c r="BL229" s="414">
        <f ca="1">IF(BK$223=0,"N.D.",BK229/BK$223)</f>
        <v>1.7641739422946418E-4</v>
      </c>
      <c r="BM229" s="418">
        <f ca="1">BG229-BI229</f>
        <v>5.75</v>
      </c>
      <c r="BN229" s="471">
        <f ca="1">IF(BI229=0,"N.D.",BG229/BI229-1)</f>
        <v>1.3529411764705883</v>
      </c>
      <c r="BO229" s="418">
        <f ca="1">BG229-BK229</f>
        <v>9.9791899999999991</v>
      </c>
      <c r="BP229" s="472">
        <f ca="1">IF(BK236=0,"N.D.",BG236/BK236-1)</f>
        <v>0.70107866106681027</v>
      </c>
      <c r="BQ229" s="353"/>
    </row>
    <row r="230" spans="1:69" ht="12.5" customHeight="1" x14ac:dyDescent="0.25">
      <c r="A230" s="238"/>
      <c r="B230" t="s">
        <v>43</v>
      </c>
      <c r="C230" s="460">
        <f>BDER!D165/1000</f>
        <v>21.002410000000001</v>
      </c>
      <c r="D230" s="491">
        <f>IF(C$223=0,"N.D.",C230/C$223)</f>
        <v>0.16126083826818055</v>
      </c>
      <c r="E230" s="460">
        <f>BDER!L165/1000</f>
        <v>21.1</v>
      </c>
      <c r="F230" s="491">
        <f>IF(E$223=0,"N.D.",E230/E$223)</f>
        <v>0.18142734307824593</v>
      </c>
      <c r="G230" s="460">
        <f>BDER!F165/1000</f>
        <v>41.507330000000003</v>
      </c>
      <c r="H230" s="491">
        <f>IF(G$223=0,"N.D.",G230/G$223)</f>
        <v>0.35187962518128141</v>
      </c>
      <c r="I230" s="460">
        <f>C230-E230</f>
        <v>-9.7590000000000288E-2</v>
      </c>
      <c r="J230" s="474">
        <f>IF(E230=0,"N.D.",C230/E230-1)</f>
        <v>-4.6251184834122938E-3</v>
      </c>
      <c r="K230" s="460">
        <f>C230-G230</f>
        <v>-20.504920000000002</v>
      </c>
      <c r="L230" s="474">
        <f>IF(G230=0,"N.D.",C230/G230-1)</f>
        <v>-0.49400720306509716</v>
      </c>
      <c r="M230" s="175"/>
      <c r="AD230" t="s">
        <v>43</v>
      </c>
      <c r="AE230" s="460">
        <f>BDER!E165/1000</f>
        <v>126.01446</v>
      </c>
      <c r="AF230" s="491">
        <f>IF(AE$223=0,"N.D.",AE230/AE$223)</f>
        <v>0.1742948569581021</v>
      </c>
      <c r="AG230" s="460">
        <f>BDER!M165/1000</f>
        <v>126.6</v>
      </c>
      <c r="AH230" s="491">
        <f>IF(AG$223=0,"N.D.",AG230/AG$223)</f>
        <v>0.18150537634408601</v>
      </c>
      <c r="AI230" s="460">
        <f>BDER!I165/1000</f>
        <v>249.04398</v>
      </c>
      <c r="AJ230" s="491">
        <f>IF(AI$223=0,"N.D.",AI230/AI$223)</f>
        <v>0.34452649813128766</v>
      </c>
      <c r="AK230" s="314">
        <f>AE230-AG230</f>
        <v>-0.58553999999999462</v>
      </c>
      <c r="AL230" s="472">
        <f>IF(AG230=0,"N.D.",AE230/AG230-1)</f>
        <v>-4.6251184834122938E-3</v>
      </c>
      <c r="AM230" s="314">
        <f>AE230-AI230</f>
        <v>-123.02952000000001</v>
      </c>
      <c r="AN230" s="472">
        <f>IF(AI230=0,"N.D.",AE230/AI230-1)</f>
        <v>-0.49400720306509716</v>
      </c>
      <c r="AO230" s="175"/>
      <c r="BF230" s="290" t="s">
        <v>43</v>
      </c>
      <c r="BG230" s="572">
        <v>21</v>
      </c>
      <c r="BH230" s="491">
        <f>IF(BG$223=0,"N.D.",BG230/BG$223)</f>
        <v>0.15441176470588236</v>
      </c>
      <c r="BI230" s="314">
        <f ca="1">INDIRECT(ADDRESS(MATCH(B220,BDPP!$B:$B,0)+12,MATCH(TEXT(EDATE(MES_CIERRE,1),"MMMM"),BDPP!$1:$1,0),,,"BDPP"))/1000</f>
        <v>21.1</v>
      </c>
      <c r="BJ230" s="491">
        <f ca="1">IF(BI$223=0,"N.D.",BI230/BI$223)</f>
        <v>0.18127147766323023</v>
      </c>
      <c r="BK230" s="314">
        <f ca="1">INDIRECT(ADDRESS(MATCH(B220,INDIRECT("'"&amp;IF(MONTH(MES_CIERRE)=10,"ER ACT","ER AA")&amp;"'!$B:$B"),0)+8,MATCH(TEXT(EDATE(MES_CIERRE,1),"MMMM"),'ER AA'!$1:$1,0),,,IF(MONTH(MES_CIERRE)=12,"ER ACT","ER AA")))</f>
        <v>41.507330000000003</v>
      </c>
      <c r="BL230" s="491">
        <f ca="1">IF(BK$223=0,"N.D.",BK230/BK$223)</f>
        <v>0.35187962518128141</v>
      </c>
      <c r="BM230" s="314">
        <f ca="1">BG230-BI230</f>
        <v>-0.10000000000000142</v>
      </c>
      <c r="BN230" s="472">
        <f ca="1">IF(BI230=0,"N.D.",BG230/BI230-1)</f>
        <v>-4.7393364928910442E-3</v>
      </c>
      <c r="BO230" s="314">
        <f ca="1">BG230-BK230</f>
        <v>-20.507330000000003</v>
      </c>
      <c r="BP230" s="472">
        <f ca="1">IF(BK230=0,"N.D.",BG230/BK230-1)</f>
        <v>-0.49406526509895965</v>
      </c>
      <c r="BQ230" s="353"/>
    </row>
    <row r="231" spans="1:69" ht="12.5" customHeight="1" x14ac:dyDescent="0.3">
      <c r="A231" s="238"/>
      <c r="B231" t="s">
        <v>44</v>
      </c>
      <c r="C231" s="381">
        <f>C228+C229+C230</f>
        <v>42.614080000000001</v>
      </c>
      <c r="D231" s="415">
        <f>IF(C$223=0,"N.D.",C231/C$223)</f>
        <v>0.32719970054995151</v>
      </c>
      <c r="E231" s="381">
        <f>E228+E229+E230</f>
        <v>31.55</v>
      </c>
      <c r="F231" s="415">
        <f>IF(E$223=0,"N.D.",E231/E$223)</f>
        <v>0.27128116938950991</v>
      </c>
      <c r="G231" s="381">
        <f>G228+G229+G230</f>
        <v>47.811030000000002</v>
      </c>
      <c r="H231" s="415">
        <f>IF(G$223=0,"N.D.",G231/G$223)</f>
        <v>0.4053194295063306</v>
      </c>
      <c r="I231" s="381">
        <f>C231-E231</f>
        <v>11.064080000000001</v>
      </c>
      <c r="J231" s="402">
        <f>IF(E231=0,"N.D.",C231/E231-1)</f>
        <v>0.3506839936608559</v>
      </c>
      <c r="K231" s="381">
        <f>C231-G231</f>
        <v>-5.1969500000000011</v>
      </c>
      <c r="L231" s="402">
        <f>IF(G231=0,"N.D.",C231/G231-1)</f>
        <v>-0.10869772100705632</v>
      </c>
      <c r="M231" s="175"/>
      <c r="AD231" t="s">
        <v>44</v>
      </c>
      <c r="AE231" s="381">
        <f>AE228+AE229+AE230</f>
        <v>193.15552</v>
      </c>
      <c r="AF231" s="415">
        <f>IF(AE$223=0,"N.D.",AE231/AE$223)</f>
        <v>0.26715992536942051</v>
      </c>
      <c r="AG231" s="381">
        <f>AG228+AG229+AG230</f>
        <v>189.3</v>
      </c>
      <c r="AH231" s="415">
        <f>IF(AG$223=0,"N.D.",AG231/AG$223)</f>
        <v>0.27139784946236561</v>
      </c>
      <c r="AI231" s="381">
        <f>AI228+AI229+AI230</f>
        <v>305.37729000000002</v>
      </c>
      <c r="AJ231" s="415">
        <f>IF(AI$223=0,"N.D.",AI231/AI$223)</f>
        <v>0.42245778569922748</v>
      </c>
      <c r="AK231" s="381">
        <f>AE231-AG231</f>
        <v>3.8555199999999843</v>
      </c>
      <c r="AL231" s="402">
        <f>IF(AG231=0,"N.D.",AE231/AG231-1)</f>
        <v>2.0367247754886408E-2</v>
      </c>
      <c r="AM231" s="381">
        <f>AE231-AI231</f>
        <v>-112.22177000000002</v>
      </c>
      <c r="AN231" s="402">
        <f>IF(AI231=0,"N.D.",AE231/AI231-1)</f>
        <v>-0.36748564374253245</v>
      </c>
      <c r="AO231" s="175"/>
      <c r="BF231" s="290" t="s">
        <v>44</v>
      </c>
      <c r="BG231" s="106">
        <f>BG228+BG229+BG230</f>
        <v>37</v>
      </c>
      <c r="BH231" s="415">
        <f>IF(BG$223=0,"N.D.",BG231/BG$223)</f>
        <v>0.27205882352941174</v>
      </c>
      <c r="BI231" s="381">
        <f ca="1">BI228+BI229+BI230</f>
        <v>31.55</v>
      </c>
      <c r="BJ231" s="415">
        <f ca="1">IF(BI$223=0,"N.D.",BI231/BI$223)</f>
        <v>0.27104810996563572</v>
      </c>
      <c r="BK231" s="381">
        <f ca="1">BK228+BK229+BK230</f>
        <v>47.811030000000002</v>
      </c>
      <c r="BL231" s="415">
        <f ca="1">IF(BK$223=0,"N.D.",BK231/BK$223)</f>
        <v>0.4053194295063306</v>
      </c>
      <c r="BM231" s="381">
        <f ca="1">BG231-BI231</f>
        <v>5.4499999999999993</v>
      </c>
      <c r="BN231" s="402">
        <f ca="1">IF(BI231=0,"N.D.",BG231/BI231-1)</f>
        <v>0.17274167987321709</v>
      </c>
      <c r="BO231" s="381">
        <f ca="1">BG231-BK231</f>
        <v>-10.811030000000002</v>
      </c>
      <c r="BP231" s="402">
        <f ca="1">IF(BK231=0,"N.D.",BG231/BK231-1)</f>
        <v>-0.22611999783313608</v>
      </c>
      <c r="BQ231" s="354"/>
    </row>
    <row r="232" spans="1:69" ht="12.5" customHeight="1" x14ac:dyDescent="0.3">
      <c r="A232" s="238"/>
      <c r="B232" t="s">
        <v>45</v>
      </c>
      <c r="C232" s="381">
        <f>C226-C231</f>
        <v>87.624670000000009</v>
      </c>
      <c r="D232" s="415">
        <f>IF(C$223=0,"N.D.",C232/C$223)</f>
        <v>0.67280029945004849</v>
      </c>
      <c r="E232" s="381">
        <f>E226-E231</f>
        <v>84.75</v>
      </c>
      <c r="F232" s="415">
        <f>IF(E$223=0,"N.D.",E232/E$223)</f>
        <v>0.72871883061049014</v>
      </c>
      <c r="G232" s="381">
        <f>G226-G231</f>
        <v>70.147859999999994</v>
      </c>
      <c r="H232" s="415">
        <f>IF(G$223=0,"N.D.",G232/G$223)</f>
        <v>0.5946805704936694</v>
      </c>
      <c r="I232" s="381">
        <f>C232-E232</f>
        <v>2.8746700000000089</v>
      </c>
      <c r="J232" s="402">
        <f>IF(E232=0,"N.D.",C232/E232-1)</f>
        <v>3.3919410029498609E-2</v>
      </c>
      <c r="K232" s="381">
        <f>C232-G232</f>
        <v>17.476810000000015</v>
      </c>
      <c r="L232" s="402">
        <f>IF(G232=0,"N.D.",C232/G232-1)</f>
        <v>0.24914245423880388</v>
      </c>
      <c r="M232" s="175"/>
      <c r="AD232" t="s">
        <v>45</v>
      </c>
      <c r="AE232" s="381">
        <f>AE226-AE231</f>
        <v>529.84033999999997</v>
      </c>
      <c r="AF232" s="415">
        <f>IF(AE$223=0,"N.D.",AE232/AE$223)</f>
        <v>0.73284007463057943</v>
      </c>
      <c r="AG232" s="381">
        <f>AG226-AG231</f>
        <v>508.2</v>
      </c>
      <c r="AH232" s="415">
        <f>IF(AG$223=0,"N.D.",AG232/AG$223)</f>
        <v>0.72860215053763444</v>
      </c>
      <c r="AI232" s="381">
        <f>AI226-AI231</f>
        <v>417.48141999999996</v>
      </c>
      <c r="AJ232" s="415">
        <f>IF(AI$223=0,"N.D.",AI232/AI$223)</f>
        <v>0.57754221430077246</v>
      </c>
      <c r="AK232" s="381">
        <f>AE232-AG232</f>
        <v>21.640339999999981</v>
      </c>
      <c r="AL232" s="402">
        <f>IF(AG232=0,"N.D.",AE232/AG232-1)</f>
        <v>4.2582329791420737E-2</v>
      </c>
      <c r="AM232" s="381">
        <f>AE232-AI232</f>
        <v>112.35892000000001</v>
      </c>
      <c r="AN232" s="402">
        <f>IF(AI232=0,"N.D.",AE232/AI232-1)</f>
        <v>0.26913513899612584</v>
      </c>
      <c r="AO232" s="175"/>
      <c r="BF232" s="290" t="s">
        <v>45</v>
      </c>
      <c r="BG232" s="106">
        <f>BG226-BG231</f>
        <v>99</v>
      </c>
      <c r="BH232" s="415">
        <f>IF(BG$223=0,"N.D.",BG232/BG$223)</f>
        <v>0.7279411764705882</v>
      </c>
      <c r="BI232" s="381">
        <f ca="1">BI226-BI231</f>
        <v>84.850000000000009</v>
      </c>
      <c r="BJ232" s="415">
        <f ca="1">IF(BI$223=0,"N.D.",BI232/BI$223)</f>
        <v>0.72895189003436434</v>
      </c>
      <c r="BK232" s="381">
        <f ca="1">BK226-BK231</f>
        <v>70.147859999999994</v>
      </c>
      <c r="BL232" s="415">
        <f ca="1">IF(BK$223=0,"N.D.",BK232/BK$223)</f>
        <v>0.5946805704936694</v>
      </c>
      <c r="BM232" s="381">
        <f ca="1">BG232-BI232</f>
        <v>14.149999999999991</v>
      </c>
      <c r="BN232" s="402">
        <f ca="1">IF(BI232=0,"N.D.",BG232/BI232-1)</f>
        <v>0.16676487919858562</v>
      </c>
      <c r="BO232" s="381">
        <f ca="1">BG232-BK232</f>
        <v>28.852140000000006</v>
      </c>
      <c r="BP232" s="402">
        <f ca="1">IF(BK232=0,"N.D.",BG232/BK232-1)</f>
        <v>0.41130463566529341</v>
      </c>
      <c r="BQ232" s="354"/>
    </row>
    <row r="233" spans="1:69" ht="12.5" customHeight="1" x14ac:dyDescent="0.25">
      <c r="A233" s="238"/>
      <c r="C233" s="437"/>
      <c r="D233" s="487"/>
      <c r="E233" s="437"/>
      <c r="F233" s="487"/>
      <c r="G233" s="437"/>
      <c r="H233" s="487"/>
      <c r="I233" s="437"/>
      <c r="J233" s="473"/>
      <c r="K233" s="437"/>
      <c r="L233" s="473"/>
      <c r="M233" s="175"/>
      <c r="AE233" s="437"/>
      <c r="AF233" s="487"/>
      <c r="AG233" s="437"/>
      <c r="AH233" s="487"/>
      <c r="AI233" s="437"/>
      <c r="AJ233" s="487"/>
      <c r="AK233" s="437"/>
      <c r="AL233" s="473"/>
      <c r="AM233" s="437"/>
      <c r="AN233" s="473"/>
      <c r="AO233" s="175"/>
      <c r="BG233" s="571"/>
      <c r="BH233" s="487"/>
      <c r="BI233" s="437"/>
      <c r="BJ233" s="487"/>
      <c r="BK233" s="437"/>
      <c r="BL233" s="487"/>
      <c r="BM233" s="437"/>
      <c r="BN233" s="473"/>
      <c r="BO233" s="437"/>
      <c r="BP233" s="473"/>
      <c r="BQ233" s="352"/>
    </row>
    <row r="234" spans="1:69" ht="12.5" hidden="1" customHeight="1" x14ac:dyDescent="0.25">
      <c r="A234" s="238"/>
      <c r="C234" s="418"/>
      <c r="D234" s="417"/>
      <c r="E234" s="418"/>
      <c r="F234" s="417"/>
      <c r="G234" s="418"/>
      <c r="H234" s="417"/>
      <c r="I234" s="418"/>
      <c r="J234" s="471"/>
      <c r="K234" s="418"/>
      <c r="L234" s="471"/>
      <c r="M234" s="175"/>
      <c r="AE234" s="418"/>
      <c r="AF234" s="417"/>
      <c r="AG234" s="418"/>
      <c r="AH234" s="417"/>
      <c r="AI234" s="418"/>
      <c r="AJ234" s="417"/>
      <c r="AK234" s="418"/>
      <c r="AL234" s="471"/>
      <c r="AM234" s="418"/>
      <c r="AN234" s="471"/>
      <c r="AO234" s="175"/>
      <c r="BG234" s="569"/>
      <c r="BH234" s="417"/>
      <c r="BI234" s="418">
        <f ca="1">INDIRECT(ADDRESS(MATCH(B220,BDPP!$B:$B,0)+15,MATCH(TEXT(EDATE(MES_CIERRE,1),"MMMM"),BDPP!$1:$1,0),,,"BDPP"))/1000</f>
        <v>0</v>
      </c>
      <c r="BJ234" s="417"/>
      <c r="BK234" s="418">
        <f ca="1">INDIRECT(ADDRESS(MATCH(B220,INDIRECT("'"&amp;IF(MONTH(MES_CIERRE)=10,"ER ACT","ER AA")&amp;"'!$B:$B"),0)+12,MATCH(TEXT(EDATE(MES_CIERRE,1),"MMMM"),'ER AA'!$1:$1,0),,,IF(MONTH(MES_CIERRE)=12,"ER ACT","ER AA")))</f>
        <v>0</v>
      </c>
      <c r="BL234" s="417"/>
      <c r="BM234" s="418"/>
      <c r="BN234" s="471"/>
      <c r="BO234" s="418"/>
      <c r="BP234" s="471"/>
      <c r="BQ234" s="353"/>
    </row>
    <row r="235" spans="1:69" ht="12.5" customHeight="1" x14ac:dyDescent="0.25">
      <c r="A235" s="238"/>
      <c r="B235" t="s">
        <v>52</v>
      </c>
      <c r="C235" s="314">
        <f>BDER!D169/1000</f>
        <v>0.37423000000000001</v>
      </c>
      <c r="D235" s="414">
        <f>IF(C$223=0,"N.D.",C235/C$223)</f>
        <v>2.8734151702162372E-3</v>
      </c>
      <c r="E235" s="314">
        <f>BDER!L169/1000</f>
        <v>0</v>
      </c>
      <c r="F235" s="414">
        <f>IF(E$223=0,"N.D.",E235/E$223)</f>
        <v>0</v>
      </c>
      <c r="G235" s="314">
        <f>BDER!F169/1000</f>
        <v>-0.67200000000000004</v>
      </c>
      <c r="H235" s="414">
        <f>IF(G$223=0,"N.D.",G235/G$223)</f>
        <v>-5.6968999962614102E-3</v>
      </c>
      <c r="I235" s="314">
        <f t="shared" ref="I235:I240" si="229">C235-E235</f>
        <v>0.37423000000000001</v>
      </c>
      <c r="J235" s="472" t="str">
        <f t="shared" ref="J235:J240" si="230">IF(E235=0,"N.D.",C235/E235-1)</f>
        <v>N.D.</v>
      </c>
      <c r="K235" s="314">
        <f t="shared" ref="K235:K240" si="231">C235-G235</f>
        <v>1.04623</v>
      </c>
      <c r="L235" s="472">
        <f t="shared" ref="L235:L240" si="232">IF(G235=0,"N.D.",C235/G235-1)</f>
        <v>-1.5568898809523808</v>
      </c>
      <c r="M235" s="175"/>
      <c r="AD235" t="s">
        <v>52</v>
      </c>
      <c r="AE235" s="314">
        <f>BDER!E169/1000</f>
        <v>1.93024</v>
      </c>
      <c r="AF235" s="414">
        <f>IF(AE$223=0,"N.D.",AE235/AE$223)</f>
        <v>2.6697801561408664E-3</v>
      </c>
      <c r="AG235" s="314">
        <f>BDER!M169/1000</f>
        <v>0</v>
      </c>
      <c r="AH235" s="414">
        <f>IF(AG$223=0,"N.D.",AG235/AG$223)</f>
        <v>0</v>
      </c>
      <c r="AI235" s="314">
        <f>BDER!I169/1000</f>
        <v>-0.85699999999999998</v>
      </c>
      <c r="AJ235" s="414">
        <f>IF(AI$223=0,"N.D.",AI235/AI$223)</f>
        <v>-1.1855705522314313E-3</v>
      </c>
      <c r="AK235" s="314">
        <f>AE235-AG235</f>
        <v>1.93024</v>
      </c>
      <c r="AL235" s="472" t="str">
        <f>IF(AG235=0,"N.D.",AE235/AG235-1)</f>
        <v>N.D.</v>
      </c>
      <c r="AM235" s="314">
        <f>AE235-AI236</f>
        <v>-154.32471999999999</v>
      </c>
      <c r="AN235" s="472">
        <f>IF(AI236=0,"N.D.",AE235/AI236-1)</f>
        <v>-0.9876468561381988</v>
      </c>
      <c r="AO235" s="175"/>
      <c r="BF235" s="290" t="s">
        <v>52</v>
      </c>
      <c r="BG235" s="570">
        <v>0</v>
      </c>
      <c r="BH235" s="414">
        <f>IF(BG$223=0,"N.D.",BG235/BG$223)</f>
        <v>0</v>
      </c>
      <c r="BI235" s="314">
        <f ca="1">INDIRECT(ADDRESS(MATCH(B220,BDPP!$B:$B,0)+16,MATCH(TEXT(EDATE(MES_CIERRE,1),"MMMM"),BDPP!$1:$1,0),,,"BDPP"))/1000</f>
        <v>0</v>
      </c>
      <c r="BJ235" s="414">
        <f ca="1">IF(BI$223=0,"N.D.",BI235/BI$223)</f>
        <v>0</v>
      </c>
      <c r="BK235" s="314">
        <f ca="1">INDIRECT(ADDRESS(MATCH(B220,INDIRECT("'"&amp;IF(MONTH(MES_CIERRE)=10,"ER ACT","ER AA")&amp;"'!$B:$B"),0)+13,MATCH(TEXT(EDATE(MES_CIERRE,1),"MMMM"),'ER AA'!$1:$1,0),,,IF(MONTH(MES_CIERRE)=12,"ER ACT","ER AA")))</f>
        <v>-0.67200000000000004</v>
      </c>
      <c r="BL235" s="414">
        <f ca="1">IF(BK$223=0,"N.D.",BK235/BK$223)</f>
        <v>-5.6968999962614102E-3</v>
      </c>
      <c r="BM235" s="314">
        <f ca="1">BG235-BI235</f>
        <v>0</v>
      </c>
      <c r="BN235" s="472" t="str">
        <f ca="1">IF(BI235=0,"N.D.",BG235/BI235-1)</f>
        <v>N.D.</v>
      </c>
      <c r="BO235" s="314">
        <f ca="1">BG235-BK235</f>
        <v>0.67200000000000004</v>
      </c>
      <c r="BP235" s="472">
        <f ca="1">IF(BK236=0,"N.D.",BG235/BK236-1)</f>
        <v>-1</v>
      </c>
      <c r="BQ235" s="353"/>
    </row>
    <row r="236" spans="1:69" ht="12.5" customHeight="1" x14ac:dyDescent="0.25">
      <c r="A236" s="238"/>
      <c r="B236" t="s">
        <v>184</v>
      </c>
      <c r="C236" s="314">
        <f>BDER!D170/1000</f>
        <v>29.46116</v>
      </c>
      <c r="D236" s="414">
        <f>IF(C$223=0,"N.D.",C236/C$223)</f>
        <v>0.22620886640880689</v>
      </c>
      <c r="E236" s="314">
        <f>BDER!L170/1000</f>
        <v>26.018999999999998</v>
      </c>
      <c r="F236" s="414">
        <f>IF(E$223=0,"N.D.",E236/E$223)</f>
        <v>0.2237231298366294</v>
      </c>
      <c r="G236" s="314">
        <f>BDER!F170/1000</f>
        <v>28.217389999999998</v>
      </c>
      <c r="H236" s="414">
        <f>IF(G$223=0,"N.D.",G236/G$223)</f>
        <v>0.23921376337128977</v>
      </c>
      <c r="I236" s="314">
        <f t="shared" si="229"/>
        <v>3.4421600000000012</v>
      </c>
      <c r="J236" s="472">
        <f t="shared" si="230"/>
        <v>0.13229409277835424</v>
      </c>
      <c r="K236" s="314">
        <f>C236-G236</f>
        <v>1.2437700000000014</v>
      </c>
      <c r="L236" s="472">
        <f>IF(G236=0,"N.D.",C236/G236-1)</f>
        <v>4.4078137630730652E-2</v>
      </c>
      <c r="M236" s="175"/>
      <c r="AD236" t="s">
        <v>184</v>
      </c>
      <c r="AE236" s="314">
        <f>BDER!E170/1000</f>
        <v>192.29217</v>
      </c>
      <c r="AF236" s="414">
        <f>IF(AE$223=0,"N.D.",AE236/AE$223)</f>
        <v>0.26596579681659588</v>
      </c>
      <c r="AG236" s="314">
        <f>BDER!M170/1000</f>
        <v>159.709</v>
      </c>
      <c r="AH236" s="414">
        <f>IF(AG$223=0,"N.D.",AG236/AG$223)</f>
        <v>0.22897347670250898</v>
      </c>
      <c r="AI236" s="314">
        <f>BDER!I170/1000</f>
        <v>156.25495999999998</v>
      </c>
      <c r="AJ236" s="414">
        <f>IF(AI$223=0,"N.D.",AI236/AI$223)</f>
        <v>0.21616251950536777</v>
      </c>
      <c r="AK236" s="314">
        <f>AE236-AG236</f>
        <v>32.583169999999996</v>
      </c>
      <c r="AL236" s="472">
        <f>IF(AG236=0,"N.D.",AE236/AG236-1)</f>
        <v>0.20401586635693669</v>
      </c>
      <c r="AM236" s="314">
        <f>AE236-AI237</f>
        <v>192.29217</v>
      </c>
      <c r="AN236" s="472" t="str">
        <f>IF(AI237=0,"N.D.",AE236/AI237-1)</f>
        <v>N.D.</v>
      </c>
      <c r="AO236" s="175"/>
      <c r="BF236" s="290" t="s">
        <v>184</v>
      </c>
      <c r="BG236" s="570">
        <v>48</v>
      </c>
      <c r="BH236" s="414">
        <f>IF(BG$223=0,"N.D.",BG236/BG$223)</f>
        <v>0.35294117647058826</v>
      </c>
      <c r="BI236" s="314">
        <f ca="1">INDIRECT(ADDRESS(MATCH(B220,BDPP!$B:$B,0)+17,MATCH(TEXT(EDATE(MES_CIERRE,1),"MMMM"),BDPP!$1:$1,0),,,"BDPP"))/1000</f>
        <v>25.846</v>
      </c>
      <c r="BJ236" s="414">
        <f ca="1">IF(BI$223=0,"N.D.",BI236/BI$223)</f>
        <v>0.2220446735395189</v>
      </c>
      <c r="BK236" s="314">
        <f ca="1">INDIRECT(ADDRESS(MATCH(B220,INDIRECT("'"&amp;IF(MONTH(MES_CIERRE)=10,"ER ACT","ER AA")&amp;"'!$B:$B"),0)+14,MATCH(TEXT(EDATE(MES_CIERRE,1),"MMMM"),'ER AA'!$1:$1,0),,,IF(MONTH(MES_CIERRE)=12,"ER ACT","ER AA")))</f>
        <v>28.217389999999998</v>
      </c>
      <c r="BL236" s="414">
        <f ca="1">IF(BK$223=0,"N.D.",BK236/BK$223)</f>
        <v>0.23921376337128977</v>
      </c>
      <c r="BM236" s="314">
        <f ca="1">BG236-BI236</f>
        <v>22.154</v>
      </c>
      <c r="BN236" s="472">
        <f ca="1">IF(BI236=0,"N.D.",BG236/BI236-1)</f>
        <v>0.85715391163042631</v>
      </c>
      <c r="BO236" s="314">
        <f ca="1">BG236-BK236</f>
        <v>19.782610000000002</v>
      </c>
      <c r="BP236" s="472" t="str">
        <f ca="1">IF(BK237=0,"N.D.",BG236/BK237-1)</f>
        <v>N.D.</v>
      </c>
      <c r="BQ236" s="353"/>
    </row>
    <row r="237" spans="1:69" ht="12.5" customHeight="1" x14ac:dyDescent="0.25">
      <c r="A237" s="238"/>
      <c r="B237" t="s">
        <v>47</v>
      </c>
      <c r="C237" s="314">
        <f>BDER!D171/1000</f>
        <v>0</v>
      </c>
      <c r="D237" s="414">
        <f>IF(C$223=0,"N.D.",C237/C$223)</f>
        <v>0</v>
      </c>
      <c r="E237" s="314">
        <f>BDER!L171/1000</f>
        <v>0</v>
      </c>
      <c r="F237" s="414">
        <f>IF(E$223=0,"N.D.",E237/E$223)</f>
        <v>0</v>
      </c>
      <c r="G237" s="314">
        <f>BDER!F171/1000</f>
        <v>0</v>
      </c>
      <c r="H237" s="414">
        <f>IF(G$223=0,"N.D.",G237/G$223)</f>
        <v>0</v>
      </c>
      <c r="I237" s="314">
        <f t="shared" si="229"/>
        <v>0</v>
      </c>
      <c r="J237" s="472" t="str">
        <f t="shared" si="230"/>
        <v>N.D.</v>
      </c>
      <c r="K237" s="314">
        <f t="shared" si="231"/>
        <v>0</v>
      </c>
      <c r="L237" s="472" t="str">
        <f t="shared" si="232"/>
        <v>N.D.</v>
      </c>
      <c r="M237" s="175"/>
      <c r="AD237" t="s">
        <v>47</v>
      </c>
      <c r="AE237" s="314">
        <f>BDER!E171/1000</f>
        <v>0</v>
      </c>
      <c r="AF237" s="414">
        <f>IF(AE$223=0,"N.D.",AE237/AE$223)</f>
        <v>0</v>
      </c>
      <c r="AG237" s="314">
        <f>BDER!M171/1000</f>
        <v>0</v>
      </c>
      <c r="AH237" s="414">
        <f>IF(AG$223=0,"N.D.",AG237/AG$223)</f>
        <v>0</v>
      </c>
      <c r="AI237" s="314">
        <f>BDER!I171/1000</f>
        <v>0</v>
      </c>
      <c r="AJ237" s="414">
        <f>IF(AI$223=0,"N.D.",AI237/AI$223)</f>
        <v>0</v>
      </c>
      <c r="AK237" s="314">
        <f>AE237-AG237</f>
        <v>0</v>
      </c>
      <c r="AL237" s="472" t="str">
        <f>IF(AG237=0,"N.D.",AE237/AG237-1)</f>
        <v>N.D.</v>
      </c>
      <c r="AM237" s="314">
        <f>AE237-AI238</f>
        <v>0</v>
      </c>
      <c r="AN237" s="472" t="str">
        <f>IF(AI238=0,"N.D.",AE237/AI238-1)</f>
        <v>N.D.</v>
      </c>
      <c r="AO237" s="175"/>
      <c r="BF237" s="290" t="s">
        <v>47</v>
      </c>
      <c r="BG237" s="570">
        <v>0</v>
      </c>
      <c r="BH237" s="414">
        <f>IF(BG$223=0,"N.D.",BG237/BG$223)</f>
        <v>0</v>
      </c>
      <c r="BI237" s="314">
        <f ca="1">INDIRECT(ADDRESS(MATCH(B220,BDPP!$B:$B,0)+18,MATCH(TEXT(EDATE(MES_CIERRE,1),"MMMM"),BDPP!$1:$1,0),,,"BDPP"))/1000</f>
        <v>0</v>
      </c>
      <c r="BJ237" s="414">
        <f ca="1">IF(BI$223=0,"N.D.",BI237/BI$223)</f>
        <v>0</v>
      </c>
      <c r="BK237" s="314">
        <f ca="1">INDIRECT(ADDRESS(MATCH(B220,INDIRECT("'"&amp;IF(MONTH(MES_CIERRE)=10,"ER ACT","ER AA")&amp;"'!$B:$B"),0)+15,MATCH(TEXT(EDATE(MES_CIERRE,1),"MMMM"),'ER AA'!$1:$1,0),,,IF(MONTH(MES_CIERRE)=12,"ER ACT","ER AA")))</f>
        <v>0</v>
      </c>
      <c r="BL237" s="414">
        <f ca="1">IF(BK$223=0,"N.D.",BK237/BK$223)</f>
        <v>0</v>
      </c>
      <c r="BM237" s="314">
        <f ca="1">BG237-BI237</f>
        <v>0</v>
      </c>
      <c r="BN237" s="472" t="str">
        <f ca="1">IF(BI237=0,"N.D.",BG237/BI237-1)</f>
        <v>N.D.</v>
      </c>
      <c r="BO237" s="314">
        <f ca="1">BG237-BK237</f>
        <v>0</v>
      </c>
      <c r="BP237" s="472" t="str">
        <f>IF(BK238=0,"N.D.",BG237/BK238-1)</f>
        <v>N.D.</v>
      </c>
      <c r="BQ237" s="353"/>
    </row>
    <row r="238" spans="1:69" ht="12.5" hidden="1" customHeight="1" x14ac:dyDescent="0.25">
      <c r="A238" s="238"/>
      <c r="C238" s="314"/>
      <c r="D238" s="414"/>
      <c r="E238" s="314"/>
      <c r="F238" s="414"/>
      <c r="G238" s="314"/>
      <c r="H238" s="414"/>
      <c r="I238" s="314"/>
      <c r="J238" s="472"/>
      <c r="K238" s="314"/>
      <c r="L238" s="472"/>
      <c r="M238" s="175"/>
      <c r="AE238" s="314"/>
      <c r="AF238" s="414"/>
      <c r="AG238" s="314"/>
      <c r="AH238" s="414"/>
      <c r="AI238" s="314"/>
      <c r="AJ238" s="414"/>
      <c r="AK238" s="460"/>
      <c r="AL238" s="474"/>
      <c r="AM238" s="460"/>
      <c r="AN238" s="474"/>
      <c r="AO238" s="175"/>
      <c r="BG238" s="570"/>
      <c r="BH238" s="414"/>
      <c r="BI238" s="314"/>
      <c r="BJ238" s="414"/>
      <c r="BK238" s="314"/>
      <c r="BL238" s="414"/>
      <c r="BM238" s="460"/>
      <c r="BN238" s="474"/>
      <c r="BO238" s="460"/>
      <c r="BP238" s="474"/>
      <c r="BQ238" s="353"/>
    </row>
    <row r="239" spans="1:69" ht="12.5" customHeight="1" x14ac:dyDescent="0.3">
      <c r="A239" s="238"/>
      <c r="B239" t="s">
        <v>48</v>
      </c>
      <c r="C239" s="381">
        <f>+C235+C236</f>
        <v>29.83539</v>
      </c>
      <c r="D239" s="415">
        <f>IF(C$223=0,"N.D.",C239/C$223)</f>
        <v>0.22908228157902313</v>
      </c>
      <c r="E239" s="381">
        <f>+E235+E236</f>
        <v>26.018999999999998</v>
      </c>
      <c r="F239" s="415">
        <f>IF(E$223=0,"N.D.",E239/E$223)</f>
        <v>0.2237231298366294</v>
      </c>
      <c r="G239" s="381">
        <f>+G235+G236</f>
        <v>27.545389999999998</v>
      </c>
      <c r="H239" s="415">
        <f>IF(G$223=0,"N.D.",G239/G$223)</f>
        <v>0.23351686337502836</v>
      </c>
      <c r="I239" s="381">
        <f t="shared" si="229"/>
        <v>3.8163900000000019</v>
      </c>
      <c r="J239" s="402">
        <f t="shared" si="230"/>
        <v>0.14667704369883561</v>
      </c>
      <c r="K239" s="381">
        <f t="shared" si="231"/>
        <v>2.2900000000000027</v>
      </c>
      <c r="L239" s="402">
        <f t="shared" si="232"/>
        <v>8.3135508337329966E-2</v>
      </c>
      <c r="M239" s="175"/>
      <c r="AD239" t="s">
        <v>48</v>
      </c>
      <c r="AE239" s="381">
        <f>+AE235+AE236</f>
        <v>194.22241</v>
      </c>
      <c r="AF239" s="415">
        <f>IF(AE$223=0,"N.D.",AE239/AE$223)</f>
        <v>0.26863557697273677</v>
      </c>
      <c r="AG239" s="381">
        <f>+AG235+AG236</f>
        <v>159.709</v>
      </c>
      <c r="AH239" s="415">
        <f>IF(AG$223=0,"N.D.",AG239/AG$223)</f>
        <v>0.22897347670250898</v>
      </c>
      <c r="AI239" s="381">
        <f>+AI235+AI236</f>
        <v>155.39795999999998</v>
      </c>
      <c r="AJ239" s="415">
        <f>IF(AI$223=0,"N.D.",AI239/AI$223)</f>
        <v>0.21497694895313635</v>
      </c>
      <c r="AK239" s="381">
        <f>AE239-AG239</f>
        <v>34.513409999999993</v>
      </c>
      <c r="AL239" s="402">
        <f>IF(AG239=0,"N.D.",AE239/AG239-1)</f>
        <v>0.21610184773556895</v>
      </c>
      <c r="AM239" s="381">
        <f>AE239-AI239</f>
        <v>38.824450000000013</v>
      </c>
      <c r="AN239" s="402">
        <f>IF(AI239=0,"N.D.",AE239/AI239-1)</f>
        <v>0.24983886532358612</v>
      </c>
      <c r="AO239" s="175"/>
      <c r="BF239" s="290" t="s">
        <v>48</v>
      </c>
      <c r="BG239" s="106">
        <f>+BG235+BG236</f>
        <v>48</v>
      </c>
      <c r="BH239" s="415">
        <f>IF(BG$223=0,"N.D.",BG239/BG$223)</f>
        <v>0.35294117647058826</v>
      </c>
      <c r="BI239" s="381">
        <f ca="1">+BI235+BI236</f>
        <v>25.846</v>
      </c>
      <c r="BJ239" s="415">
        <f ca="1">IF(BI$223=0,"N.D.",BI239/BI$223)</f>
        <v>0.2220446735395189</v>
      </c>
      <c r="BK239" s="381">
        <f ca="1">+BK235+BK236</f>
        <v>27.545389999999998</v>
      </c>
      <c r="BL239" s="415">
        <f ca="1">IF(BK$223=0,"N.D.",BK239/BK$223)</f>
        <v>0.23351686337502836</v>
      </c>
      <c r="BM239" s="381">
        <f ca="1">BG239-BI239</f>
        <v>22.154</v>
      </c>
      <c r="BN239" s="402">
        <f ca="1">IF(BI239=0,"N.D.",BG239/BI239-1)</f>
        <v>0.85715391163042631</v>
      </c>
      <c r="BO239" s="381">
        <f ca="1">BG239-BK239</f>
        <v>20.454610000000002</v>
      </c>
      <c r="BP239" s="402">
        <f ca="1">IF(BK239=0,"N.D.",BG239/BK239-1)</f>
        <v>0.74257834069512185</v>
      </c>
      <c r="BQ239" s="354"/>
    </row>
    <row r="240" spans="1:69" ht="12.5" customHeight="1" x14ac:dyDescent="0.3">
      <c r="A240" s="238"/>
      <c r="B240" t="s">
        <v>49</v>
      </c>
      <c r="C240" s="381">
        <f>C232-C239</f>
        <v>57.789280000000005</v>
      </c>
      <c r="D240" s="415">
        <f>IF(C$223=0,"N.D.",C240/C$223)</f>
        <v>0.44371801787102533</v>
      </c>
      <c r="E240" s="381">
        <f>E232-E239</f>
        <v>58.731000000000002</v>
      </c>
      <c r="F240" s="415">
        <f>IF(E$223=0,"N.D.",E240/E$223)</f>
        <v>0.50499570077386069</v>
      </c>
      <c r="G240" s="381">
        <f>G232-G239</f>
        <v>42.602469999999997</v>
      </c>
      <c r="H240" s="415">
        <f>IF(G$223=0,"N.D.",G240/G$223)</f>
        <v>0.36116370711864104</v>
      </c>
      <c r="I240" s="381">
        <f t="shared" si="229"/>
        <v>-0.94171999999999656</v>
      </c>
      <c r="J240" s="402">
        <f t="shared" si="230"/>
        <v>-1.6034462209054801E-2</v>
      </c>
      <c r="K240" s="381">
        <f t="shared" si="231"/>
        <v>15.186810000000008</v>
      </c>
      <c r="L240" s="402">
        <f t="shared" si="232"/>
        <v>0.35647721833968804</v>
      </c>
      <c r="M240" s="175"/>
      <c r="AD240" t="s">
        <v>49</v>
      </c>
      <c r="AE240" s="381">
        <f>AE232-AE239</f>
        <v>335.61793</v>
      </c>
      <c r="AF240" s="415">
        <f>IF(AE$223=0,"N.D.",AE240/AE$223)</f>
        <v>0.46420449765784277</v>
      </c>
      <c r="AG240" s="381">
        <f>AG232-AG239</f>
        <v>348.49099999999999</v>
      </c>
      <c r="AH240" s="415">
        <f>IF(AG$223=0,"N.D.",AG240/AG$223)</f>
        <v>0.49962867383512544</v>
      </c>
      <c r="AI240" s="381">
        <f>AI232-AI239</f>
        <v>262.08345999999995</v>
      </c>
      <c r="AJ240" s="415">
        <f>IF(AI$223=0,"N.D.",AI240/AI$223)</f>
        <v>0.36256526534763611</v>
      </c>
      <c r="AK240" s="381">
        <f>AE240-AG240</f>
        <v>-12.873069999999984</v>
      </c>
      <c r="AL240" s="402">
        <f>IF(AG240=0,"N.D.",AE240/AG240-1)</f>
        <v>-3.6939461851238531E-2</v>
      </c>
      <c r="AM240" s="381">
        <f>AE240-AI240</f>
        <v>73.534470000000056</v>
      </c>
      <c r="AN240" s="402">
        <f>IF(AI240=0,"N.D.",AE240/AI240-1)</f>
        <v>0.28057653848129172</v>
      </c>
      <c r="AO240" s="175"/>
      <c r="BF240" s="290" t="s">
        <v>49</v>
      </c>
      <c r="BG240" s="106">
        <f>BG232-BG239</f>
        <v>51</v>
      </c>
      <c r="BH240" s="415">
        <f>IF(BG$223=0,"N.D.",BG240/BG$223)</f>
        <v>0.375</v>
      </c>
      <c r="BI240" s="381">
        <f ca="1">BI232-BI239</f>
        <v>59.004000000000005</v>
      </c>
      <c r="BJ240" s="415">
        <f ca="1">IF(BI$223=0,"N.D.",BI240/BI$223)</f>
        <v>0.50690721649484538</v>
      </c>
      <c r="BK240" s="381">
        <f ca="1">BK232-BK239</f>
        <v>42.602469999999997</v>
      </c>
      <c r="BL240" s="415">
        <f ca="1">IF(BK$223=0,"N.D.",BK240/BK$223)</f>
        <v>0.36116370711864104</v>
      </c>
      <c r="BM240" s="381">
        <f ca="1">BG240-BI240</f>
        <v>-8.0040000000000049</v>
      </c>
      <c r="BN240" s="402">
        <f ca="1">IF(BI240=0,"N.D.",BG240/BI240-1)</f>
        <v>-0.13565182021557864</v>
      </c>
      <c r="BO240" s="381">
        <f ca="1">BG240-BK240</f>
        <v>8.3975300000000033</v>
      </c>
      <c r="BP240" s="402">
        <f ca="1">IF(BK240=0,"N.D.",BG240/BK240-1)</f>
        <v>0.19711368847862576</v>
      </c>
      <c r="BQ240" s="354"/>
    </row>
    <row r="241" spans="1:69" ht="12.5" customHeight="1" x14ac:dyDescent="0.25">
      <c r="A241" s="238"/>
      <c r="C241" s="419"/>
      <c r="D241" s="416"/>
      <c r="E241" s="419"/>
      <c r="F241" s="416"/>
      <c r="G241" s="419"/>
      <c r="H241" s="416"/>
      <c r="I241" s="419"/>
      <c r="J241" s="352"/>
      <c r="K241" s="419"/>
      <c r="L241" s="352"/>
      <c r="M241" s="175"/>
      <c r="AE241" s="419"/>
      <c r="AF241" s="416"/>
      <c r="AG241" s="419"/>
      <c r="AH241" s="416"/>
      <c r="AI241" s="419"/>
      <c r="AJ241" s="416"/>
      <c r="AK241" s="419"/>
      <c r="AL241" s="352"/>
      <c r="AM241" s="419"/>
      <c r="AN241" s="352"/>
      <c r="AO241" s="175"/>
      <c r="BG241" s="568"/>
      <c r="BH241" s="416"/>
      <c r="BI241" s="419"/>
      <c r="BJ241" s="416"/>
      <c r="BK241" s="419"/>
      <c r="BL241" s="416"/>
      <c r="BM241" s="419"/>
      <c r="BN241" s="352"/>
      <c r="BO241" s="419"/>
      <c r="BP241" s="352"/>
      <c r="BQ241" s="352"/>
    </row>
    <row r="242" spans="1:69" ht="12.5" customHeight="1" x14ac:dyDescent="0.25">
      <c r="A242" s="238"/>
      <c r="B242" t="s">
        <v>50</v>
      </c>
      <c r="C242" s="418">
        <f>BDER!D175/1000</f>
        <v>0</v>
      </c>
      <c r="D242" s="417">
        <f>IF(C$223=0,"N.D.",C242/C$223)</f>
        <v>0</v>
      </c>
      <c r="E242" s="418">
        <f>BDER!L175/1000</f>
        <v>0</v>
      </c>
      <c r="F242" s="417">
        <f>IF(E$223=0,"N.D.",E242/E$223)</f>
        <v>0</v>
      </c>
      <c r="G242" s="418">
        <f>BDER!F175/1000</f>
        <v>0</v>
      </c>
      <c r="H242" s="417">
        <f>IF(G$223=0,"N.D.",G242/G$223)</f>
        <v>0</v>
      </c>
      <c r="I242" s="418">
        <f t="shared" ref="I242:I250" si="233">C242-E242</f>
        <v>0</v>
      </c>
      <c r="J242" s="471" t="str">
        <f t="shared" ref="J242:J250" si="234">IF(E242=0,"N.D.",C242/E242-1)</f>
        <v>N.D.</v>
      </c>
      <c r="K242" s="418">
        <f t="shared" ref="K242:K250" si="235">C242-G242</f>
        <v>0</v>
      </c>
      <c r="L242" s="471" t="str">
        <f t="shared" ref="L242:L250" si="236">IF(G242=0,"N.D.",C242/G242-1)</f>
        <v>N.D.</v>
      </c>
      <c r="M242" s="175"/>
      <c r="AD242" t="s">
        <v>50</v>
      </c>
      <c r="AE242" s="418">
        <f>BDER!E175/1000</f>
        <v>0</v>
      </c>
      <c r="AF242" s="417">
        <f>IF(AE$223=0,"N.D.",AE242/AE$223)</f>
        <v>0</v>
      </c>
      <c r="AG242" s="418">
        <f>BDER!M175/1000</f>
        <v>0</v>
      </c>
      <c r="AH242" s="417">
        <f>IF(AG$223=0,"N.D.",AG242/AG$223)</f>
        <v>0</v>
      </c>
      <c r="AI242" s="418">
        <f>BDER!I175/1000</f>
        <v>0</v>
      </c>
      <c r="AJ242" s="417">
        <f>IF(AI$223=0,"N.D.",AI242/AI$223)</f>
        <v>0</v>
      </c>
      <c r="AK242" s="418">
        <f t="shared" ref="AK242:AK250" si="237">AE242-AG242</f>
        <v>0</v>
      </c>
      <c r="AL242" s="471" t="str">
        <f t="shared" ref="AL242:AL250" si="238">IF(AG242=0,"N.D.",AE242/AG242-1)</f>
        <v>N.D.</v>
      </c>
      <c r="AM242" s="418">
        <f t="shared" ref="AM242:AM250" si="239">AE242-AI242</f>
        <v>0</v>
      </c>
      <c r="AN242" s="471" t="str">
        <f t="shared" ref="AN242:AN250" si="240">IF(AI242=0,"N.D.",AE242/AI242-1)</f>
        <v>N.D.</v>
      </c>
      <c r="AO242" s="175"/>
      <c r="BF242" s="290" t="s">
        <v>50</v>
      </c>
      <c r="BG242" s="569">
        <v>0</v>
      </c>
      <c r="BH242" s="417">
        <f>IF(BG$223=0,"N.D.",BG242/BG$223)</f>
        <v>0</v>
      </c>
      <c r="BI242" s="418">
        <f ca="1">INDIRECT(ADDRESS(MATCH(B220,BDPP!$B:$B,0)+22,MATCH(TEXT(EDATE(MES_CIERRE,1),"MMMM"),BDPP!$1:$1,0),,,"BDPP"))/1000</f>
        <v>0</v>
      </c>
      <c r="BJ242" s="417">
        <f ca="1">IF(BI$223=0,"N.D.",BI242/BI$223)</f>
        <v>0</v>
      </c>
      <c r="BK242" s="418">
        <f ca="1">INDIRECT(ADDRESS(MATCH(B220,INDIRECT("'"&amp;IF(MONTH(MES_CIERRE)=10,"ER ACT","ER AA")&amp;"'!$B:$B"),0)+20,MATCH(TEXT(EDATE(MES_CIERRE,1),"MMMM"),'ER AA'!$1:$1,0),,,IF(MONTH(MES_CIERRE)=12,"ER ACT","ER AA")))</f>
        <v>0</v>
      </c>
      <c r="BL242" s="417">
        <f ca="1">IF(BK$223=0,"N.D.",BK242/BK$223)</f>
        <v>0</v>
      </c>
      <c r="BM242" s="418">
        <f t="shared" ref="BM242:BM250" ca="1" si="241">BG242-BI242</f>
        <v>0</v>
      </c>
      <c r="BN242" s="471" t="str">
        <f t="shared" ref="BN242:BN250" ca="1" si="242">IF(BI242=0,"N.D.",BG242/BI242-1)</f>
        <v>N.D.</v>
      </c>
      <c r="BO242" s="418">
        <f t="shared" ref="BO242:BO250" ca="1" si="243">BG242-BK242</f>
        <v>0</v>
      </c>
      <c r="BP242" s="471" t="str">
        <f t="shared" ref="BP242:BP250" ca="1" si="244">IF(BK242=0,"N.D.",BG242/BK242-1)</f>
        <v>N.D.</v>
      </c>
      <c r="BQ242" s="353"/>
    </row>
    <row r="243" spans="1:69" ht="12.5" customHeight="1" x14ac:dyDescent="0.25">
      <c r="A243" s="238"/>
      <c r="B243" t="s">
        <v>51</v>
      </c>
      <c r="C243" s="314">
        <f>BDER!D176/1000</f>
        <v>0</v>
      </c>
      <c r="D243" s="414">
        <f>IF(C$223=0,"N.D.",C243/C$223)</f>
        <v>0</v>
      </c>
      <c r="E243" s="314">
        <f>BDER!L176/1000</f>
        <v>0</v>
      </c>
      <c r="F243" s="414">
        <f>IF(E$223=0,"N.D.",E243/E$223)</f>
        <v>0</v>
      </c>
      <c r="G243" s="314">
        <f>BDER!F176/1000</f>
        <v>0</v>
      </c>
      <c r="H243" s="414">
        <f>IF(G$223=0,"N.D.",G243/G$223)</f>
        <v>0</v>
      </c>
      <c r="I243" s="314">
        <f t="shared" si="233"/>
        <v>0</v>
      </c>
      <c r="J243" s="472" t="str">
        <f t="shared" si="234"/>
        <v>N.D.</v>
      </c>
      <c r="K243" s="314">
        <f t="shared" si="235"/>
        <v>0</v>
      </c>
      <c r="L243" s="472" t="str">
        <f t="shared" si="236"/>
        <v>N.D.</v>
      </c>
      <c r="M243" s="175"/>
      <c r="AD243" t="s">
        <v>51</v>
      </c>
      <c r="AE243" s="314">
        <f>BDER!E176/1000</f>
        <v>0</v>
      </c>
      <c r="AF243" s="414">
        <f>IF(AE$223=0,"N.D.",AE243/AE$223)</f>
        <v>0</v>
      </c>
      <c r="AG243" s="314">
        <f>BDER!M176/1000</f>
        <v>0</v>
      </c>
      <c r="AH243" s="414">
        <f>IF(AG$223=0,"N.D.",AG243/AG$223)</f>
        <v>0</v>
      </c>
      <c r="AI243" s="314">
        <f>BDER!I176/1000</f>
        <v>0</v>
      </c>
      <c r="AJ243" s="414">
        <f>IF(AI$223=0,"N.D.",AI243/AI$223)</f>
        <v>0</v>
      </c>
      <c r="AK243" s="314">
        <f t="shared" si="237"/>
        <v>0</v>
      </c>
      <c r="AL243" s="472" t="str">
        <f t="shared" si="238"/>
        <v>N.D.</v>
      </c>
      <c r="AM243" s="314">
        <f t="shared" si="239"/>
        <v>0</v>
      </c>
      <c r="AN243" s="472" t="str">
        <f t="shared" si="240"/>
        <v>N.D.</v>
      </c>
      <c r="AO243" s="175"/>
      <c r="BF243" s="290" t="s">
        <v>51</v>
      </c>
      <c r="BG243" s="570">
        <v>0</v>
      </c>
      <c r="BH243" s="414">
        <f>IF(BG$223=0,"N.D.",BG243/BG$223)</f>
        <v>0</v>
      </c>
      <c r="BI243" s="314">
        <f ca="1">INDIRECT(ADDRESS(MATCH(B220,BDPP!$B:$B,0)+23,MATCH(TEXT(EDATE(MES_CIERRE,1),"MMMM"),BDPP!$1:$1,0),,,"BDPP"))/1000</f>
        <v>0</v>
      </c>
      <c r="BJ243" s="414">
        <f ca="1">IF(BI$223=0,"N.D.",BI243/BI$223)</f>
        <v>0</v>
      </c>
      <c r="BK243" s="314">
        <f ca="1">INDIRECT(ADDRESS(MATCH(B220,INDIRECT("'"&amp;IF(MONTH(MES_CIERRE)=10,"ER ACT","ER AA")&amp;"'!$B:$B"),0)+21,MATCH(TEXT(EDATE(MES_CIERRE,1),"MMMM"),'ER AA'!$1:$1,0),,,IF(MONTH(MES_CIERRE)=12,"ER ACT","ER AA")))</f>
        <v>0</v>
      </c>
      <c r="BL243" s="414">
        <f ca="1">IF(BK$223=0,"N.D.",BK243/BK$223)</f>
        <v>0</v>
      </c>
      <c r="BM243" s="314">
        <f t="shared" ca="1" si="241"/>
        <v>0</v>
      </c>
      <c r="BN243" s="472" t="str">
        <f t="shared" ca="1" si="242"/>
        <v>N.D.</v>
      </c>
      <c r="BO243" s="314">
        <f t="shared" ca="1" si="243"/>
        <v>0</v>
      </c>
      <c r="BP243" s="472" t="str">
        <f t="shared" ca="1" si="244"/>
        <v>N.D.</v>
      </c>
      <c r="BQ243" s="353"/>
    </row>
    <row r="244" spans="1:69" ht="12.5" customHeight="1" x14ac:dyDescent="0.3">
      <c r="A244" s="238"/>
      <c r="B244" t="s">
        <v>53</v>
      </c>
      <c r="C244" s="381">
        <f>C240-C242-C243</f>
        <v>57.789280000000005</v>
      </c>
      <c r="D244" s="415">
        <f>IF(C$223=0,"N.D.",C244/C$223)</f>
        <v>0.44371801787102533</v>
      </c>
      <c r="E244" s="381">
        <f>E240-E242-E243</f>
        <v>58.731000000000002</v>
      </c>
      <c r="F244" s="415">
        <f>IF(E$223=0,"N.D.",E244/E$223)</f>
        <v>0.50499570077386069</v>
      </c>
      <c r="G244" s="381">
        <f>G240-G242-G243</f>
        <v>42.602469999999997</v>
      </c>
      <c r="H244" s="415">
        <f>IF(G$223=0,"N.D.",G244/G$223)</f>
        <v>0.36116370711864104</v>
      </c>
      <c r="I244" s="381">
        <f t="shared" si="233"/>
        <v>-0.94171999999999656</v>
      </c>
      <c r="J244" s="402">
        <f t="shared" si="234"/>
        <v>-1.6034462209054801E-2</v>
      </c>
      <c r="K244" s="381">
        <f t="shared" si="235"/>
        <v>15.186810000000008</v>
      </c>
      <c r="L244" s="402">
        <f t="shared" si="236"/>
        <v>0.35647721833968804</v>
      </c>
      <c r="M244" s="175"/>
      <c r="AD244" t="s">
        <v>53</v>
      </c>
      <c r="AE244" s="381">
        <f>AE240-AE242-AE243</f>
        <v>335.61793</v>
      </c>
      <c r="AF244" s="415">
        <f>IF(AE$223=0,"N.D.",AE244/AE$223)</f>
        <v>0.46420449765784277</v>
      </c>
      <c r="AG244" s="381">
        <f>AG240-AG242-AG243</f>
        <v>348.49099999999999</v>
      </c>
      <c r="AH244" s="415">
        <f>IF(AG$223=0,"N.D.",AG244/AG$223)</f>
        <v>0.49962867383512544</v>
      </c>
      <c r="AI244" s="381">
        <f>AI240-AI242-AI243</f>
        <v>262.08345999999995</v>
      </c>
      <c r="AJ244" s="415">
        <f>IF(AI$223=0,"N.D.",AI244/AI$223)</f>
        <v>0.36256526534763611</v>
      </c>
      <c r="AK244" s="381">
        <f t="shared" si="237"/>
        <v>-12.873069999999984</v>
      </c>
      <c r="AL244" s="402">
        <f t="shared" si="238"/>
        <v>-3.6939461851238531E-2</v>
      </c>
      <c r="AM244" s="381">
        <f t="shared" si="239"/>
        <v>73.534470000000056</v>
      </c>
      <c r="AN244" s="402">
        <f t="shared" si="240"/>
        <v>0.28057653848129172</v>
      </c>
      <c r="AO244" s="175"/>
      <c r="BF244" s="290" t="s">
        <v>53</v>
      </c>
      <c r="BG244" s="106">
        <f>BG240-BG242-BG243</f>
        <v>51</v>
      </c>
      <c r="BH244" s="415">
        <f>IF(BG$223=0,"N.D.",BG244/BG$223)</f>
        <v>0.375</v>
      </c>
      <c r="BI244" s="381">
        <f ca="1">+BI240-BI242-BI243</f>
        <v>59.004000000000005</v>
      </c>
      <c r="BJ244" s="415">
        <f ca="1">IF(BI$223=0,"N.D.",BI244/BI$223)</f>
        <v>0.50690721649484538</v>
      </c>
      <c r="BK244" s="381">
        <f ca="1">+BK240-BK242-BK243</f>
        <v>42.602469999999997</v>
      </c>
      <c r="BL244" s="415">
        <f ca="1">IF(BK$223=0,"N.D.",BK244/BK$223)</f>
        <v>0.36116370711864104</v>
      </c>
      <c r="BM244" s="381">
        <f t="shared" ca="1" si="241"/>
        <v>-8.0040000000000049</v>
      </c>
      <c r="BN244" s="402">
        <f t="shared" ca="1" si="242"/>
        <v>-0.13565182021557864</v>
      </c>
      <c r="BO244" s="381">
        <f t="shared" ca="1" si="243"/>
        <v>8.3975300000000033</v>
      </c>
      <c r="BP244" s="402">
        <f t="shared" ca="1" si="244"/>
        <v>0.19711368847862576</v>
      </c>
      <c r="BQ244" s="354"/>
    </row>
    <row r="245" spans="1:69" ht="12.5" customHeight="1" x14ac:dyDescent="0.3">
      <c r="A245" s="238"/>
      <c r="B245" t="s">
        <v>122</v>
      </c>
      <c r="C245" s="381">
        <f>C232+C230</f>
        <v>108.62708000000001</v>
      </c>
      <c r="D245" s="415">
        <f>IF(C$223=0,"N.D.",C245/C$223)</f>
        <v>0.83406113771822898</v>
      </c>
      <c r="E245" s="381">
        <f>E232+E230</f>
        <v>105.85</v>
      </c>
      <c r="F245" s="415">
        <f>IF(E$223=0,"N.D.",E245/E$223)</f>
        <v>0.91014617368873596</v>
      </c>
      <c r="G245" s="381">
        <f>G232+G230</f>
        <v>111.65519</v>
      </c>
      <c r="H245" s="415">
        <f>IF(G$223=0,"N.D.",G245/G$223)</f>
        <v>0.94656019567495087</v>
      </c>
      <c r="I245" s="381">
        <f t="shared" si="233"/>
        <v>2.7770800000000122</v>
      </c>
      <c r="J245" s="402">
        <f t="shared" si="234"/>
        <v>2.6235994331601509E-2</v>
      </c>
      <c r="K245" s="381">
        <f t="shared" si="235"/>
        <v>-3.0281099999999981</v>
      </c>
      <c r="L245" s="402">
        <f t="shared" si="236"/>
        <v>-2.7120190292990398E-2</v>
      </c>
      <c r="M245" s="175"/>
      <c r="AD245" t="s">
        <v>122</v>
      </c>
      <c r="AE245" s="381">
        <f>AE232+AE230</f>
        <v>655.85479999999995</v>
      </c>
      <c r="AF245" s="415">
        <f>IF(AE$223=0,"N.D.",AE245/AE$223)</f>
        <v>0.90713493158868153</v>
      </c>
      <c r="AG245" s="381">
        <f>AG232+AG230</f>
        <v>634.79999999999995</v>
      </c>
      <c r="AH245" s="415">
        <f>IF(AG$223=0,"N.D.",AG245/AG$223)</f>
        <v>0.91010752688172036</v>
      </c>
      <c r="AI245" s="381">
        <f>AI232+AI230</f>
        <v>666.52539999999999</v>
      </c>
      <c r="AJ245" s="415">
        <f>IF(AI$223=0,"N.D.",AI245/AI$223)</f>
        <v>0.92206871243206023</v>
      </c>
      <c r="AK245" s="381">
        <f t="shared" si="237"/>
        <v>21.0548</v>
      </c>
      <c r="AL245" s="402">
        <f t="shared" si="238"/>
        <v>3.3167611846250722E-2</v>
      </c>
      <c r="AM245" s="381">
        <f t="shared" si="239"/>
        <v>-10.670600000000036</v>
      </c>
      <c r="AN245" s="402">
        <f t="shared" si="240"/>
        <v>-1.6009292369053019E-2</v>
      </c>
      <c r="AO245" s="175"/>
      <c r="BF245" s="290" t="s">
        <v>122</v>
      </c>
      <c r="BG245" s="106">
        <f>BG232+BG230</f>
        <v>120</v>
      </c>
      <c r="BH245" s="415">
        <f>IF(BG$223=0,"N.D.",BG245/BG$223)</f>
        <v>0.88235294117647056</v>
      </c>
      <c r="BI245" s="381">
        <f ca="1">+BI232+BI230</f>
        <v>105.95000000000002</v>
      </c>
      <c r="BJ245" s="415">
        <f ca="1">IF(BI$223=0,"N.D.",BI245/BI$223)</f>
        <v>0.9102233676975946</v>
      </c>
      <c r="BK245" s="381">
        <f ca="1">+BK232+BK230</f>
        <v>111.65519</v>
      </c>
      <c r="BL245" s="415">
        <f ca="1">IF(BK$223=0,"N.D.",BK245/BK$223)</f>
        <v>0.94656019567495087</v>
      </c>
      <c r="BM245" s="381">
        <f t="shared" ca="1" si="241"/>
        <v>14.049999999999983</v>
      </c>
      <c r="BN245" s="402">
        <f t="shared" ca="1" si="242"/>
        <v>0.13260972156677653</v>
      </c>
      <c r="BO245" s="381">
        <f t="shared" ca="1" si="243"/>
        <v>8.3448099999999954</v>
      </c>
      <c r="BP245" s="402">
        <f t="shared" ca="1" si="244"/>
        <v>7.4737323003077449E-2</v>
      </c>
      <c r="BQ245" s="354"/>
    </row>
    <row r="246" spans="1:69" ht="12.5" customHeight="1" x14ac:dyDescent="0.3">
      <c r="A246" s="238"/>
      <c r="B246" s="1" t="s">
        <v>194</v>
      </c>
      <c r="C246" s="418">
        <v>0</v>
      </c>
      <c r="D246" s="475">
        <f>IF(C$9=0,"N.D.",C246/C$9)</f>
        <v>0</v>
      </c>
      <c r="E246" s="418">
        <v>0</v>
      </c>
      <c r="F246" s="475">
        <f>IF(E$9=0,"N.D.",E246/E$9)</f>
        <v>0</v>
      </c>
      <c r="G246" s="418">
        <v>0</v>
      </c>
      <c r="H246" s="475">
        <f>IF(G$9=0,"N.D.",G246/G$9)</f>
        <v>0</v>
      </c>
      <c r="I246" s="418">
        <f t="shared" si="233"/>
        <v>0</v>
      </c>
      <c r="J246" s="471" t="str">
        <f t="shared" si="234"/>
        <v>N.D.</v>
      </c>
      <c r="K246" s="418">
        <f t="shared" si="235"/>
        <v>0</v>
      </c>
      <c r="L246" s="471" t="str">
        <f t="shared" si="236"/>
        <v>N.D.</v>
      </c>
      <c r="M246" s="175"/>
      <c r="AD246" s="1" t="s">
        <v>194</v>
      </c>
      <c r="AE246" s="418">
        <v>0</v>
      </c>
      <c r="AF246" s="475">
        <f>IF(AE$9=0,"N.D.",AE246/AE$9)</f>
        <v>0</v>
      </c>
      <c r="AG246" s="418">
        <v>0</v>
      </c>
      <c r="AH246" s="475">
        <f>IF(AG$9=0,"N.D.",AG246/AG$9)</f>
        <v>0</v>
      </c>
      <c r="AI246" s="418">
        <v>0</v>
      </c>
      <c r="AJ246" s="475">
        <f>IF(AI$9=0,"N.D.",AI246/AI$9)</f>
        <v>0</v>
      </c>
      <c r="AK246" s="418">
        <f t="shared" si="237"/>
        <v>0</v>
      </c>
      <c r="AL246" s="471" t="str">
        <f t="shared" si="238"/>
        <v>N.D.</v>
      </c>
      <c r="AM246" s="418">
        <f t="shared" si="239"/>
        <v>0</v>
      </c>
      <c r="AN246" s="471" t="str">
        <f t="shared" si="240"/>
        <v>N.D.</v>
      </c>
      <c r="AO246" s="175"/>
      <c r="BF246" s="1" t="s">
        <v>194</v>
      </c>
      <c r="BG246" s="569">
        <v>0</v>
      </c>
      <c r="BH246" s="475">
        <f>IF(BG$9=0,"N.D.",BG246/BG$9)</f>
        <v>0</v>
      </c>
      <c r="BI246" s="418">
        <v>0</v>
      </c>
      <c r="BJ246" s="475">
        <f ca="1">IF(BI$9=0,"N.D.",BI246/BI$9)</f>
        <v>0</v>
      </c>
      <c r="BK246" s="418">
        <v>0</v>
      </c>
      <c r="BL246" s="475">
        <f ca="1">IF(BK$9=0,"N.D.",BK246/BK$9)</f>
        <v>0</v>
      </c>
      <c r="BM246" s="418">
        <f t="shared" si="241"/>
        <v>0</v>
      </c>
      <c r="BN246" s="471" t="str">
        <f t="shared" si="242"/>
        <v>N.D.</v>
      </c>
      <c r="BO246" s="418">
        <f t="shared" si="243"/>
        <v>0</v>
      </c>
      <c r="BP246" s="471" t="str">
        <f t="shared" si="244"/>
        <v>N.D.</v>
      </c>
      <c r="BQ246" s="354"/>
    </row>
    <row r="247" spans="1:69" ht="12.5" customHeight="1" x14ac:dyDescent="0.3">
      <c r="A247" s="238"/>
      <c r="B247" s="1" t="s">
        <v>123</v>
      </c>
      <c r="C247" s="314"/>
      <c r="D247" s="476">
        <f>IF(C$9=0,"N.D.",C247/C$9)</f>
        <v>0</v>
      </c>
      <c r="E247" s="314"/>
      <c r="F247" s="476">
        <f>IF(E$9=0,"N.D.",E247/E$9)</f>
        <v>0</v>
      </c>
      <c r="G247" s="314"/>
      <c r="H247" s="476">
        <f>IF(G$9=0,"N.D.",G247/G$9)</f>
        <v>0</v>
      </c>
      <c r="I247" s="314">
        <f t="shared" si="233"/>
        <v>0</v>
      </c>
      <c r="J247" s="472" t="str">
        <f t="shared" si="234"/>
        <v>N.D.</v>
      </c>
      <c r="K247" s="314">
        <f t="shared" si="235"/>
        <v>0</v>
      </c>
      <c r="L247" s="472" t="str">
        <f t="shared" si="236"/>
        <v>N.D.</v>
      </c>
      <c r="M247" s="175"/>
      <c r="AD247" s="1" t="s">
        <v>123</v>
      </c>
      <c r="AE247" s="314"/>
      <c r="AF247" s="476">
        <f>IF(AE$9=0,"N.D.",AE247/AE$9)</f>
        <v>0</v>
      </c>
      <c r="AG247" s="314"/>
      <c r="AH247" s="476">
        <f>IF(AG$9=0,"N.D.",AG247/AG$9)</f>
        <v>0</v>
      </c>
      <c r="AI247" s="314"/>
      <c r="AJ247" s="476">
        <f>IF(AI$9=0,"N.D.",AI247/AI$9)</f>
        <v>0</v>
      </c>
      <c r="AK247" s="314">
        <f t="shared" si="237"/>
        <v>0</v>
      </c>
      <c r="AL247" s="472" t="str">
        <f t="shared" si="238"/>
        <v>N.D.</v>
      </c>
      <c r="AM247" s="314">
        <f t="shared" si="239"/>
        <v>0</v>
      </c>
      <c r="AN247" s="472" t="str">
        <f t="shared" si="240"/>
        <v>N.D.</v>
      </c>
      <c r="AO247" s="175"/>
      <c r="BF247" s="1" t="s">
        <v>123</v>
      </c>
      <c r="BG247" s="570"/>
      <c r="BH247" s="476">
        <f>IF(BG$9=0,"N.D.",BG247/BG$9)</f>
        <v>0</v>
      </c>
      <c r="BI247" s="314"/>
      <c r="BJ247" s="476">
        <f ca="1">IF(BI$9=0,"N.D.",BI247/BI$9)</f>
        <v>0</v>
      </c>
      <c r="BK247" s="314"/>
      <c r="BL247" s="476">
        <f ca="1">IF(BK$9=0,"N.D.",BK247/BK$9)</f>
        <v>0</v>
      </c>
      <c r="BM247" s="314">
        <f t="shared" si="241"/>
        <v>0</v>
      </c>
      <c r="BN247" s="472" t="str">
        <f t="shared" si="242"/>
        <v>N.D.</v>
      </c>
      <c r="BO247" s="314">
        <f t="shared" si="243"/>
        <v>0</v>
      </c>
      <c r="BP247" s="472" t="str">
        <f t="shared" si="244"/>
        <v>N.D.</v>
      </c>
      <c r="BQ247" s="354"/>
    </row>
    <row r="248" spans="1:69" ht="12.5" customHeight="1" x14ac:dyDescent="0.3">
      <c r="A248" s="238"/>
      <c r="B248" s="7" t="s">
        <v>190</v>
      </c>
      <c r="C248" s="381">
        <f>+C244+C230+C246+C247</f>
        <v>78.791690000000003</v>
      </c>
      <c r="D248" s="477">
        <f>IF(C$9=0,"N.D.",C248/C$9)</f>
        <v>5.0503700632329437E-2</v>
      </c>
      <c r="E248" s="381">
        <f>+E244+E230+E246+E247</f>
        <v>79.831000000000003</v>
      </c>
      <c r="F248" s="477">
        <f>IF(E$9=0,"N.D.",E248/E$9)</f>
        <v>4.6898994824314567E-2</v>
      </c>
      <c r="G248" s="381">
        <f>+G244+G230+G246+G247</f>
        <v>84.109800000000007</v>
      </c>
      <c r="H248" s="477">
        <f>IF(G$9=0,"N.D.",G248/G$9)</f>
        <v>5.0949612536694749E-2</v>
      </c>
      <c r="I248" s="381">
        <f t="shared" si="233"/>
        <v>-1.0393100000000004</v>
      </c>
      <c r="J248" s="402">
        <f t="shared" si="234"/>
        <v>-1.3018877378461968E-2</v>
      </c>
      <c r="K248" s="381">
        <f t="shared" si="235"/>
        <v>-5.3181100000000043</v>
      </c>
      <c r="L248" s="402">
        <f t="shared" si="236"/>
        <v>-6.3228185062858322E-2</v>
      </c>
      <c r="M248" s="175"/>
      <c r="AD248" s="7" t="s">
        <v>190</v>
      </c>
      <c r="AE248" s="381">
        <f>+AE244+AE230+AE246+AE247</f>
        <v>461.63238999999999</v>
      </c>
      <c r="AF248" s="477">
        <f>IF(AE$9=0,"N.D.",AE248/AE$9)</f>
        <v>2.9570599232609546E-2</v>
      </c>
      <c r="AG248" s="381">
        <f>+AG244+AG230+AG246+AG247</f>
        <v>475.09100000000001</v>
      </c>
      <c r="AH248" s="477">
        <f>IF(AG$9=0,"N.D.",AG248/AG$9)</f>
        <v>2.2567567060456244E-2</v>
      </c>
      <c r="AI248" s="381">
        <f>+AI244+AI230+AI246+AI247</f>
        <v>511.12743999999998</v>
      </c>
      <c r="AJ248" s="477">
        <f>IF(AI$9=0,"N.D.",AI248/AI$9)</f>
        <v>2.4935404049555757E-2</v>
      </c>
      <c r="AK248" s="381">
        <f t="shared" si="237"/>
        <v>-13.458610000000022</v>
      </c>
      <c r="AL248" s="402">
        <f t="shared" si="238"/>
        <v>-2.8328488647438088E-2</v>
      </c>
      <c r="AM248" s="381">
        <f t="shared" si="239"/>
        <v>-49.495049999999992</v>
      </c>
      <c r="AN248" s="402">
        <f t="shared" si="240"/>
        <v>-9.6835047635086879E-2</v>
      </c>
      <c r="AO248" s="175"/>
      <c r="BF248" s="7" t="s">
        <v>190</v>
      </c>
      <c r="BG248" s="106">
        <f>+BG244+BG230+BG246+BG247</f>
        <v>72</v>
      </c>
      <c r="BH248" s="477">
        <f>IF(BG$9=0,"N.D.",BG248/BG$9)</f>
        <v>4.6481601032924466E-2</v>
      </c>
      <c r="BI248" s="381">
        <f ca="1">+BI244+BI230+BI246+BI247</f>
        <v>80.104000000000013</v>
      </c>
      <c r="BJ248" s="477">
        <f ca="1">IF(BI$9=0,"N.D.",BI248/BI$9)</f>
        <v>4.8235894866656394E-2</v>
      </c>
      <c r="BK248" s="381">
        <f ca="1">+BK244+BK230+BK246+BK247</f>
        <v>84.109800000000007</v>
      </c>
      <c r="BL248" s="477">
        <f ca="1">IF(BK$9=0,"N.D.",BK248/BK$9)</f>
        <v>5.0949612536694749E-2</v>
      </c>
      <c r="BM248" s="381">
        <f t="shared" ca="1" si="241"/>
        <v>-8.1040000000000134</v>
      </c>
      <c r="BN248" s="402">
        <f t="shared" ca="1" si="242"/>
        <v>-0.10116848097473297</v>
      </c>
      <c r="BO248" s="381">
        <f t="shared" ca="1" si="243"/>
        <v>-12.109800000000007</v>
      </c>
      <c r="BP248" s="402">
        <f t="shared" ca="1" si="244"/>
        <v>-0.14397608839873599</v>
      </c>
      <c r="BQ248" s="354"/>
    </row>
    <row r="249" spans="1:69" ht="12.5" customHeight="1" x14ac:dyDescent="0.3">
      <c r="A249" s="238"/>
      <c r="B249" s="7" t="s">
        <v>191</v>
      </c>
      <c r="C249" s="381">
        <f>+Y35</f>
        <v>47</v>
      </c>
      <c r="D249" s="477">
        <f>IF(C$9=0,"N.D.",C249/C$9)</f>
        <v>3.0125942592670412E-2</v>
      </c>
      <c r="E249" s="381">
        <f>+C249</f>
        <v>47</v>
      </c>
      <c r="F249" s="477">
        <f>IF(E$9=0,"N.D.",E249/E$9)</f>
        <v>2.7611488729225295E-2</v>
      </c>
      <c r="G249" s="381">
        <f>+BDLT!P20/1000</f>
        <v>38.990339999999996</v>
      </c>
      <c r="H249" s="477">
        <f>IF(G$9=0,"N.D.",G249/G$9)</f>
        <v>2.3618445361586762E-2</v>
      </c>
      <c r="I249" s="381">
        <f t="shared" si="233"/>
        <v>0</v>
      </c>
      <c r="J249" s="402">
        <f t="shared" si="234"/>
        <v>0</v>
      </c>
      <c r="K249" s="381">
        <f t="shared" si="235"/>
        <v>8.0096600000000038</v>
      </c>
      <c r="L249" s="402">
        <f t="shared" si="236"/>
        <v>0.20542678006911474</v>
      </c>
      <c r="M249" s="175"/>
      <c r="AD249" s="7" t="s">
        <v>191</v>
      </c>
      <c r="AE249" s="381">
        <f>+BA35</f>
        <v>182</v>
      </c>
      <c r="AF249" s="477">
        <f>IF(AE$9=0,"N.D.",AE249/AE$9)</f>
        <v>1.1658300363921469E-2</v>
      </c>
      <c r="AG249" s="381">
        <f>+AE249</f>
        <v>182</v>
      </c>
      <c r="AH249" s="477">
        <f>IF(AG$9=0,"N.D.",AG249/AG$9)</f>
        <v>8.6452852295729379E-3</v>
      </c>
      <c r="AI249" s="381">
        <f>+BDLT!Q20/1000</f>
        <v>219.37504000000001</v>
      </c>
      <c r="AJ249" s="477">
        <f>IF(AI$9=0,"N.D.",AI249/AI$9)</f>
        <v>1.0702233597138625E-2</v>
      </c>
      <c r="AK249" s="381">
        <f t="shared" si="237"/>
        <v>0</v>
      </c>
      <c r="AL249" s="402">
        <f t="shared" si="238"/>
        <v>0</v>
      </c>
      <c r="AM249" s="381">
        <f t="shared" si="239"/>
        <v>-37.375040000000013</v>
      </c>
      <c r="AN249" s="402">
        <f t="shared" si="240"/>
        <v>-0.1703705216418423</v>
      </c>
      <c r="AO249" s="175"/>
      <c r="BF249" s="7" t="s">
        <v>191</v>
      </c>
      <c r="BG249" s="106">
        <v>54</v>
      </c>
      <c r="BH249" s="477">
        <f>IF(BG$9=0,"N.D.",BG249/BG$9)</f>
        <v>3.4861200774693353E-2</v>
      </c>
      <c r="BI249" s="381">
        <f>+BG249</f>
        <v>54</v>
      </c>
      <c r="BJ249" s="477">
        <f ca="1">IF(BI$9=0,"N.D.",BI249/BI$9)</f>
        <v>3.2516956990904886E-2</v>
      </c>
      <c r="BK249" s="381">
        <f>+BDLT!AC20/1000</f>
        <v>0</v>
      </c>
      <c r="BL249" s="477">
        <f ca="1">IF(BK$9=0,"N.D.",BK249/BK$9)</f>
        <v>0</v>
      </c>
      <c r="BM249" s="381">
        <f t="shared" si="241"/>
        <v>0</v>
      </c>
      <c r="BN249" s="402">
        <f t="shared" si="242"/>
        <v>0</v>
      </c>
      <c r="BO249" s="381">
        <f t="shared" si="243"/>
        <v>54</v>
      </c>
      <c r="BP249" s="402" t="str">
        <f t="shared" si="244"/>
        <v>N.D.</v>
      </c>
      <c r="BQ249" s="354"/>
    </row>
    <row r="250" spans="1:69" ht="12.5" customHeight="1" x14ac:dyDescent="0.3">
      <c r="A250" s="238"/>
      <c r="B250" s="7" t="s">
        <v>84</v>
      </c>
      <c r="C250" s="381">
        <f>C248-C249</f>
        <v>31.791690000000003</v>
      </c>
      <c r="D250" s="477">
        <f>IF(C$9=0,"N.D.",C250/C$9)</f>
        <v>2.0377758039659022E-2</v>
      </c>
      <c r="E250" s="381">
        <f>E248-E249</f>
        <v>32.831000000000003</v>
      </c>
      <c r="F250" s="477">
        <f>IF(E$9=0,"N.D.",E250/E$9)</f>
        <v>1.9287506095089273E-2</v>
      </c>
      <c r="G250" s="381">
        <f>G248-G249</f>
        <v>45.119460000000011</v>
      </c>
      <c r="H250" s="477">
        <f>IF(G$9=0,"N.D.",G250/G$9)</f>
        <v>2.7331167175107984E-2</v>
      </c>
      <c r="I250" s="381">
        <f t="shared" si="233"/>
        <v>-1.0393100000000004</v>
      </c>
      <c r="J250" s="402">
        <f t="shared" si="234"/>
        <v>-3.1656361365782315E-2</v>
      </c>
      <c r="K250" s="381">
        <f t="shared" si="235"/>
        <v>-13.327770000000008</v>
      </c>
      <c r="L250" s="402">
        <f t="shared" si="236"/>
        <v>-0.29538850863906629</v>
      </c>
      <c r="M250" s="175"/>
      <c r="AD250" s="7" t="s">
        <v>84</v>
      </c>
      <c r="AE250" s="381">
        <f>AE248-AE249</f>
        <v>279.63238999999999</v>
      </c>
      <c r="AF250" s="477">
        <f>IF(AE$9=0,"N.D.",AE250/AE$9)</f>
        <v>1.7912298868688076E-2</v>
      </c>
      <c r="AG250" s="381">
        <f>AG248-AG249</f>
        <v>293.09100000000001</v>
      </c>
      <c r="AH250" s="477">
        <f>IF(AG$9=0,"N.D.",AG250/AG$9)</f>
        <v>1.3922281830883306E-2</v>
      </c>
      <c r="AI250" s="381">
        <f>AI248-AI249</f>
        <v>291.75239999999997</v>
      </c>
      <c r="AJ250" s="477">
        <f>IF(AI$9=0,"N.D.",AI250/AI$9)</f>
        <v>1.4233170452417131E-2</v>
      </c>
      <c r="AK250" s="381">
        <f t="shared" si="237"/>
        <v>-13.458610000000022</v>
      </c>
      <c r="AL250" s="402">
        <f t="shared" si="238"/>
        <v>-4.5919560818994842E-2</v>
      </c>
      <c r="AM250" s="381">
        <f t="shared" si="239"/>
        <v>-12.120009999999979</v>
      </c>
      <c r="AN250" s="402">
        <f t="shared" si="240"/>
        <v>-4.1542108993790516E-2</v>
      </c>
      <c r="AO250" s="175"/>
      <c r="BF250" s="7" t="s">
        <v>84</v>
      </c>
      <c r="BG250" s="106">
        <f>BG248-BG249</f>
        <v>18</v>
      </c>
      <c r="BH250" s="477">
        <f>IF(BG$9=0,"N.D.",BG250/BG$9)</f>
        <v>1.1620400258231117E-2</v>
      </c>
      <c r="BI250" s="381">
        <f ca="1">BI248-BI249</f>
        <v>26.104000000000013</v>
      </c>
      <c r="BJ250" s="477">
        <f ca="1">IF(BI$9=0,"N.D.",BI250/BI$9)</f>
        <v>1.5718937875751512E-2</v>
      </c>
      <c r="BK250" s="381">
        <f ca="1">BK248-BK249</f>
        <v>84.109800000000007</v>
      </c>
      <c r="BL250" s="477">
        <f ca="1">IF(BK$9=0,"N.D.",BK250/BK$9)</f>
        <v>5.0949612536694749E-2</v>
      </c>
      <c r="BM250" s="381">
        <f t="shared" ca="1" si="241"/>
        <v>-8.1040000000000134</v>
      </c>
      <c r="BN250" s="402">
        <f t="shared" ca="1" si="242"/>
        <v>-0.31045050566962951</v>
      </c>
      <c r="BO250" s="381">
        <f t="shared" ca="1" si="243"/>
        <v>-66.109800000000007</v>
      </c>
      <c r="BP250" s="402">
        <f t="shared" ca="1" si="244"/>
        <v>-0.78599402209968394</v>
      </c>
      <c r="BQ250" s="354"/>
    </row>
    <row r="251" spans="1:69" ht="12.5" customHeight="1" x14ac:dyDescent="0.3">
      <c r="A251" s="238"/>
      <c r="B251" s="1" t="s">
        <v>193</v>
      </c>
      <c r="C251" s="412">
        <f>IF(C249=0,"N.D.",(C248-C246-C247)/C249)</f>
        <v>1.6764189361702129</v>
      </c>
      <c r="D251" s="478"/>
      <c r="E251" s="412">
        <f>IF(E249=0,"N.D.",(E248-E246-E247)/E249)</f>
        <v>1.6985319148936171</v>
      </c>
      <c r="F251" s="478"/>
      <c r="G251" s="412">
        <f>IF(G249=0,"N.D.",(G248-G246-G247)/G249)</f>
        <v>2.1571958592820688</v>
      </c>
      <c r="H251" s="478"/>
      <c r="I251" s="479"/>
      <c r="J251" s="354"/>
      <c r="K251" s="479"/>
      <c r="L251" s="354"/>
      <c r="M251" s="175"/>
      <c r="AD251" s="1" t="s">
        <v>193</v>
      </c>
      <c r="AE251" s="412">
        <f>IF(AE249=0,"N.D.",(AE248-AE246-AE247)/AE249)</f>
        <v>2.536441703296703</v>
      </c>
      <c r="AF251" s="478"/>
      <c r="AG251" s="412">
        <f>IF(AG249=0,"N.D.",(AG248-AG246-AG247)/AG249)</f>
        <v>2.6103901098901101</v>
      </c>
      <c r="AH251" s="478"/>
      <c r="AI251" s="412">
        <f>IF(AI249=0,"N.D.",(AI248-AI246-AI247)/AI249)</f>
        <v>2.3299252275919811</v>
      </c>
      <c r="AJ251" s="478"/>
      <c r="AK251" s="479"/>
      <c r="AL251" s="354"/>
      <c r="AM251" s="479"/>
      <c r="AN251" s="354"/>
      <c r="AO251" s="175"/>
      <c r="BF251" s="1" t="s">
        <v>193</v>
      </c>
      <c r="BG251" s="412">
        <f>IF(BG249=0,"N.D.",(BG248-BG246-BG247)/BG249)</f>
        <v>1.3333333333333333</v>
      </c>
      <c r="BH251" s="478"/>
      <c r="BI251" s="412">
        <f ca="1">IF(BI249=0,"N.D.",(BI248-BI246-BI247)/BI249)</f>
        <v>1.4834074074074077</v>
      </c>
      <c r="BJ251" s="478"/>
      <c r="BK251" s="412" t="str">
        <f>IF(BK249=0,"N.D.",(BK248-BK246-BK247)/BK249)</f>
        <v>N.D.</v>
      </c>
      <c r="BL251" s="478"/>
      <c r="BM251" s="479"/>
      <c r="BN251" s="354"/>
      <c r="BO251" s="479"/>
      <c r="BP251" s="354"/>
      <c r="BQ251" s="354"/>
    </row>
    <row r="252" spans="1:69" ht="12.5" customHeight="1" x14ac:dyDescent="0.3">
      <c r="B252" t="s">
        <v>216</v>
      </c>
      <c r="C252" s="446"/>
      <c r="D252" s="356"/>
      <c r="E252" s="446"/>
      <c r="F252" s="356"/>
      <c r="G252" s="446"/>
      <c r="H252" s="356"/>
      <c r="I252" s="446"/>
      <c r="J252" s="356"/>
      <c r="K252" s="446"/>
      <c r="L252" s="356"/>
      <c r="M252" s="175"/>
      <c r="AE252" s="446"/>
      <c r="AF252" s="356"/>
      <c r="AG252" s="446"/>
      <c r="AH252" s="356"/>
      <c r="AI252" s="446"/>
      <c r="AJ252" s="356"/>
      <c r="AK252" s="446"/>
      <c r="AL252" s="356"/>
      <c r="AM252" s="446"/>
      <c r="AN252" s="356"/>
      <c r="AO252" s="175"/>
      <c r="BG252" s="446"/>
      <c r="BH252" s="356"/>
      <c r="BI252" s="446"/>
      <c r="BJ252" s="356"/>
      <c r="BK252" s="446"/>
      <c r="BL252" s="356"/>
      <c r="BM252" s="446"/>
      <c r="BN252" s="356"/>
      <c r="BO252" s="446"/>
      <c r="BP252" s="356"/>
      <c r="BQ252" s="356"/>
    </row>
    <row r="253" spans="1:69" ht="12.5" customHeight="1" x14ac:dyDescent="0.3">
      <c r="C253" s="739"/>
      <c r="D253" s="741"/>
      <c r="E253" s="741"/>
      <c r="F253" s="741"/>
      <c r="G253" s="741"/>
      <c r="H253" s="741"/>
      <c r="I253" s="741"/>
      <c r="J253" s="742"/>
      <c r="K253" s="741"/>
      <c r="L253" s="742"/>
      <c r="M253" s="175"/>
      <c r="AE253" s="739"/>
      <c r="AF253" s="739"/>
      <c r="AG253" s="739"/>
      <c r="AH253" s="739"/>
      <c r="AI253" s="739"/>
      <c r="AJ253" s="739"/>
      <c r="AK253" s="739"/>
      <c r="AL253" s="739"/>
      <c r="AM253" s="739"/>
      <c r="AN253" s="739"/>
      <c r="AO253" s="175"/>
      <c r="BG253" s="739"/>
      <c r="BH253" s="739"/>
      <c r="BI253" s="739"/>
      <c r="BJ253" s="739"/>
      <c r="BK253" s="739"/>
      <c r="BL253" s="739"/>
      <c r="BM253" s="739"/>
      <c r="BN253" s="739"/>
      <c r="BO253" s="739"/>
      <c r="BP253" s="739"/>
      <c r="BQ253" s="349"/>
    </row>
    <row r="254" spans="1:69" ht="12.5" customHeight="1" x14ac:dyDescent="0.3">
      <c r="C254" s="739"/>
      <c r="D254" s="743"/>
      <c r="E254" s="743"/>
      <c r="F254" s="743"/>
      <c r="G254" s="743"/>
      <c r="H254" s="743"/>
      <c r="I254" s="743"/>
      <c r="J254" s="744"/>
      <c r="K254" s="743"/>
      <c r="L254" s="744"/>
      <c r="M254" s="175"/>
      <c r="AE254" s="739"/>
      <c r="AF254" s="739"/>
      <c r="AG254" s="739"/>
      <c r="AH254" s="739"/>
      <c r="AI254" s="739"/>
      <c r="AJ254" s="739"/>
      <c r="AK254" s="739"/>
      <c r="AL254" s="739"/>
      <c r="AM254" s="739"/>
      <c r="AN254" s="739"/>
      <c r="AO254" s="175"/>
      <c r="BG254" s="739"/>
      <c r="BH254" s="739"/>
      <c r="BI254" s="739"/>
      <c r="BJ254" s="739"/>
      <c r="BK254" s="739"/>
      <c r="BL254" s="739"/>
      <c r="BM254" s="739"/>
      <c r="BN254" s="739"/>
      <c r="BO254" s="739"/>
      <c r="BP254" s="739"/>
      <c r="BQ254" s="349"/>
    </row>
    <row r="255" spans="1:69" ht="12.5" customHeight="1" x14ac:dyDescent="0.3">
      <c r="C255" s="746"/>
      <c r="D255" s="743"/>
      <c r="E255" s="743"/>
      <c r="F255" s="743"/>
      <c r="G255" s="743"/>
      <c r="H255" s="743"/>
      <c r="I255" s="743"/>
      <c r="J255" s="744"/>
      <c r="K255" s="743"/>
      <c r="L255" s="744"/>
      <c r="M255" s="175"/>
      <c r="AE255" s="740"/>
      <c r="AF255" s="740"/>
      <c r="AG255" s="740"/>
      <c r="AH255" s="740"/>
      <c r="AI255" s="740"/>
      <c r="AJ255" s="740"/>
      <c r="AK255" s="740"/>
      <c r="AL255" s="740"/>
      <c r="AM255" s="740"/>
      <c r="AN255" s="740"/>
      <c r="AO255" s="175"/>
      <c r="BG255" s="740"/>
      <c r="BH255" s="740"/>
      <c r="BI255" s="740"/>
      <c r="BJ255" s="740"/>
      <c r="BK255" s="740"/>
      <c r="BL255" s="740"/>
      <c r="BM255" s="740"/>
      <c r="BN255" s="740"/>
      <c r="BO255" s="740"/>
      <c r="BP255" s="740"/>
      <c r="BQ255" s="350"/>
    </row>
    <row r="256" spans="1:69" ht="12.5" customHeight="1" x14ac:dyDescent="0.3">
      <c r="C256" s="394"/>
      <c r="D256" s="395"/>
      <c r="E256" s="394"/>
      <c r="F256" s="395"/>
      <c r="G256" s="394"/>
      <c r="H256" s="462"/>
      <c r="I256" s="451"/>
      <c r="K256" s="451"/>
      <c r="M256" s="175"/>
      <c r="AE256" s="492"/>
      <c r="AF256" s="462"/>
      <c r="AG256" s="492"/>
      <c r="AH256" s="462"/>
      <c r="AI256" s="394"/>
      <c r="AJ256" s="462"/>
      <c r="AK256" s="451"/>
      <c r="AM256" s="451"/>
      <c r="AO256" s="175"/>
      <c r="BG256" s="492"/>
      <c r="BH256" s="462"/>
      <c r="BI256" s="492"/>
      <c r="BJ256" s="462"/>
      <c r="BK256" s="394"/>
      <c r="BL256" s="462"/>
      <c r="BM256" s="451"/>
      <c r="BO256" s="451"/>
    </row>
    <row r="257" spans="3:69" ht="12.5" customHeight="1" x14ac:dyDescent="0.3">
      <c r="C257" s="469"/>
      <c r="D257" s="500"/>
      <c r="E257" s="468"/>
      <c r="F257" s="500"/>
      <c r="G257" s="469"/>
      <c r="H257" s="467"/>
      <c r="I257" s="419"/>
      <c r="J257" s="352"/>
      <c r="K257" s="419"/>
      <c r="L257" s="352"/>
      <c r="M257" s="175"/>
      <c r="AE257" s="466"/>
      <c r="AF257" s="467"/>
      <c r="AG257" s="468"/>
      <c r="AH257" s="467"/>
      <c r="AI257" s="469"/>
      <c r="AJ257" s="470"/>
      <c r="AK257" s="419"/>
      <c r="AL257" s="352"/>
      <c r="AM257" s="419"/>
      <c r="AN257" s="352"/>
      <c r="AO257" s="175"/>
      <c r="BF257" s="310"/>
      <c r="BG257" s="739" t="s">
        <v>494</v>
      </c>
      <c r="BH257" s="739"/>
      <c r="BI257" s="739"/>
      <c r="BJ257" s="739"/>
      <c r="BK257" s="739"/>
      <c r="BL257" s="739"/>
      <c r="BM257" s="739"/>
      <c r="BN257" s="739"/>
      <c r="BO257" s="739"/>
      <c r="BP257" s="739"/>
      <c r="BQ257" s="349"/>
    </row>
    <row r="258" spans="3:69" ht="12.5" customHeight="1" x14ac:dyDescent="0.3">
      <c r="C258" s="419"/>
      <c r="D258" s="416"/>
      <c r="E258" s="419"/>
      <c r="F258" s="416"/>
      <c r="G258" s="419"/>
      <c r="H258" s="416"/>
      <c r="I258" s="419"/>
      <c r="J258" s="352"/>
      <c r="K258" s="419"/>
      <c r="L258" s="352"/>
      <c r="M258" s="175"/>
      <c r="AE258" s="419"/>
      <c r="AF258" s="416"/>
      <c r="AG258" s="419"/>
      <c r="AH258" s="416"/>
      <c r="AI258" s="419"/>
      <c r="AJ258" s="416"/>
      <c r="AK258" s="419"/>
      <c r="AL258" s="352"/>
      <c r="AM258" s="419"/>
      <c r="AN258" s="352"/>
      <c r="AO258" s="175"/>
      <c r="BF258" s="310"/>
      <c r="BG258" s="739" t="s">
        <v>18</v>
      </c>
      <c r="BH258" s="739"/>
      <c r="BI258" s="739"/>
      <c r="BJ258" s="739"/>
      <c r="BK258" s="739"/>
      <c r="BL258" s="739"/>
      <c r="BM258" s="739"/>
      <c r="BN258" s="739"/>
      <c r="BO258" s="739"/>
      <c r="BP258" s="739"/>
      <c r="BQ258" s="349"/>
    </row>
    <row r="259" spans="3:69" ht="12.5" customHeight="1" x14ac:dyDescent="0.3">
      <c r="C259" s="419"/>
      <c r="D259" s="416"/>
      <c r="E259" s="419"/>
      <c r="F259" s="416"/>
      <c r="G259" s="419"/>
      <c r="H259" s="416"/>
      <c r="I259" s="419"/>
      <c r="J259" s="352"/>
      <c r="K259" s="419"/>
      <c r="L259" s="352"/>
      <c r="M259" s="175"/>
      <c r="AE259" s="419"/>
      <c r="AF259" s="416"/>
      <c r="AG259" s="419"/>
      <c r="AH259" s="416"/>
      <c r="AI259" s="419"/>
      <c r="AJ259" s="416"/>
      <c r="AK259" s="419"/>
      <c r="AL259" s="352"/>
      <c r="AM259" s="419"/>
      <c r="AN259" s="352"/>
      <c r="AO259" s="175"/>
      <c r="BF259" s="311" t="s">
        <v>452</v>
      </c>
      <c r="BG259" s="740" t="str">
        <f>$BG$41</f>
        <v>Projection- Julio 2019</v>
      </c>
      <c r="BH259" s="740"/>
      <c r="BI259" s="740"/>
      <c r="BJ259" s="740"/>
      <c r="BK259" s="740"/>
      <c r="BL259" s="740"/>
      <c r="BM259" s="740"/>
      <c r="BN259" s="740"/>
      <c r="BO259" s="740"/>
      <c r="BP259" s="740"/>
      <c r="BQ259" s="350"/>
    </row>
    <row r="260" spans="3:69" ht="12.5" customHeight="1" x14ac:dyDescent="0.3">
      <c r="C260" s="446"/>
      <c r="D260" s="499"/>
      <c r="E260" s="446"/>
      <c r="F260" s="499"/>
      <c r="G260" s="446"/>
      <c r="H260" s="499"/>
      <c r="I260" s="446"/>
      <c r="J260" s="356"/>
      <c r="K260" s="446"/>
      <c r="L260" s="356"/>
      <c r="M260" s="175"/>
      <c r="AE260" s="446"/>
      <c r="AF260" s="499"/>
      <c r="AG260" s="446"/>
      <c r="AH260" s="499"/>
      <c r="AI260" s="446"/>
      <c r="AJ260" s="499"/>
      <c r="AK260" s="446"/>
      <c r="AL260" s="356"/>
      <c r="AM260" s="446"/>
      <c r="AN260" s="356"/>
      <c r="AO260" s="175"/>
      <c r="BF260" s="310"/>
      <c r="BG260" s="394" t="s">
        <v>502</v>
      </c>
      <c r="BH260" s="464"/>
      <c r="BI260" s="394" t="s">
        <v>4</v>
      </c>
      <c r="BJ260" s="464"/>
      <c r="BK260" s="394" t="s">
        <v>9</v>
      </c>
      <c r="BL260" s="465"/>
      <c r="BM260" s="349" t="s">
        <v>6</v>
      </c>
      <c r="BN260" s="351"/>
      <c r="BO260" s="349" t="s">
        <v>7</v>
      </c>
      <c r="BP260" s="351"/>
      <c r="BQ260" s="351"/>
    </row>
    <row r="261" spans="3:69" ht="12.5" customHeight="1" x14ac:dyDescent="0.25">
      <c r="C261" s="419"/>
      <c r="D261" s="416"/>
      <c r="E261" s="419"/>
      <c r="F261" s="416"/>
      <c r="G261" s="419"/>
      <c r="H261" s="416"/>
      <c r="I261" s="419"/>
      <c r="J261" s="352"/>
      <c r="K261" s="419"/>
      <c r="L261" s="352"/>
      <c r="M261" s="175"/>
      <c r="AE261" s="419"/>
      <c r="AF261" s="416"/>
      <c r="AG261" s="419"/>
      <c r="AH261" s="416"/>
      <c r="AI261" s="419"/>
      <c r="AJ261" s="416"/>
      <c r="AK261" s="419"/>
      <c r="AL261" s="352"/>
      <c r="AM261" s="419"/>
      <c r="AN261" s="352"/>
      <c r="AO261" s="175"/>
      <c r="BF261" s="310"/>
      <c r="BG261" s="480"/>
      <c r="BH261" s="467"/>
      <c r="BI261" s="468"/>
      <c r="BJ261" s="467"/>
      <c r="BK261" s="483"/>
      <c r="BL261" s="470"/>
      <c r="BM261" s="419"/>
      <c r="BN261" s="352"/>
      <c r="BO261" s="419"/>
      <c r="BP261" s="352"/>
      <c r="BQ261" s="352"/>
    </row>
    <row r="262" spans="3:69" ht="12.5" customHeight="1" x14ac:dyDescent="0.25">
      <c r="C262" s="419"/>
      <c r="D262" s="416"/>
      <c r="E262" s="419"/>
      <c r="F262" s="416"/>
      <c r="G262" s="419"/>
      <c r="H262" s="416"/>
      <c r="I262" s="419"/>
      <c r="J262" s="352"/>
      <c r="K262" s="419"/>
      <c r="L262" s="352"/>
      <c r="M262" s="175"/>
      <c r="AE262" s="419"/>
      <c r="AF262" s="416"/>
      <c r="AG262" s="419"/>
      <c r="AH262" s="416"/>
      <c r="AI262" s="419"/>
      <c r="AJ262" s="416"/>
      <c r="AK262" s="419"/>
      <c r="AL262" s="352"/>
      <c r="AM262" s="419"/>
      <c r="AN262" s="352"/>
      <c r="AO262" s="175"/>
      <c r="BF262" s="310" t="s">
        <v>38</v>
      </c>
      <c r="BG262" s="418">
        <f>BG79+BG114</f>
        <v>906</v>
      </c>
      <c r="BH262" s="417">
        <f>IF(BG$262=0,"N.D.",BG262/BG$262)</f>
        <v>1</v>
      </c>
      <c r="BI262" s="418">
        <f ca="1">BI79+BI114</f>
        <v>987.11599999999999</v>
      </c>
      <c r="BJ262" s="417">
        <f ca="1">IF(BI$262=0,"N.D.",BI262/BI$262)</f>
        <v>1</v>
      </c>
      <c r="BK262" s="418">
        <f ca="1">BK79+BK114</f>
        <v>951.96411999999998</v>
      </c>
      <c r="BL262" s="417">
        <f ca="1">IF(BK$262=0,"N.D.",BK262/BK$262)</f>
        <v>1</v>
      </c>
      <c r="BM262" s="418">
        <f ca="1">BG262-BI262</f>
        <v>-81.115999999999985</v>
      </c>
      <c r="BN262" s="471">
        <f ca="1">IF(BI262=0,"N.D.",BG262/BI262-1)</f>
        <v>-8.2174739341678182E-2</v>
      </c>
      <c r="BO262" s="418">
        <f ca="1">BG262-BK262</f>
        <v>-45.96411999999998</v>
      </c>
      <c r="BP262" s="471">
        <f ca="1">IF(BK262=0,"N.D.",BG262/BK262-1)</f>
        <v>-4.8283458414378089E-2</v>
      </c>
      <c r="BQ262" s="353"/>
    </row>
    <row r="263" spans="3:69" x14ac:dyDescent="0.25">
      <c r="C263" s="419"/>
      <c r="D263" s="416"/>
      <c r="E263" s="419"/>
      <c r="F263" s="416"/>
      <c r="G263" s="419"/>
      <c r="H263" s="416"/>
      <c r="I263" s="419"/>
      <c r="J263" s="352"/>
      <c r="K263" s="419"/>
      <c r="L263" s="352"/>
      <c r="M263" s="175"/>
      <c r="AE263" s="419"/>
      <c r="AF263" s="416"/>
      <c r="AG263" s="419"/>
      <c r="AH263" s="416"/>
      <c r="AI263" s="419"/>
      <c r="AJ263" s="416"/>
      <c r="AK263" s="419"/>
      <c r="AL263" s="352"/>
      <c r="AM263" s="419"/>
      <c r="AN263" s="352"/>
      <c r="AO263" s="175"/>
      <c r="BF263" s="310" t="s">
        <v>39</v>
      </c>
      <c r="BG263" s="314">
        <f>BG80+BG115</f>
        <v>293.7565026650397</v>
      </c>
      <c r="BH263" s="414">
        <f t="shared" ref="BH263:BJ265" si="245">IF(BG$262=0,"N.D.",BG263/BG$262)</f>
        <v>0.3242345504029136</v>
      </c>
      <c r="BI263" s="314">
        <f ca="1">BI80+BI115</f>
        <v>349.90300000000002</v>
      </c>
      <c r="BJ263" s="414">
        <f t="shared" ca="1" si="245"/>
        <v>0.35446999136879559</v>
      </c>
      <c r="BK263" s="314">
        <f ca="1">BK80+BK115</f>
        <v>337.15947</v>
      </c>
      <c r="BL263" s="414">
        <f t="shared" ref="BL263" ca="1" si="246">IF(BK$262=0,"N.D.",BK263/BK$262)</f>
        <v>0.35417245557532145</v>
      </c>
      <c r="BM263" s="314">
        <f ca="1">BG263-BI263</f>
        <v>-56.146497334960316</v>
      </c>
      <c r="BN263" s="472">
        <f ca="1">IF(BI263=0,"N.D.",BG263/BI263-1)</f>
        <v>-0.16046303499815751</v>
      </c>
      <c r="BO263" s="314">
        <f ca="1">BG263-BK263</f>
        <v>-43.402967334960294</v>
      </c>
      <c r="BP263" s="472">
        <f ca="1">IF(BK263=0,"N.D.",BG263/BK263-1)</f>
        <v>-0.12873127168861753</v>
      </c>
      <c r="BQ263" s="353"/>
    </row>
    <row r="264" spans="3:69" hidden="1" x14ac:dyDescent="0.25">
      <c r="C264" s="419"/>
      <c r="D264" s="416"/>
      <c r="E264" s="419"/>
      <c r="F264" s="416"/>
      <c r="G264" s="419"/>
      <c r="H264" s="416"/>
      <c r="I264" s="419"/>
      <c r="J264" s="352"/>
      <c r="K264" s="419"/>
      <c r="L264" s="352"/>
      <c r="M264" s="175"/>
      <c r="AE264" s="419"/>
      <c r="AF264" s="416"/>
      <c r="AG264" s="419"/>
      <c r="AH264" s="416"/>
      <c r="AI264" s="419"/>
      <c r="AJ264" s="416"/>
      <c r="AK264" s="419"/>
      <c r="AL264" s="352"/>
      <c r="AM264" s="419"/>
      <c r="AN264" s="352"/>
      <c r="AO264" s="175"/>
      <c r="BF264" s="310" t="s">
        <v>219</v>
      </c>
      <c r="BG264" s="314">
        <f>BG81+BG116</f>
        <v>0</v>
      </c>
      <c r="BH264" s="414">
        <f t="shared" si="245"/>
        <v>0</v>
      </c>
      <c r="BI264" s="314">
        <f>BI81+BI116</f>
        <v>0</v>
      </c>
      <c r="BJ264" s="414">
        <f t="shared" ca="1" si="245"/>
        <v>0</v>
      </c>
      <c r="BK264" s="314">
        <f>BK81+BK116</f>
        <v>0</v>
      </c>
      <c r="BL264" s="414">
        <f t="shared" ref="BL264" ca="1" si="247">IF(BK$262=0,"N.D.",BK264/BK$262)</f>
        <v>0</v>
      </c>
      <c r="BM264" s="314">
        <f>BG264-BI264</f>
        <v>0</v>
      </c>
      <c r="BN264" s="472" t="str">
        <f>IF(BI264=0,"N.D.",BG264/BI264-1)</f>
        <v>N.D.</v>
      </c>
      <c r="BO264" s="314">
        <f>BG264-BK264</f>
        <v>0</v>
      </c>
      <c r="BP264" s="472" t="str">
        <f>IF(BK264=0,"N.D.",BG264/BK264-1)</f>
        <v>N.D.</v>
      </c>
      <c r="BQ264" s="353"/>
    </row>
    <row r="265" spans="3:69" ht="12.5" customHeight="1" x14ac:dyDescent="0.3">
      <c r="C265" s="446"/>
      <c r="D265" s="499"/>
      <c r="E265" s="446"/>
      <c r="F265" s="499"/>
      <c r="G265" s="446"/>
      <c r="H265" s="499"/>
      <c r="I265" s="446"/>
      <c r="J265" s="356"/>
      <c r="K265" s="446"/>
      <c r="L265" s="356"/>
      <c r="M265" s="175"/>
      <c r="AE265" s="446"/>
      <c r="AF265" s="499"/>
      <c r="AG265" s="446"/>
      <c r="AH265" s="499"/>
      <c r="AI265" s="446"/>
      <c r="AJ265" s="499"/>
      <c r="AK265" s="446"/>
      <c r="AL265" s="356"/>
      <c r="AM265" s="446"/>
      <c r="AN265" s="356"/>
      <c r="AO265" s="175"/>
      <c r="BF265" s="310" t="s">
        <v>40</v>
      </c>
      <c r="BG265" s="381">
        <f>BG262-BG263-BG264</f>
        <v>612.24349733496024</v>
      </c>
      <c r="BH265" s="415">
        <f t="shared" si="245"/>
        <v>0.6757654495970864</v>
      </c>
      <c r="BI265" s="381">
        <f ca="1">BI262-BI263-BI264</f>
        <v>637.21299999999997</v>
      </c>
      <c r="BJ265" s="415">
        <f t="shared" ca="1" si="245"/>
        <v>0.64553000863120447</v>
      </c>
      <c r="BK265" s="381">
        <f ca="1">BK262-BK263-BK264</f>
        <v>614.80465000000004</v>
      </c>
      <c r="BL265" s="415">
        <f t="shared" ref="BL265" ca="1" si="248">IF(BK$262=0,"N.D.",BK265/BK$262)</f>
        <v>0.6458275444246786</v>
      </c>
      <c r="BM265" s="381">
        <f ca="1">BG265-BI265</f>
        <v>-24.969502665039727</v>
      </c>
      <c r="BN265" s="402">
        <f ca="1">IF(BI265=0,"N.D.",BG265/BI265-1)</f>
        <v>-3.918548847095038E-2</v>
      </c>
      <c r="BO265" s="381">
        <f ca="1">BG265-BK265</f>
        <v>-2.5611526650397991</v>
      </c>
      <c r="BP265" s="402">
        <f ca="1">IF(BK265=0,"N.D.",BG265/BK265-1)</f>
        <v>-4.1657991120265248E-3</v>
      </c>
      <c r="BQ265" s="354"/>
    </row>
    <row r="266" spans="3:69" ht="12.5" customHeight="1" x14ac:dyDescent="0.3">
      <c r="C266" s="446"/>
      <c r="D266" s="499"/>
      <c r="E266" s="446"/>
      <c r="F266" s="499"/>
      <c r="G266" s="446"/>
      <c r="H266" s="499"/>
      <c r="I266" s="446"/>
      <c r="J266" s="356"/>
      <c r="K266" s="446"/>
      <c r="L266" s="356"/>
      <c r="M266" s="175"/>
      <c r="AE266" s="446"/>
      <c r="AF266" s="499"/>
      <c r="AG266" s="446"/>
      <c r="AH266" s="499"/>
      <c r="AI266" s="446"/>
      <c r="AJ266" s="499"/>
      <c r="AK266" s="446"/>
      <c r="AL266" s="356"/>
      <c r="AM266" s="446"/>
      <c r="AN266" s="356"/>
      <c r="AO266" s="175"/>
      <c r="BF266" s="310"/>
      <c r="BG266" s="419"/>
      <c r="BH266" s="416"/>
      <c r="BI266" s="419"/>
      <c r="BJ266" s="416"/>
      <c r="BK266" s="419"/>
      <c r="BL266" s="416"/>
      <c r="BM266" s="419"/>
      <c r="BN266" s="352"/>
      <c r="BO266" s="419"/>
      <c r="BP266" s="352"/>
      <c r="BQ266" s="352"/>
    </row>
    <row r="267" spans="3:69" ht="12.5" customHeight="1" x14ac:dyDescent="0.25">
      <c r="C267" s="419"/>
      <c r="D267" s="416"/>
      <c r="E267" s="419"/>
      <c r="F267" s="416"/>
      <c r="G267" s="419"/>
      <c r="H267" s="416"/>
      <c r="I267" s="419"/>
      <c r="J267" s="352"/>
      <c r="K267" s="419"/>
      <c r="L267" s="352"/>
      <c r="M267" s="175"/>
      <c r="AE267" s="419"/>
      <c r="AF267" s="416"/>
      <c r="AG267" s="419"/>
      <c r="AH267" s="416"/>
      <c r="AI267" s="419"/>
      <c r="AJ267" s="416"/>
      <c r="AK267" s="419"/>
      <c r="AL267" s="352"/>
      <c r="AM267" s="419"/>
      <c r="AN267" s="352"/>
      <c r="AO267" s="175"/>
      <c r="BF267" s="310" t="s">
        <v>41</v>
      </c>
      <c r="BG267" s="418">
        <f>BG84+BG119</f>
        <v>571.6040173112965</v>
      </c>
      <c r="BH267" s="417">
        <f t="shared" ref="BH267:BJ271" si="249">IF(BG$262=0,"N.D.",BG267/BG$262)</f>
        <v>0.63090951138112195</v>
      </c>
      <c r="BI267" s="418">
        <f ca="1">BI84+BI119</f>
        <v>605.44899999999996</v>
      </c>
      <c r="BJ267" s="417">
        <f t="shared" ca="1" si="249"/>
        <v>0.61335141969130269</v>
      </c>
      <c r="BK267" s="418">
        <f ca="1">BK84+BK119</f>
        <v>600.74657000000002</v>
      </c>
      <c r="BL267" s="417">
        <f t="shared" ref="BL267" ca="1" si="250">IF(BK$262=0,"N.D.",BK267/BK$262)</f>
        <v>0.63106009709693689</v>
      </c>
      <c r="BM267" s="418">
        <f ca="1">BG267-BI267</f>
        <v>-33.844982688703453</v>
      </c>
      <c r="BN267" s="471">
        <f ca="1">IF(BI267=0,"N.D.",BG267/BI267-1)</f>
        <v>-5.5900633560718505E-2</v>
      </c>
      <c r="BO267" s="418">
        <f ca="1">BG267-BK267</f>
        <v>-29.142552688703518</v>
      </c>
      <c r="BP267" s="471">
        <f ca="1">IF(BK267=0,"N.D.",BG267/BK267-1)</f>
        <v>-4.8510560266209257E-2</v>
      </c>
      <c r="BQ267" s="353"/>
    </row>
    <row r="268" spans="3:69" ht="12.5" customHeight="1" x14ac:dyDescent="0.25">
      <c r="C268" s="419"/>
      <c r="D268" s="416"/>
      <c r="E268" s="419"/>
      <c r="F268" s="416"/>
      <c r="G268" s="419"/>
      <c r="H268" s="416"/>
      <c r="I268" s="419"/>
      <c r="J268" s="352"/>
      <c r="K268" s="419"/>
      <c r="L268" s="352"/>
      <c r="M268" s="175"/>
      <c r="AE268" s="419"/>
      <c r="AF268" s="416"/>
      <c r="AG268" s="419"/>
      <c r="AH268" s="416"/>
      <c r="AI268" s="419"/>
      <c r="AJ268" s="416"/>
      <c r="AK268" s="419"/>
      <c r="AL268" s="352"/>
      <c r="AM268" s="419"/>
      <c r="AN268" s="352"/>
      <c r="AO268" s="175"/>
      <c r="BF268" s="310" t="s">
        <v>42</v>
      </c>
      <c r="BG268" s="314">
        <f>BG85+BG120</f>
        <v>27</v>
      </c>
      <c r="BH268" s="414">
        <f t="shared" si="249"/>
        <v>2.9801324503311258E-2</v>
      </c>
      <c r="BI268" s="314">
        <f ca="1">BI85+BI120</f>
        <v>31.32</v>
      </c>
      <c r="BJ268" s="414">
        <f t="shared" ca="1" si="249"/>
        <v>3.1728793779049275E-2</v>
      </c>
      <c r="BK268" s="314">
        <f ca="1">BK85+BK120</f>
        <v>38.755269999999996</v>
      </c>
      <c r="BL268" s="414">
        <f t="shared" ref="BL268" ca="1" si="251">IF(BK$262=0,"N.D.",BK268/BK$262)</f>
        <v>4.0710851581254974E-2</v>
      </c>
      <c r="BM268" s="314">
        <f ca="1">BG275-BI268</f>
        <v>-31.32</v>
      </c>
      <c r="BN268" s="472">
        <f ca="1">IF(BI268=0,"N.D.",BG275/BI268-1)</f>
        <v>-1</v>
      </c>
      <c r="BO268" s="314">
        <f ca="1">BG275-BK275</f>
        <v>-19.620739999999998</v>
      </c>
      <c r="BP268" s="472">
        <f ca="1">IF(BK275=0,"N.D.",BG275/BK275-1)</f>
        <v>-1</v>
      </c>
      <c r="BQ268" s="353"/>
    </row>
    <row r="269" spans="3:69" ht="12.5" customHeight="1" x14ac:dyDescent="0.25">
      <c r="C269" s="419"/>
      <c r="D269" s="416"/>
      <c r="E269" s="419"/>
      <c r="F269" s="416"/>
      <c r="G269" s="419"/>
      <c r="H269" s="416"/>
      <c r="I269" s="419"/>
      <c r="J269" s="352"/>
      <c r="K269" s="419"/>
      <c r="L269" s="352"/>
      <c r="M269" s="175"/>
      <c r="AE269" s="419"/>
      <c r="AF269" s="416"/>
      <c r="AG269" s="419"/>
      <c r="AH269" s="416"/>
      <c r="AI269" s="419"/>
      <c r="AJ269" s="416"/>
      <c r="AK269" s="419"/>
      <c r="AL269" s="352"/>
      <c r="AM269" s="419"/>
      <c r="AN269" s="352"/>
      <c r="AO269" s="175"/>
      <c r="BF269" s="310" t="s">
        <v>43</v>
      </c>
      <c r="BG269" s="460">
        <f>BG86+BG121</f>
        <v>3</v>
      </c>
      <c r="BH269" s="491">
        <f t="shared" si="249"/>
        <v>3.3112582781456954E-3</v>
      </c>
      <c r="BI269" s="460">
        <f ca="1">BI86+BI121</f>
        <v>2.8380000000000001</v>
      </c>
      <c r="BJ269" s="491">
        <f t="shared" ca="1" si="249"/>
        <v>2.8750420416648096E-3</v>
      </c>
      <c r="BK269" s="460">
        <f ca="1">BK86+BK121</f>
        <v>4.70153</v>
      </c>
      <c r="BL269" s="491">
        <f t="shared" ref="BL269" ca="1" si="252">IF(BK$262=0,"N.D.",BK269/BK$262)</f>
        <v>4.9387680703764343E-3</v>
      </c>
      <c r="BM269" s="314">
        <f ca="1">BG269-BI269</f>
        <v>0.16199999999999992</v>
      </c>
      <c r="BN269" s="472">
        <f ca="1">IF(BI269=0,"N.D.",BG269/BI269-1)</f>
        <v>5.7082452431289621E-2</v>
      </c>
      <c r="BO269" s="314">
        <f ca="1">BG269-BK269</f>
        <v>-1.70153</v>
      </c>
      <c r="BP269" s="472">
        <f ca="1">IF(BK269=0,"N.D.",BG269/BK269-1)</f>
        <v>-0.36190984636916068</v>
      </c>
      <c r="BQ269" s="353"/>
    </row>
    <row r="270" spans="3:69" ht="12.5" customHeight="1" x14ac:dyDescent="0.3">
      <c r="C270" s="419"/>
      <c r="D270" s="416"/>
      <c r="E270" s="419"/>
      <c r="F270" s="416"/>
      <c r="G270" s="419"/>
      <c r="H270" s="416"/>
      <c r="I270" s="419"/>
      <c r="J270" s="352"/>
      <c r="K270" s="419"/>
      <c r="L270" s="352"/>
      <c r="M270" s="175"/>
      <c r="AE270" s="419"/>
      <c r="AF270" s="416"/>
      <c r="AG270" s="419"/>
      <c r="AH270" s="416"/>
      <c r="AI270" s="419"/>
      <c r="AJ270" s="416"/>
      <c r="AK270" s="419"/>
      <c r="AL270" s="352"/>
      <c r="AM270" s="419"/>
      <c r="AN270" s="352"/>
      <c r="AO270" s="175"/>
      <c r="BF270" s="310" t="s">
        <v>44</v>
      </c>
      <c r="BG270" s="381">
        <f>BG267+BG268+BG269</f>
        <v>601.6040173112965</v>
      </c>
      <c r="BH270" s="415">
        <f t="shared" si="249"/>
        <v>0.66402209416257896</v>
      </c>
      <c r="BI270" s="381">
        <f ca="1">BI267+BI268+BI269</f>
        <v>639.60699999999997</v>
      </c>
      <c r="BJ270" s="415">
        <f t="shared" ca="1" si="249"/>
        <v>0.64795525551201683</v>
      </c>
      <c r="BK270" s="381">
        <f ca="1">BK267+BK268+BK269</f>
        <v>644.20337000000006</v>
      </c>
      <c r="BL270" s="415">
        <f t="shared" ref="BL270" ca="1" si="253">IF(BK$262=0,"N.D.",BK270/BK$262)</f>
        <v>0.67670971674856828</v>
      </c>
      <c r="BM270" s="381">
        <f ca="1">BG270-BI270</f>
        <v>-38.002982688703469</v>
      </c>
      <c r="BN270" s="402">
        <f ca="1">IF(BI270=0,"N.D.",BG270/BI270-1)</f>
        <v>-5.9416145678054644E-2</v>
      </c>
      <c r="BO270" s="381">
        <f ca="1">BG270-BK270</f>
        <v>-42.599352688703561</v>
      </c>
      <c r="BP270" s="402">
        <f ca="1">IF(BK270=0,"N.D.",BG270/BK270-1)</f>
        <v>-6.6127180751481607E-2</v>
      </c>
      <c r="BQ270" s="354"/>
    </row>
    <row r="271" spans="3:69" ht="12.5" customHeight="1" x14ac:dyDescent="0.3">
      <c r="C271" s="419"/>
      <c r="D271" s="416"/>
      <c r="E271" s="419"/>
      <c r="F271" s="416"/>
      <c r="G271" s="419"/>
      <c r="H271" s="416"/>
      <c r="I271" s="419"/>
      <c r="J271" s="352"/>
      <c r="K271" s="419"/>
      <c r="L271" s="352"/>
      <c r="M271" s="175"/>
      <c r="AE271" s="419"/>
      <c r="AF271" s="416"/>
      <c r="AG271" s="419"/>
      <c r="AH271" s="416"/>
      <c r="AI271" s="419"/>
      <c r="AJ271" s="416"/>
      <c r="AK271" s="419"/>
      <c r="AL271" s="352"/>
      <c r="AM271" s="419"/>
      <c r="AN271" s="352"/>
      <c r="AO271" s="175"/>
      <c r="BF271" s="310" t="s">
        <v>45</v>
      </c>
      <c r="BG271" s="381">
        <f>BG265-BG270</f>
        <v>10.639480023663737</v>
      </c>
      <c r="BH271" s="415">
        <f t="shared" si="249"/>
        <v>1.1743355434507436E-2</v>
      </c>
      <c r="BI271" s="381">
        <f ca="1">BI265-BI270</f>
        <v>-2.3940000000000055</v>
      </c>
      <c r="BJ271" s="415">
        <f t="shared" ca="1" si="249"/>
        <v>-2.4252468808123925E-3</v>
      </c>
      <c r="BK271" s="381">
        <f ca="1">BK265-BK270</f>
        <v>-29.398720000000026</v>
      </c>
      <c r="BL271" s="415">
        <f t="shared" ref="BL271" ca="1" si="254">IF(BK$262=0,"N.D.",BK271/BK$262)</f>
        <v>-3.0882172323889713E-2</v>
      </c>
      <c r="BM271" s="381">
        <f ca="1">BG271-BI271</f>
        <v>13.033480023663742</v>
      </c>
      <c r="BN271" s="402">
        <f ca="1">IF(BI271=0,"N.D.",BG271/BI271-1)</f>
        <v>-5.4442272446381423</v>
      </c>
      <c r="BO271" s="381">
        <f ca="1">BG271-BK271</f>
        <v>40.038200023663762</v>
      </c>
      <c r="BP271" s="402">
        <f ca="1">IF(BK271=0,"N.D.",BG271/BK271-1)</f>
        <v>-1.3619028319485926</v>
      </c>
      <c r="BQ271" s="354"/>
    </row>
    <row r="272" spans="3:69" ht="12.5" customHeight="1" x14ac:dyDescent="0.25">
      <c r="C272" s="419"/>
      <c r="D272" s="416"/>
      <c r="E272" s="419"/>
      <c r="F272" s="416"/>
      <c r="G272" s="419"/>
      <c r="H272" s="416"/>
      <c r="I272" s="419"/>
      <c r="J272" s="352"/>
      <c r="K272" s="419"/>
      <c r="L272" s="352"/>
      <c r="M272" s="175"/>
      <c r="AE272" s="419"/>
      <c r="AF272" s="416"/>
      <c r="AG272" s="419"/>
      <c r="AH272" s="416"/>
      <c r="AI272" s="419"/>
      <c r="AJ272" s="416"/>
      <c r="AK272" s="419"/>
      <c r="AL272" s="352"/>
      <c r="AM272" s="419"/>
      <c r="AN272" s="352"/>
      <c r="AO272" s="175"/>
      <c r="BF272" s="310"/>
      <c r="BG272" s="437"/>
      <c r="BH272" s="487"/>
      <c r="BI272" s="437"/>
      <c r="BJ272" s="487"/>
      <c r="BK272" s="437"/>
      <c r="BL272" s="487"/>
      <c r="BM272" s="437"/>
      <c r="BN272" s="473"/>
      <c r="BO272" s="437"/>
      <c r="BP272" s="473"/>
      <c r="BQ272" s="352"/>
    </row>
    <row r="273" spans="2:69" ht="12.5" hidden="1" customHeight="1" x14ac:dyDescent="0.3">
      <c r="C273" s="446"/>
      <c r="D273" s="499"/>
      <c r="E273" s="446"/>
      <c r="F273" s="499"/>
      <c r="G273" s="446"/>
      <c r="H273" s="499"/>
      <c r="I273" s="446"/>
      <c r="J273" s="356"/>
      <c r="K273" s="446"/>
      <c r="L273" s="356"/>
      <c r="M273" s="175"/>
      <c r="AE273" s="446"/>
      <c r="AF273" s="499"/>
      <c r="AG273" s="446"/>
      <c r="AH273" s="499"/>
      <c r="AI273" s="446"/>
      <c r="AJ273" s="499"/>
      <c r="AK273" s="446"/>
      <c r="AL273" s="356"/>
      <c r="AM273" s="446"/>
      <c r="AN273" s="356"/>
      <c r="AO273" s="175"/>
      <c r="BF273" s="310"/>
      <c r="BG273" s="418"/>
      <c r="BH273" s="417"/>
      <c r="BI273" s="418"/>
      <c r="BJ273" s="417"/>
      <c r="BK273" s="418"/>
      <c r="BL273" s="417"/>
      <c r="BM273" s="418"/>
      <c r="BN273" s="471"/>
      <c r="BO273" s="418"/>
      <c r="BP273" s="471"/>
      <c r="BQ273" s="353"/>
    </row>
    <row r="274" spans="2:69" ht="12.5" customHeight="1" x14ac:dyDescent="0.3">
      <c r="C274" s="446"/>
      <c r="D274" s="499"/>
      <c r="E274" s="446"/>
      <c r="F274" s="499"/>
      <c r="G274" s="446"/>
      <c r="H274" s="499"/>
      <c r="I274" s="446"/>
      <c r="J274" s="356"/>
      <c r="K274" s="446"/>
      <c r="L274" s="356"/>
      <c r="M274" s="175"/>
      <c r="AE274" s="446"/>
      <c r="AF274" s="499"/>
      <c r="AG274" s="446"/>
      <c r="AH274" s="499"/>
      <c r="AI274" s="446"/>
      <c r="AJ274" s="499"/>
      <c r="AK274" s="446"/>
      <c r="AL274" s="356"/>
      <c r="AM274" s="446"/>
      <c r="AN274" s="356"/>
      <c r="AO274" s="175"/>
      <c r="BF274" s="310" t="s">
        <v>52</v>
      </c>
      <c r="BG274" s="314">
        <f>BG91+BG126</f>
        <v>-4</v>
      </c>
      <c r="BH274" s="414">
        <f t="shared" ref="BH274:BJ279" si="255">IF(BG$262=0,"N.D.",BG274/BG$262)</f>
        <v>-4.4150110375275938E-3</v>
      </c>
      <c r="BI274" s="314">
        <f ca="1">BI91+BI126</f>
        <v>-3.0649999999999999</v>
      </c>
      <c r="BJ274" s="414">
        <f t="shared" ca="1" si="255"/>
        <v>-3.1050048829114308E-3</v>
      </c>
      <c r="BK274" s="314">
        <f ca="1">BK91+BK126</f>
        <v>-4.5144000000000002</v>
      </c>
      <c r="BL274" s="414">
        <f t="shared" ref="BL274" ca="1" si="256">IF(BK$262=0,"N.D.",BK274/BK$262)</f>
        <v>-4.7421955356888876E-3</v>
      </c>
      <c r="BM274" s="314">
        <f ca="1">BG274-BI274</f>
        <v>-0.93500000000000005</v>
      </c>
      <c r="BN274" s="472">
        <f ca="1">IF(BI274=0,"N.D.",BG274/BI274-1)</f>
        <v>0.30505709624796085</v>
      </c>
      <c r="BO274" s="314">
        <f ca="1">BG274-BK275</f>
        <v>-23.620739999999998</v>
      </c>
      <c r="BP274" s="472">
        <f ca="1">IF(BK275=0,"N.D.",BG274/BK275-1)</f>
        <v>-1.2038659092368587</v>
      </c>
      <c r="BQ274" s="353"/>
    </row>
    <row r="275" spans="2:69" ht="12.5" customHeight="1" x14ac:dyDescent="0.25">
      <c r="C275" s="419"/>
      <c r="D275" s="416"/>
      <c r="E275" s="419"/>
      <c r="F275" s="416"/>
      <c r="G275" s="419"/>
      <c r="H275" s="416"/>
      <c r="I275" s="419"/>
      <c r="J275" s="352"/>
      <c r="K275" s="419"/>
      <c r="L275" s="352"/>
      <c r="M275" s="175"/>
      <c r="AE275" s="419"/>
      <c r="AF275" s="416"/>
      <c r="AG275" s="419"/>
      <c r="AH275" s="416"/>
      <c r="AI275" s="419"/>
      <c r="AJ275" s="416"/>
      <c r="AK275" s="419"/>
      <c r="AL275" s="352"/>
      <c r="AM275" s="419"/>
      <c r="AN275" s="352"/>
      <c r="AO275" s="175"/>
      <c r="BF275" s="310" t="s">
        <v>184</v>
      </c>
      <c r="BG275" s="314">
        <f>BG92+BG127</f>
        <v>0</v>
      </c>
      <c r="BH275" s="414">
        <f t="shared" si="255"/>
        <v>0</v>
      </c>
      <c r="BI275" s="314">
        <f ca="1">BI92+BI127</f>
        <v>20.610999999999997</v>
      </c>
      <c r="BJ275" s="414">
        <f t="shared" ca="1" si="255"/>
        <v>2.0880018153894779E-2</v>
      </c>
      <c r="BK275" s="314">
        <f ca="1">BK92+BK127</f>
        <v>19.620739999999998</v>
      </c>
      <c r="BL275" s="414">
        <f t="shared" ref="BL275" ca="1" si="257">IF(BK$262=0,"N.D.",BK275/BK$262)</f>
        <v>2.0610797810320831E-2</v>
      </c>
      <c r="BM275" s="314">
        <f ca="1">BG275-BI275</f>
        <v>-20.610999999999997</v>
      </c>
      <c r="BN275" s="472">
        <f ca="1">IF(BI275=0,"N.D.",BG275/BI275-1)</f>
        <v>-1</v>
      </c>
      <c r="BO275" s="314">
        <f ca="1">BG275-BK276</f>
        <v>0</v>
      </c>
      <c r="BP275" s="472" t="str">
        <f ca="1">IF(BK276=0,"N.D.",BG275/BK276-1)</f>
        <v>N.D.</v>
      </c>
      <c r="BQ275" s="353"/>
    </row>
    <row r="276" spans="2:69" ht="12.5" customHeight="1" x14ac:dyDescent="0.25">
      <c r="C276" s="419"/>
      <c r="D276" s="416"/>
      <c r="E276" s="419"/>
      <c r="F276" s="416"/>
      <c r="G276" s="419"/>
      <c r="H276" s="416"/>
      <c r="I276" s="419"/>
      <c r="J276" s="352"/>
      <c r="K276" s="419"/>
      <c r="L276" s="352"/>
      <c r="M276" s="175"/>
      <c r="AE276" s="419"/>
      <c r="AF276" s="416"/>
      <c r="AG276" s="419"/>
      <c r="AH276" s="416"/>
      <c r="AI276" s="419"/>
      <c r="AJ276" s="416"/>
      <c r="AK276" s="419"/>
      <c r="AL276" s="352"/>
      <c r="AM276" s="419"/>
      <c r="AN276" s="352"/>
      <c r="AO276" s="175"/>
      <c r="BF276" s="310" t="s">
        <v>47</v>
      </c>
      <c r="BG276" s="314">
        <f>BG93+BG128</f>
        <v>0</v>
      </c>
      <c r="BH276" s="414">
        <f t="shared" si="255"/>
        <v>0</v>
      </c>
      <c r="BI276" s="314">
        <f ca="1">BI93+BI128</f>
        <v>0</v>
      </c>
      <c r="BJ276" s="414">
        <f t="shared" ca="1" si="255"/>
        <v>0</v>
      </c>
      <c r="BK276" s="314">
        <f ca="1">BK93+BK128</f>
        <v>0</v>
      </c>
      <c r="BL276" s="414">
        <f t="shared" ref="BL276" ca="1" si="258">IF(BK$262=0,"N.D.",BK276/BK$262)</f>
        <v>0</v>
      </c>
      <c r="BM276" s="314">
        <f ca="1">BG276-BI276</f>
        <v>0</v>
      </c>
      <c r="BN276" s="472" t="str">
        <f ca="1">IF(BI276=0,"N.D.",BG276/BI276-1)</f>
        <v>N.D.</v>
      </c>
      <c r="BO276" s="314">
        <f>BG276-BK277</f>
        <v>0</v>
      </c>
      <c r="BP276" s="472" t="str">
        <f>IF(BK277=0,"N.D.",BG276/BK277-1)</f>
        <v>N.D.</v>
      </c>
      <c r="BQ276" s="353"/>
    </row>
    <row r="277" spans="2:69" ht="12.5" hidden="1" customHeight="1" x14ac:dyDescent="0.25">
      <c r="C277" s="419"/>
      <c r="D277" s="416"/>
      <c r="E277" s="419"/>
      <c r="F277" s="416"/>
      <c r="G277" s="419"/>
      <c r="H277" s="416"/>
      <c r="I277" s="419"/>
      <c r="J277" s="352"/>
      <c r="K277" s="419"/>
      <c r="L277" s="352"/>
      <c r="M277" s="175"/>
      <c r="AE277" s="419"/>
      <c r="AF277" s="416"/>
      <c r="AG277" s="419"/>
      <c r="AH277" s="416"/>
      <c r="AI277" s="419"/>
      <c r="AJ277" s="416"/>
      <c r="AK277" s="419"/>
      <c r="AL277" s="352"/>
      <c r="AM277" s="419"/>
      <c r="AN277" s="352"/>
      <c r="AO277" s="175"/>
      <c r="BF277" s="310"/>
      <c r="BG277" s="314"/>
      <c r="BH277" s="414">
        <f t="shared" si="255"/>
        <v>0</v>
      </c>
      <c r="BI277" s="314"/>
      <c r="BJ277" s="414">
        <f t="shared" ca="1" si="255"/>
        <v>0</v>
      </c>
      <c r="BK277" s="314"/>
      <c r="BL277" s="414">
        <f t="shared" ref="BL277" ca="1" si="259">IF(BK$262=0,"N.D.",BK277/BK$262)</f>
        <v>0</v>
      </c>
      <c r="BM277" s="460"/>
      <c r="BN277" s="474"/>
      <c r="BO277" s="460"/>
      <c r="BP277" s="474"/>
      <c r="BQ277" s="353"/>
    </row>
    <row r="278" spans="2:69" ht="12.5" customHeight="1" x14ac:dyDescent="0.3">
      <c r="C278" s="446"/>
      <c r="D278" s="499"/>
      <c r="E278" s="446"/>
      <c r="F278" s="499"/>
      <c r="G278" s="446"/>
      <c r="H278" s="499"/>
      <c r="I278" s="446"/>
      <c r="J278" s="356"/>
      <c r="K278" s="446"/>
      <c r="L278" s="356"/>
      <c r="M278" s="175"/>
      <c r="AE278" s="446"/>
      <c r="AF278" s="499"/>
      <c r="AG278" s="446"/>
      <c r="AH278" s="499"/>
      <c r="AI278" s="446"/>
      <c r="AJ278" s="499"/>
      <c r="AK278" s="446"/>
      <c r="AL278" s="356"/>
      <c r="AM278" s="446"/>
      <c r="AN278" s="356"/>
      <c r="AO278" s="175"/>
      <c r="BF278" s="310" t="s">
        <v>48</v>
      </c>
      <c r="BG278" s="381">
        <f>+BG274+BG275</f>
        <v>-4</v>
      </c>
      <c r="BH278" s="415">
        <f t="shared" si="255"/>
        <v>-4.4150110375275938E-3</v>
      </c>
      <c r="BI278" s="381">
        <f ca="1">+BI274+BI275</f>
        <v>17.545999999999996</v>
      </c>
      <c r="BJ278" s="415">
        <f t="shared" ca="1" si="255"/>
        <v>1.7775013270983346E-2</v>
      </c>
      <c r="BK278" s="381">
        <f ca="1">+BK274+BK275</f>
        <v>15.106339999999998</v>
      </c>
      <c r="BL278" s="415">
        <f t="shared" ref="BL278" ca="1" si="260">IF(BK$262=0,"N.D.",BK278/BK$262)</f>
        <v>1.5868602274631945E-2</v>
      </c>
      <c r="BM278" s="381">
        <f ca="1">BG278-BI278</f>
        <v>-21.545999999999996</v>
      </c>
      <c r="BN278" s="402">
        <f ca="1">IF(BI278=0,"N.D.",BG278/BI278-1)</f>
        <v>-1.2279721873931382</v>
      </c>
      <c r="BO278" s="381">
        <f ca="1">BG278-BK278</f>
        <v>-19.106339999999996</v>
      </c>
      <c r="BP278" s="402">
        <f ca="1">IF(BK278=0,"N.D.",BG278/BK278-1)</f>
        <v>-1.2647894857391004</v>
      </c>
      <c r="BQ278" s="354"/>
    </row>
    <row r="279" spans="2:69" ht="12.5" customHeight="1" x14ac:dyDescent="0.3">
      <c r="C279" s="446"/>
      <c r="D279" s="499"/>
      <c r="E279" s="446"/>
      <c r="F279" s="499"/>
      <c r="G279" s="446"/>
      <c r="H279" s="499"/>
      <c r="I279" s="446"/>
      <c r="J279" s="356"/>
      <c r="K279" s="446"/>
      <c r="L279" s="356"/>
      <c r="M279" s="175"/>
      <c r="AE279" s="446"/>
      <c r="AF279" s="499"/>
      <c r="AG279" s="446"/>
      <c r="AH279" s="499"/>
      <c r="AI279" s="446"/>
      <c r="AJ279" s="499"/>
      <c r="AK279" s="446"/>
      <c r="AL279" s="356"/>
      <c r="AM279" s="446"/>
      <c r="AN279" s="356"/>
      <c r="AO279" s="175"/>
      <c r="BF279" s="310" t="s">
        <v>49</v>
      </c>
      <c r="BG279" s="381">
        <f>BG271-BG278</f>
        <v>14.639480023663737</v>
      </c>
      <c r="BH279" s="415">
        <f t="shared" si="255"/>
        <v>1.615836647203503E-2</v>
      </c>
      <c r="BI279" s="381">
        <f ca="1">BI271-BI278</f>
        <v>-19.940000000000001</v>
      </c>
      <c r="BJ279" s="415">
        <f t="shared" ca="1" si="255"/>
        <v>-2.0200260151795737E-2</v>
      </c>
      <c r="BK279" s="381">
        <f ca="1">BK271-BK278</f>
        <v>-44.505060000000022</v>
      </c>
      <c r="BL279" s="415">
        <f t="shared" ref="BL279" ca="1" si="261">IF(BK$262=0,"N.D.",BK279/BK$262)</f>
        <v>-4.6750774598521658E-2</v>
      </c>
      <c r="BM279" s="381">
        <f ca="1">BG279-BI279</f>
        <v>34.579480023663734</v>
      </c>
      <c r="BN279" s="402">
        <f ca="1">IF(BI279=0,"N.D.",BG279/BI279-1)</f>
        <v>-1.7341765307755135</v>
      </c>
      <c r="BO279" s="381">
        <f ca="1">BG279-BK279</f>
        <v>59.144540023663758</v>
      </c>
      <c r="BP279" s="402">
        <f ca="1">IF(BK279=0,"N.D.",BG279/BK279-1)</f>
        <v>-1.3289396761551098</v>
      </c>
      <c r="BQ279" s="354"/>
    </row>
    <row r="280" spans="2:69" ht="12.5" customHeight="1" x14ac:dyDescent="0.25">
      <c r="M280" s="175"/>
      <c r="AO280" s="175"/>
      <c r="BF280" s="310"/>
      <c r="BG280" s="419"/>
      <c r="BH280" s="416"/>
      <c r="BI280" s="419"/>
      <c r="BJ280" s="416"/>
      <c r="BK280" s="419"/>
      <c r="BL280" s="416"/>
      <c r="BM280" s="419"/>
      <c r="BN280" s="352"/>
      <c r="BO280" s="419"/>
      <c r="BP280" s="352"/>
      <c r="BQ280" s="352"/>
    </row>
    <row r="281" spans="2:69" ht="12.5" customHeight="1" x14ac:dyDescent="0.25">
      <c r="M281" s="175"/>
      <c r="AO281" s="175"/>
      <c r="BF281" s="310" t="s">
        <v>50</v>
      </c>
      <c r="BG281" s="418">
        <f>BG98+BG133</f>
        <v>0</v>
      </c>
      <c r="BH281" s="417">
        <f t="shared" ref="BH281:BJ289" si="262">IF(BG$262=0,"N.D.",BG281/BG$262)</f>
        <v>0</v>
      </c>
      <c r="BI281" s="418">
        <f ca="1">BI98+BI133</f>
        <v>0</v>
      </c>
      <c r="BJ281" s="417">
        <f t="shared" ca="1" si="262"/>
        <v>0</v>
      </c>
      <c r="BK281" s="418">
        <f ca="1">BK98+BK133</f>
        <v>0</v>
      </c>
      <c r="BL281" s="417">
        <f t="shared" ref="BL281" ca="1" si="263">IF(BK$262=0,"N.D.",BK281/BK$262)</f>
        <v>0</v>
      </c>
      <c r="BM281" s="418">
        <f t="shared" ref="BM281:BM289" ca="1" si="264">BG281-BI281</f>
        <v>0</v>
      </c>
      <c r="BN281" s="471" t="str">
        <f t="shared" ref="BN281:BN289" ca="1" si="265">IF(BI281=0,"N.D.",BG281/BI281-1)</f>
        <v>N.D.</v>
      </c>
      <c r="BO281" s="418">
        <f t="shared" ref="BO281:BO289" ca="1" si="266">BG281-BK281</f>
        <v>0</v>
      </c>
      <c r="BP281" s="471" t="str">
        <f t="shared" ref="BP281:BP289" ca="1" si="267">IF(BK281=0,"N.D.",BG281/BK281-1)</f>
        <v>N.D.</v>
      </c>
      <c r="BQ281" s="353"/>
    </row>
    <row r="282" spans="2:69" ht="12.5" customHeight="1" x14ac:dyDescent="0.25">
      <c r="M282" s="175"/>
      <c r="AO282" s="175"/>
      <c r="BF282" s="310" t="s">
        <v>51</v>
      </c>
      <c r="BG282" s="314">
        <f>BG99+BG134</f>
        <v>0</v>
      </c>
      <c r="BH282" s="414">
        <f t="shared" si="262"/>
        <v>0</v>
      </c>
      <c r="BI282" s="314">
        <f ca="1">BI99+BI134</f>
        <v>0</v>
      </c>
      <c r="BJ282" s="414">
        <f t="shared" ca="1" si="262"/>
        <v>0</v>
      </c>
      <c r="BK282" s="314">
        <f ca="1">BK99+BK134</f>
        <v>0</v>
      </c>
      <c r="BL282" s="414">
        <f t="shared" ref="BL282" ca="1" si="268">IF(BK$262=0,"N.D.",BK282/BK$262)</f>
        <v>0</v>
      </c>
      <c r="BM282" s="314">
        <f t="shared" ca="1" si="264"/>
        <v>0</v>
      </c>
      <c r="BN282" s="472" t="str">
        <f t="shared" ca="1" si="265"/>
        <v>N.D.</v>
      </c>
      <c r="BO282" s="314">
        <f t="shared" ca="1" si="266"/>
        <v>0</v>
      </c>
      <c r="BP282" s="472" t="str">
        <f t="shared" ca="1" si="267"/>
        <v>N.D.</v>
      </c>
      <c r="BQ282" s="353"/>
    </row>
    <row r="283" spans="2:69" ht="12.5" customHeight="1" x14ac:dyDescent="0.3">
      <c r="M283" s="175"/>
      <c r="AO283" s="175"/>
      <c r="BF283" s="310" t="s">
        <v>53</v>
      </c>
      <c r="BG283" s="381">
        <f>BG279-BG281-BG282</f>
        <v>14.639480023663737</v>
      </c>
      <c r="BH283" s="415">
        <f t="shared" si="262"/>
        <v>1.615836647203503E-2</v>
      </c>
      <c r="BI283" s="381">
        <f ca="1">BI279-BI281-BI282</f>
        <v>-19.940000000000001</v>
      </c>
      <c r="BJ283" s="415">
        <f t="shared" ca="1" si="262"/>
        <v>-2.0200260151795737E-2</v>
      </c>
      <c r="BK283" s="381">
        <f ca="1">BK279-BK281-BK282</f>
        <v>-44.505060000000022</v>
      </c>
      <c r="BL283" s="415">
        <f t="shared" ref="BL283" ca="1" si="269">IF(BK$262=0,"N.D.",BK283/BK$262)</f>
        <v>-4.6750774598521658E-2</v>
      </c>
      <c r="BM283" s="381">
        <f t="shared" ca="1" si="264"/>
        <v>34.579480023663734</v>
      </c>
      <c r="BN283" s="402">
        <f t="shared" ca="1" si="265"/>
        <v>-1.7341765307755135</v>
      </c>
      <c r="BO283" s="381">
        <f t="shared" ca="1" si="266"/>
        <v>59.144540023663758</v>
      </c>
      <c r="BP283" s="402">
        <f t="shared" ca="1" si="267"/>
        <v>-1.3289396761551098</v>
      </c>
      <c r="BQ283" s="354"/>
    </row>
    <row r="284" spans="2:69" ht="12.5" customHeight="1" x14ac:dyDescent="0.3">
      <c r="M284" s="175"/>
      <c r="AO284" s="175"/>
      <c r="BF284" s="310" t="s">
        <v>122</v>
      </c>
      <c r="BG284" s="381">
        <f>BG271+BG269</f>
        <v>13.639480023663737</v>
      </c>
      <c r="BH284" s="415">
        <f t="shared" si="262"/>
        <v>1.5054613712653131E-2</v>
      </c>
      <c r="BI284" s="381">
        <f ca="1">BI271+BI269</f>
        <v>0.44399999999999462</v>
      </c>
      <c r="BJ284" s="415">
        <f t="shared" ca="1" si="262"/>
        <v>4.4979516085241717E-4</v>
      </c>
      <c r="BK284" s="381">
        <f ca="1">BK271+BK269</f>
        <v>-24.697190000000028</v>
      </c>
      <c r="BL284" s="415">
        <f t="shared" ref="BL284" ca="1" si="270">IF(BK$262=0,"N.D.",BK284/BK$262)</f>
        <v>-2.5943404253513283E-2</v>
      </c>
      <c r="BM284" s="381">
        <f t="shared" ca="1" si="264"/>
        <v>13.195480023663741</v>
      </c>
      <c r="BN284" s="402">
        <f t="shared" ca="1" si="265"/>
        <v>29.719549602846627</v>
      </c>
      <c r="BO284" s="381">
        <f t="shared" ca="1" si="266"/>
        <v>38.336670023663764</v>
      </c>
      <c r="BP284" s="402">
        <f t="shared" ca="1" si="267"/>
        <v>-1.5522684979005192</v>
      </c>
      <c r="BQ284" s="354"/>
    </row>
    <row r="285" spans="2:69" ht="12.5" customHeight="1" x14ac:dyDescent="0.3">
      <c r="B285" s="379"/>
      <c r="M285" s="175"/>
      <c r="AD285" s="379"/>
      <c r="AO285" s="175"/>
      <c r="BF285" s="1" t="s">
        <v>194</v>
      </c>
      <c r="BG285" s="418">
        <f>BG102+BG137</f>
        <v>0</v>
      </c>
      <c r="BH285" s="475">
        <f t="shared" si="262"/>
        <v>0</v>
      </c>
      <c r="BI285" s="418">
        <f>BI102+BI137</f>
        <v>0</v>
      </c>
      <c r="BJ285" s="475">
        <f t="shared" ca="1" si="262"/>
        <v>0</v>
      </c>
      <c r="BK285" s="418">
        <f>BK102+BK137</f>
        <v>0</v>
      </c>
      <c r="BL285" s="475">
        <f t="shared" ref="BL285" ca="1" si="271">IF(BK$262=0,"N.D.",BK285/BK$262)</f>
        <v>0</v>
      </c>
      <c r="BM285" s="418">
        <f t="shared" si="264"/>
        <v>0</v>
      </c>
      <c r="BN285" s="471" t="str">
        <f t="shared" si="265"/>
        <v>N.D.</v>
      </c>
      <c r="BO285" s="418">
        <f t="shared" si="266"/>
        <v>0</v>
      </c>
      <c r="BP285" s="471" t="str">
        <f t="shared" si="267"/>
        <v>N.D.</v>
      </c>
      <c r="BQ285" s="354"/>
    </row>
    <row r="286" spans="2:69" ht="12.5" customHeight="1" x14ac:dyDescent="0.3">
      <c r="B286" s="379"/>
      <c r="M286" s="175"/>
      <c r="AD286" s="379"/>
      <c r="AO286" s="175"/>
      <c r="BF286" s="1" t="s">
        <v>123</v>
      </c>
      <c r="BG286" s="314">
        <f>BG103+BG138</f>
        <v>0</v>
      </c>
      <c r="BH286" s="476">
        <f t="shared" si="262"/>
        <v>0</v>
      </c>
      <c r="BI286" s="314">
        <f>BI103+BI138</f>
        <v>0</v>
      </c>
      <c r="BJ286" s="476">
        <f t="shared" ca="1" si="262"/>
        <v>0</v>
      </c>
      <c r="BK286" s="314">
        <f>BK103+BK138</f>
        <v>0</v>
      </c>
      <c r="BL286" s="476">
        <f t="shared" ref="BL286" ca="1" si="272">IF(BK$262=0,"N.D.",BK286/BK$262)</f>
        <v>0</v>
      </c>
      <c r="BM286" s="314">
        <f t="shared" si="264"/>
        <v>0</v>
      </c>
      <c r="BN286" s="472" t="str">
        <f t="shared" si="265"/>
        <v>N.D.</v>
      </c>
      <c r="BO286" s="314">
        <f t="shared" si="266"/>
        <v>0</v>
      </c>
      <c r="BP286" s="472" t="str">
        <f t="shared" si="267"/>
        <v>N.D.</v>
      </c>
      <c r="BQ286" s="354"/>
    </row>
    <row r="287" spans="2:69" ht="12.5" customHeight="1" x14ac:dyDescent="0.3">
      <c r="B287" s="379"/>
      <c r="M287" s="175"/>
      <c r="AD287" s="379"/>
      <c r="AO287" s="175"/>
      <c r="BF287" s="7" t="s">
        <v>190</v>
      </c>
      <c r="BG287" s="381">
        <f>+BG283+BG269+BG285+BG286</f>
        <v>17.639480023663737</v>
      </c>
      <c r="BH287" s="477">
        <f t="shared" si="262"/>
        <v>1.9469624750180724E-2</v>
      </c>
      <c r="BI287" s="381">
        <f ca="1">+BI283+BI269+BI285+BI286</f>
        <v>-17.102</v>
      </c>
      <c r="BJ287" s="477">
        <f t="shared" ca="1" si="262"/>
        <v>-1.7325218110130929E-2</v>
      </c>
      <c r="BK287" s="381">
        <f ca="1">+BK283+BK269+BK285+BK286</f>
        <v>-39.803530000000023</v>
      </c>
      <c r="BL287" s="477">
        <f t="shared" ref="BL287" ca="1" si="273">IF(BK$262=0,"N.D.",BK287/BK$262)</f>
        <v>-4.1812006528145228E-2</v>
      </c>
      <c r="BM287" s="381">
        <f t="shared" ca="1" si="264"/>
        <v>34.74148002366374</v>
      </c>
      <c r="BN287" s="402">
        <f t="shared" ca="1" si="265"/>
        <v>-2.0314279045529027</v>
      </c>
      <c r="BO287" s="381">
        <f t="shared" ca="1" si="266"/>
        <v>57.44301002366376</v>
      </c>
      <c r="BP287" s="402">
        <f t="shared" ca="1" si="267"/>
        <v>-1.4431637099439101</v>
      </c>
      <c r="BQ287" s="354"/>
    </row>
    <row r="288" spans="2:69" ht="12.5" customHeight="1" x14ac:dyDescent="0.3">
      <c r="B288" s="379"/>
      <c r="M288" s="175"/>
      <c r="AD288" s="379"/>
      <c r="AO288" s="175"/>
      <c r="BF288" s="7" t="s">
        <v>191</v>
      </c>
      <c r="BG288" s="381">
        <f>BG105+BG140</f>
        <v>0</v>
      </c>
      <c r="BH288" s="477">
        <f t="shared" si="262"/>
        <v>0</v>
      </c>
      <c r="BI288" s="381">
        <v>16</v>
      </c>
      <c r="BJ288" s="477">
        <f t="shared" ca="1" si="262"/>
        <v>1.6208834625312526E-2</v>
      </c>
      <c r="BK288" s="381">
        <f>+BDLT!AC59/1000</f>
        <v>0</v>
      </c>
      <c r="BL288" s="477">
        <f t="shared" ref="BL288" ca="1" si="274">IF(BK$262=0,"N.D.",BK288/BK$262)</f>
        <v>0</v>
      </c>
      <c r="BM288" s="381">
        <f t="shared" si="264"/>
        <v>-16</v>
      </c>
      <c r="BN288" s="402">
        <f t="shared" si="265"/>
        <v>-1</v>
      </c>
      <c r="BO288" s="381">
        <f t="shared" si="266"/>
        <v>0</v>
      </c>
      <c r="BP288" s="402" t="str">
        <f t="shared" si="267"/>
        <v>N.D.</v>
      </c>
      <c r="BQ288" s="354"/>
    </row>
    <row r="289" spans="2:69" ht="12.5" customHeight="1" x14ac:dyDescent="0.3">
      <c r="B289" s="379"/>
      <c r="M289" s="175"/>
      <c r="AD289" s="379"/>
      <c r="AO289" s="175"/>
      <c r="BF289" s="7" t="s">
        <v>84</v>
      </c>
      <c r="BG289" s="381">
        <f>BG287-BG288</f>
        <v>17.639480023663737</v>
      </c>
      <c r="BH289" s="477">
        <f t="shared" si="262"/>
        <v>1.9469624750180724E-2</v>
      </c>
      <c r="BI289" s="381">
        <f ca="1">BI287-BI288</f>
        <v>-33.102000000000004</v>
      </c>
      <c r="BJ289" s="477">
        <f t="shared" ca="1" si="262"/>
        <v>-3.3534052735443458E-2</v>
      </c>
      <c r="BK289" s="381">
        <f ca="1">BK287-BK288</f>
        <v>-39.803530000000023</v>
      </c>
      <c r="BL289" s="477">
        <f t="shared" ref="BL289" ca="1" si="275">IF(BK$262=0,"N.D.",BK289/BK$262)</f>
        <v>-4.1812006528145228E-2</v>
      </c>
      <c r="BM289" s="381">
        <f t="shared" ca="1" si="264"/>
        <v>50.74148002366374</v>
      </c>
      <c r="BN289" s="402">
        <f t="shared" ca="1" si="265"/>
        <v>-1.532882605995521</v>
      </c>
      <c r="BO289" s="381">
        <f t="shared" ca="1" si="266"/>
        <v>57.44301002366376</v>
      </c>
      <c r="BP289" s="402">
        <f t="shared" ca="1" si="267"/>
        <v>-1.4431637099439101</v>
      </c>
      <c r="BQ289" s="354"/>
    </row>
    <row r="290" spans="2:69" ht="12.5" customHeight="1" x14ac:dyDescent="0.3">
      <c r="B290" s="379"/>
      <c r="M290" s="175"/>
      <c r="AD290" s="379"/>
      <c r="AO290" s="175"/>
      <c r="BF290" s="1" t="s">
        <v>193</v>
      </c>
      <c r="BG290" s="412" t="str">
        <f>IF(BG288=0,"N.D.",(BG287-BG285-BG286)/BG288)</f>
        <v>N.D.</v>
      </c>
      <c r="BH290" s="478"/>
      <c r="BI290" s="412">
        <f ca="1">IF(BI288=0,"N.D.",(BI287-BI285-BI286)/BI288)</f>
        <v>-1.068875</v>
      </c>
      <c r="BJ290" s="478"/>
      <c r="BK290" s="412" t="str">
        <f>IF(BK288=0,"N.D.",(BK287-BK285-BK286)/BK288)</f>
        <v>N.D.</v>
      </c>
      <c r="BL290" s="478"/>
      <c r="BM290" s="479"/>
      <c r="BN290" s="354"/>
      <c r="BO290" s="479"/>
      <c r="BP290" s="354"/>
      <c r="BQ290" s="354"/>
    </row>
    <row r="291" spans="2:69" ht="12.5" customHeight="1" x14ac:dyDescent="0.3">
      <c r="B291" s="379"/>
      <c r="M291" s="175"/>
      <c r="AD291" s="379"/>
      <c r="AO291" s="175"/>
      <c r="BF291" s="379"/>
      <c r="BG291" s="479"/>
      <c r="BH291" s="493"/>
      <c r="BI291" s="479"/>
      <c r="BJ291" s="493"/>
      <c r="BK291" s="479"/>
      <c r="BL291" s="493"/>
      <c r="BM291" s="479"/>
      <c r="BN291" s="354"/>
      <c r="BO291" s="479"/>
      <c r="BP291" s="354"/>
      <c r="BQ291" s="354"/>
    </row>
    <row r="292" spans="2:69" ht="12.5" customHeight="1" x14ac:dyDescent="0.3">
      <c r="B292" s="379"/>
      <c r="M292" s="175"/>
      <c r="AD292" s="379"/>
      <c r="AO292" s="175"/>
      <c r="BF292" s="379"/>
      <c r="BG292" s="479"/>
      <c r="BH292" s="493"/>
      <c r="BI292" s="479"/>
      <c r="BJ292" s="493"/>
      <c r="BK292" s="479"/>
      <c r="BL292" s="493"/>
      <c r="BM292" s="479"/>
      <c r="BN292" s="354"/>
      <c r="BO292" s="479"/>
      <c r="BP292" s="354"/>
      <c r="BQ292" s="354"/>
    </row>
    <row r="293" spans="2:69" ht="12.5" customHeight="1" x14ac:dyDescent="0.25">
      <c r="M293" s="175"/>
      <c r="AO293" s="175"/>
    </row>
    <row r="294" spans="2:69" ht="12.5" customHeight="1" x14ac:dyDescent="0.25">
      <c r="M294" s="175"/>
      <c r="AO294" s="175"/>
    </row>
    <row r="295" spans="2:69" ht="12.5" customHeight="1" x14ac:dyDescent="0.3">
      <c r="M295" s="175"/>
      <c r="AO295" s="175"/>
      <c r="BF295" s="310"/>
      <c r="BG295" s="739" t="s">
        <v>495</v>
      </c>
      <c r="BH295" s="739"/>
      <c r="BI295" s="739"/>
      <c r="BJ295" s="739"/>
      <c r="BK295" s="739"/>
      <c r="BL295" s="739"/>
      <c r="BM295" s="739"/>
      <c r="BN295" s="739"/>
      <c r="BO295" s="739"/>
      <c r="BP295" s="739"/>
      <c r="BQ295" s="349"/>
    </row>
    <row r="296" spans="2:69" ht="12.5" customHeight="1" x14ac:dyDescent="0.3">
      <c r="M296" s="175"/>
      <c r="AO296" s="175"/>
      <c r="BF296" s="310"/>
      <c r="BG296" s="739" t="s">
        <v>18</v>
      </c>
      <c r="BH296" s="739"/>
      <c r="BI296" s="739"/>
      <c r="BJ296" s="739"/>
      <c r="BK296" s="739"/>
      <c r="BL296" s="739"/>
      <c r="BM296" s="739"/>
      <c r="BN296" s="739"/>
      <c r="BO296" s="739"/>
      <c r="BP296" s="739"/>
      <c r="BQ296" s="349"/>
    </row>
    <row r="297" spans="2:69" ht="12.5" customHeight="1" x14ac:dyDescent="0.3">
      <c r="M297" s="175"/>
      <c r="AO297" s="175"/>
      <c r="BF297" s="311" t="s">
        <v>453</v>
      </c>
      <c r="BG297" s="740" t="str">
        <f>$BG$41</f>
        <v>Projection- Julio 2019</v>
      </c>
      <c r="BH297" s="740"/>
      <c r="BI297" s="740"/>
      <c r="BJ297" s="740"/>
      <c r="BK297" s="740"/>
      <c r="BL297" s="740"/>
      <c r="BM297" s="740"/>
      <c r="BN297" s="740"/>
      <c r="BO297" s="740"/>
      <c r="BP297" s="740"/>
      <c r="BQ297" s="350"/>
    </row>
    <row r="298" spans="2:69" ht="12.5" customHeight="1" x14ac:dyDescent="0.3">
      <c r="M298" s="175"/>
      <c r="AO298" s="175"/>
      <c r="BF298" s="310"/>
      <c r="BG298" s="394" t="s">
        <v>502</v>
      </c>
      <c r="BH298" s="464"/>
      <c r="BI298" s="394" t="s">
        <v>4</v>
      </c>
      <c r="BJ298" s="464"/>
      <c r="BK298" s="394" t="s">
        <v>9</v>
      </c>
      <c r="BL298" s="465"/>
      <c r="BM298" s="349" t="s">
        <v>6</v>
      </c>
      <c r="BN298" s="351"/>
      <c r="BO298" s="349" t="s">
        <v>7</v>
      </c>
      <c r="BP298" s="351"/>
      <c r="BQ298" s="351"/>
    </row>
    <row r="299" spans="2:69" ht="12.5" customHeight="1" x14ac:dyDescent="0.25">
      <c r="M299" s="175"/>
      <c r="AO299" s="175"/>
      <c r="BF299" s="310"/>
      <c r="BG299" s="480"/>
      <c r="BH299" s="467"/>
      <c r="BI299" s="468"/>
      <c r="BJ299" s="467"/>
      <c r="BK299" s="483"/>
      <c r="BL299" s="470"/>
      <c r="BM299" s="419"/>
      <c r="BN299" s="352"/>
      <c r="BO299" s="419"/>
      <c r="BP299" s="352"/>
      <c r="BQ299" s="352"/>
    </row>
    <row r="300" spans="2:69" ht="12.5" customHeight="1" x14ac:dyDescent="0.25">
      <c r="BF300" s="310" t="s">
        <v>38</v>
      </c>
      <c r="BG300" s="418">
        <f>BG149+BG187</f>
        <v>507</v>
      </c>
      <c r="BH300" s="417">
        <f>IF(BG$300=0,"N.D.",BG300/BG$300)</f>
        <v>1</v>
      </c>
      <c r="BI300" s="418">
        <f ca="1">BI149+BI187</f>
        <v>557.15599999999995</v>
      </c>
      <c r="BJ300" s="417">
        <f ca="1">IF(BI$300=0,"N.D.",BI300/BI$300)</f>
        <v>1</v>
      </c>
      <c r="BK300" s="418">
        <f ca="1">BK149+BK187</f>
        <v>580.91976999999997</v>
      </c>
      <c r="BL300" s="417">
        <f ca="1">IF(BK$300=0,"N.D.",BK300/BK$300)</f>
        <v>1</v>
      </c>
      <c r="BM300" s="418">
        <f ca="1">BG300-BI300</f>
        <v>-50.155999999999949</v>
      </c>
      <c r="BN300" s="471">
        <f ca="1">IF(BI300=0,"N.D.",BG300/BI300-1)</f>
        <v>-9.0021466160285391E-2</v>
      </c>
      <c r="BO300" s="418">
        <f ca="1">BG300-BK300</f>
        <v>-73.919769999999971</v>
      </c>
      <c r="BP300" s="471">
        <f ca="1">IF(BK300=0,"N.D.",BG300/BK300-1)</f>
        <v>-0.12724609114267182</v>
      </c>
      <c r="BQ300" s="353"/>
    </row>
    <row r="301" spans="2:69" ht="15.5" customHeight="1" x14ac:dyDescent="0.25">
      <c r="BF301" s="310" t="s">
        <v>39</v>
      </c>
      <c r="BG301" s="314">
        <f>BG150+BG188</f>
        <v>172.81485901444393</v>
      </c>
      <c r="BH301" s="414">
        <f t="shared" ref="BH301:BJ327" si="276">IF(BG$300=0,"N.D.",BG301/BG$300)</f>
        <v>0.34085771008766058</v>
      </c>
      <c r="BI301" s="314">
        <f ca="1">BI150+BI188</f>
        <v>193.06799999999998</v>
      </c>
      <c r="BJ301" s="414">
        <f t="shared" ca="1" si="276"/>
        <v>0.34652413327685605</v>
      </c>
      <c r="BK301" s="314">
        <f ca="1">BK150+BK188</f>
        <v>200.49471</v>
      </c>
      <c r="BL301" s="414">
        <f t="shared" ref="BL301" ca="1" si="277">IF(BK$300=0,"N.D.",BK301/BK$300)</f>
        <v>0.34513321865427304</v>
      </c>
      <c r="BM301" s="314">
        <f ca="1">BG301-BI301</f>
        <v>-20.253140985556058</v>
      </c>
      <c r="BN301" s="472">
        <f ca="1">IF(BI301=0,"N.D.",BG301/BI301-1)</f>
        <v>-0.10490159418213307</v>
      </c>
      <c r="BO301" s="314">
        <f ca="1">BG301-BK301</f>
        <v>-27.679850985556072</v>
      </c>
      <c r="BP301" s="472">
        <f ca="1">IF(BK301=0,"N.D.",BG301/BK301-1)</f>
        <v>-0.1380577621502137</v>
      </c>
      <c r="BQ301" s="353"/>
    </row>
    <row r="302" spans="2:69" hidden="1" x14ac:dyDescent="0.25">
      <c r="BF302" s="310" t="s">
        <v>219</v>
      </c>
      <c r="BG302" s="314">
        <f>BG151+BG189</f>
        <v>0</v>
      </c>
      <c r="BH302" s="414">
        <f t="shared" si="276"/>
        <v>0</v>
      </c>
      <c r="BI302" s="314">
        <f>BI151+BI189</f>
        <v>0</v>
      </c>
      <c r="BJ302" s="414">
        <f t="shared" ca="1" si="276"/>
        <v>0</v>
      </c>
      <c r="BK302" s="314">
        <f>BK151+BK189</f>
        <v>0</v>
      </c>
      <c r="BL302" s="414">
        <f t="shared" ref="BL302" ca="1" si="278">IF(BK$300=0,"N.D.",BK302/BK$300)</f>
        <v>0</v>
      </c>
      <c r="BM302" s="314">
        <f>BG302-BI302</f>
        <v>0</v>
      </c>
      <c r="BN302" s="472" t="str">
        <f>IF(BI302=0,"N.D.",BG302/BI302-1)</f>
        <v>N.D.</v>
      </c>
      <c r="BO302" s="314">
        <f>BG302-BK302</f>
        <v>0</v>
      </c>
      <c r="BP302" s="472" t="str">
        <f>IF(BK302=0,"N.D.",BG302/BK302-1)</f>
        <v>N.D.</v>
      </c>
      <c r="BQ302" s="353"/>
    </row>
    <row r="303" spans="2:69" ht="12.5" customHeight="1" x14ac:dyDescent="0.3">
      <c r="BF303" s="310" t="s">
        <v>40</v>
      </c>
      <c r="BG303" s="381">
        <f>BG300-BG301-BG302</f>
        <v>334.18514098555607</v>
      </c>
      <c r="BH303" s="415">
        <f t="shared" si="276"/>
        <v>0.65914228991233936</v>
      </c>
      <c r="BI303" s="381">
        <f ca="1">BI300-BI301-BI302</f>
        <v>364.08799999999997</v>
      </c>
      <c r="BJ303" s="415">
        <f t="shared" ca="1" si="276"/>
        <v>0.65347586672314395</v>
      </c>
      <c r="BK303" s="381">
        <f ca="1">BK300-BK301-BK302</f>
        <v>380.42505999999997</v>
      </c>
      <c r="BL303" s="415">
        <f t="shared" ref="BL303" ca="1" si="279">IF(BK$300=0,"N.D.",BK303/BK$300)</f>
        <v>0.65486678134572696</v>
      </c>
      <c r="BM303" s="381">
        <f ca="1">BG303-BI303</f>
        <v>-29.902859014443891</v>
      </c>
      <c r="BN303" s="402">
        <f ca="1">IF(BI303=0,"N.D.",BG303/BI303-1)</f>
        <v>-8.2130855766858302E-2</v>
      </c>
      <c r="BO303" s="381">
        <f ca="1">BG303-BK303</f>
        <v>-46.239919014443899</v>
      </c>
      <c r="BP303" s="402">
        <f ca="1">IF(BK303=0,"N.D.",BG303/BK303-1)</f>
        <v>-0.12154803633189648</v>
      </c>
      <c r="BQ303" s="354"/>
    </row>
    <row r="304" spans="2:69" ht="12.5" customHeight="1" x14ac:dyDescent="0.25">
      <c r="BF304" s="310"/>
      <c r="BG304" s="419"/>
      <c r="BH304" s="416">
        <f t="shared" si="276"/>
        <v>0</v>
      </c>
      <c r="BI304" s="419"/>
      <c r="BJ304" s="416">
        <f t="shared" ca="1" si="276"/>
        <v>0</v>
      </c>
      <c r="BK304" s="419"/>
      <c r="BL304" s="416">
        <f t="shared" ref="BL304" ca="1" si="280">IF(BK$300=0,"N.D.",BK304/BK$300)</f>
        <v>0</v>
      </c>
      <c r="BM304" s="419"/>
      <c r="BN304" s="352"/>
      <c r="BO304" s="419"/>
      <c r="BP304" s="352"/>
      <c r="BQ304" s="352"/>
    </row>
    <row r="305" spans="58:69" ht="12.5" customHeight="1" x14ac:dyDescent="0.25">
      <c r="BF305" s="310" t="s">
        <v>41</v>
      </c>
      <c r="BG305" s="418">
        <f t="shared" ref="BG305:BI307" si="281">BG154+BG192</f>
        <v>337.33225290174778</v>
      </c>
      <c r="BH305" s="417">
        <f t="shared" si="276"/>
        <v>0.66534961124605085</v>
      </c>
      <c r="BI305" s="418">
        <f t="shared" ca="1" si="281"/>
        <v>369.95600000000002</v>
      </c>
      <c r="BJ305" s="417">
        <f t="shared" ca="1" si="276"/>
        <v>0.66400792596687475</v>
      </c>
      <c r="BK305" s="418">
        <f t="shared" ref="BK305" ca="1" si="282">BK154+BK192</f>
        <v>378.45837</v>
      </c>
      <c r="BL305" s="417">
        <f t="shared" ref="BL305" ca="1" si="283">IF(BK$300=0,"N.D.",BK305/BK$300)</f>
        <v>0.65148130524116954</v>
      </c>
      <c r="BM305" s="418">
        <f ca="1">BG305-BI305</f>
        <v>-32.623747098252238</v>
      </c>
      <c r="BN305" s="471">
        <f ca="1">IF(BI305=0,"N.D.",BG305/BI305-1)</f>
        <v>-8.8182776055131473E-2</v>
      </c>
      <c r="BO305" s="418">
        <f ca="1">BG305-BK305</f>
        <v>-41.126117098252223</v>
      </c>
      <c r="BP305" s="471">
        <f ca="1">IF(BK305=0,"N.D.",BG305/BK305-1)</f>
        <v>-0.10866747932738874</v>
      </c>
      <c r="BQ305" s="353"/>
    </row>
    <row r="306" spans="58:69" ht="12.5" customHeight="1" x14ac:dyDescent="0.25">
      <c r="BF306" s="310" t="s">
        <v>42</v>
      </c>
      <c r="BG306" s="314">
        <f t="shared" si="281"/>
        <v>34</v>
      </c>
      <c r="BH306" s="414">
        <f t="shared" si="276"/>
        <v>6.7061143984220903E-2</v>
      </c>
      <c r="BI306" s="314">
        <f t="shared" ca="1" si="281"/>
        <v>28.453000000000003</v>
      </c>
      <c r="BJ306" s="414">
        <f t="shared" ca="1" si="276"/>
        <v>5.1068282491797637E-2</v>
      </c>
      <c r="BK306" s="314">
        <f t="shared" ref="BK306" ca="1" si="284">BK155+BK193</f>
        <v>35.665149999999997</v>
      </c>
      <c r="BL306" s="414">
        <f t="shared" ref="BL306" ca="1" si="285">IF(BK$300=0,"N.D.",BK306/BK$300)</f>
        <v>6.1394278249473244E-2</v>
      </c>
      <c r="BM306" s="314">
        <f ca="1">BG313-BI306</f>
        <v>-28.453000000000003</v>
      </c>
      <c r="BN306" s="472">
        <f ca="1">IF(BI306=0,"N.D.",BG313/BI306-1)</f>
        <v>-1</v>
      </c>
      <c r="BO306" s="314">
        <f ca="1">BG313-BK313</f>
        <v>-3.3204599999999997</v>
      </c>
      <c r="BP306" s="472">
        <f ca="1">IF(BK313=0,"N.D.",BG313/BK313-1)</f>
        <v>-1</v>
      </c>
      <c r="BQ306" s="353"/>
    </row>
    <row r="307" spans="58:69" ht="12.5" customHeight="1" x14ac:dyDescent="0.25">
      <c r="BF307" s="310" t="s">
        <v>43</v>
      </c>
      <c r="BG307" s="460">
        <f t="shared" si="281"/>
        <v>24</v>
      </c>
      <c r="BH307" s="491">
        <f t="shared" si="276"/>
        <v>4.7337278106508875E-2</v>
      </c>
      <c r="BI307" s="460">
        <f t="shared" ca="1" si="281"/>
        <v>23.966000000000001</v>
      </c>
      <c r="BJ307" s="491">
        <f t="shared" ca="1" si="276"/>
        <v>4.3014882725843397E-2</v>
      </c>
      <c r="BK307" s="460">
        <f t="shared" ref="BK307" ca="1" si="286">BK156+BK194</f>
        <v>27.132559999999998</v>
      </c>
      <c r="BL307" s="491">
        <f t="shared" ref="BL307" ca="1" si="287">IF(BK$300=0,"N.D.",BK307/BK$300)</f>
        <v>4.6706208673187345E-2</v>
      </c>
      <c r="BM307" s="314">
        <f ca="1">BG307-BI307</f>
        <v>3.399999999999892E-2</v>
      </c>
      <c r="BN307" s="472">
        <f ca="1">IF(BI307=0,"N.D.",BG307/BI307-1)</f>
        <v>1.4186764583159484E-3</v>
      </c>
      <c r="BO307" s="314">
        <f ca="1">BG307-BK307</f>
        <v>-3.132559999999998</v>
      </c>
      <c r="BP307" s="472">
        <f ca="1">IF(BK307=0,"N.D.",BG307/BK307-1)</f>
        <v>-0.11545390482873708</v>
      </c>
      <c r="BQ307" s="353"/>
    </row>
    <row r="308" spans="58:69" ht="12.5" customHeight="1" x14ac:dyDescent="0.3">
      <c r="BF308" s="310" t="s">
        <v>44</v>
      </c>
      <c r="BG308" s="381">
        <f>BG305+BG306+BG307</f>
        <v>395.33225290174778</v>
      </c>
      <c r="BH308" s="415">
        <f t="shared" si="276"/>
        <v>0.77974803333678067</v>
      </c>
      <c r="BI308" s="381">
        <f ca="1">BI305+BI306+BI307</f>
        <v>422.375</v>
      </c>
      <c r="BJ308" s="415">
        <f t="shared" ca="1" si="276"/>
        <v>0.75809109118451568</v>
      </c>
      <c r="BK308" s="381">
        <f ca="1">BK305+BK306+BK307</f>
        <v>441.25608</v>
      </c>
      <c r="BL308" s="415">
        <f t="shared" ref="BL308" ca="1" si="288">IF(BK$300=0,"N.D.",BK308/BK$300)</f>
        <v>0.75958179216383015</v>
      </c>
      <c r="BM308" s="381">
        <f ca="1">BG308-BI308</f>
        <v>-27.042747098252221</v>
      </c>
      <c r="BN308" s="402">
        <f ca="1">IF(BI308=0,"N.D.",BG308/BI308-1)</f>
        <v>-6.4025444446883073E-2</v>
      </c>
      <c r="BO308" s="381">
        <f ca="1">BG308-BK308</f>
        <v>-45.923827098252218</v>
      </c>
      <c r="BP308" s="402">
        <f ca="1">IF(BK308=0,"N.D.",BG308/BK308-1)</f>
        <v>-0.10407522792264357</v>
      </c>
      <c r="BQ308" s="354"/>
    </row>
    <row r="309" spans="58:69" ht="12.5" customHeight="1" x14ac:dyDescent="0.3">
      <c r="BF309" s="310" t="s">
        <v>45</v>
      </c>
      <c r="BG309" s="381">
        <f>BG303-BG308</f>
        <v>-61.147111916191704</v>
      </c>
      <c r="BH309" s="415">
        <f t="shared" si="276"/>
        <v>-0.12060574342444123</v>
      </c>
      <c r="BI309" s="381">
        <f ca="1">BI303-BI308</f>
        <v>-58.287000000000035</v>
      </c>
      <c r="BJ309" s="415">
        <f t="shared" ca="1" si="276"/>
        <v>-0.10461522446137175</v>
      </c>
      <c r="BK309" s="381">
        <f ca="1">BK303-BK308</f>
        <v>-60.831020000000024</v>
      </c>
      <c r="BL309" s="415">
        <f t="shared" ref="BL309" ca="1" si="289">IF(BK$300=0,"N.D.",BK309/BK$300)</f>
        <v>-0.10471501081810321</v>
      </c>
      <c r="BM309" s="381">
        <f ca="1">BG309-BI309</f>
        <v>-2.8601119161916699</v>
      </c>
      <c r="BN309" s="402">
        <f ca="1">IF(BI309=0,"N.D.",BG309/BI309-1)</f>
        <v>4.9069465167046911E-2</v>
      </c>
      <c r="BO309" s="381">
        <f ca="1">BG309-BK309</f>
        <v>-0.31609191619168087</v>
      </c>
      <c r="BP309" s="402">
        <f ca="1">IF(BK309=0,"N.D.",BG309/BK309-1)</f>
        <v>5.1962290981095727E-3</v>
      </c>
      <c r="BQ309" s="354"/>
    </row>
    <row r="310" spans="58:69" ht="12.5" customHeight="1" x14ac:dyDescent="0.25">
      <c r="BF310" s="310"/>
      <c r="BG310" s="437"/>
      <c r="BH310" s="487">
        <f t="shared" si="276"/>
        <v>0</v>
      </c>
      <c r="BI310" s="437"/>
      <c r="BJ310" s="487">
        <f t="shared" ca="1" si="276"/>
        <v>0</v>
      </c>
      <c r="BK310" s="437"/>
      <c r="BL310" s="487">
        <f t="shared" ref="BL310" ca="1" si="290">IF(BK$300=0,"N.D.",BK310/BK$300)</f>
        <v>0</v>
      </c>
      <c r="BM310" s="437"/>
      <c r="BN310" s="473"/>
      <c r="BO310" s="437"/>
      <c r="BP310" s="473"/>
      <c r="BQ310" s="352"/>
    </row>
    <row r="311" spans="58:69" ht="12.5" hidden="1" customHeight="1" x14ac:dyDescent="0.25">
      <c r="BF311" s="310"/>
      <c r="BG311" s="418"/>
      <c r="BH311" s="417">
        <f t="shared" si="276"/>
        <v>0</v>
      </c>
      <c r="BI311" s="418"/>
      <c r="BJ311" s="417">
        <f t="shared" ca="1" si="276"/>
        <v>0</v>
      </c>
      <c r="BK311" s="418"/>
      <c r="BL311" s="417">
        <f t="shared" ref="BL311" ca="1" si="291">IF(BK$300=0,"N.D.",BK311/BK$300)</f>
        <v>0</v>
      </c>
      <c r="BM311" s="418"/>
      <c r="BN311" s="471"/>
      <c r="BO311" s="418"/>
      <c r="BP311" s="471"/>
      <c r="BQ311" s="353"/>
    </row>
    <row r="312" spans="58:69" ht="12.5" customHeight="1" x14ac:dyDescent="0.25">
      <c r="BF312" s="310" t="s">
        <v>52</v>
      </c>
      <c r="BG312" s="314">
        <f t="shared" ref="BG312:BI314" si="292">BG161+BG199</f>
        <v>-4</v>
      </c>
      <c r="BH312" s="414">
        <f t="shared" si="276"/>
        <v>-7.889546351084813E-3</v>
      </c>
      <c r="BI312" s="314">
        <f t="shared" ca="1" si="292"/>
        <v>-4.3789999999999996</v>
      </c>
      <c r="BJ312" s="414">
        <f t="shared" ca="1" si="276"/>
        <v>-7.8595581847812814E-3</v>
      </c>
      <c r="BK312" s="314">
        <f t="shared" ref="BK312" ca="1" si="293">BK161+BK199</f>
        <v>-0.56505000000000005</v>
      </c>
      <c r="BL312" s="414">
        <f t="shared" ref="BL312" ca="1" si="294">IF(BK$300=0,"N.D.",BK312/BK$300)</f>
        <v>-9.7268164930933588E-4</v>
      </c>
      <c r="BM312" s="314">
        <f ca="1">BG312-BI312</f>
        <v>0.37899999999999956</v>
      </c>
      <c r="BN312" s="472">
        <f ca="1">IF(BI312=0,"N.D.",BG312/BI312-1)</f>
        <v>-8.6549440511532238E-2</v>
      </c>
      <c r="BO312" s="314">
        <f ca="1">BG312-BK313</f>
        <v>-7.3204599999999997</v>
      </c>
      <c r="BP312" s="472">
        <f ca="1">IF(BK313=0,"N.D.",BG312/BK313-1)</f>
        <v>-2.2046523674430651</v>
      </c>
      <c r="BQ312" s="353"/>
    </row>
    <row r="313" spans="58:69" ht="12.5" customHeight="1" x14ac:dyDescent="0.25">
      <c r="BF313" s="310" t="s">
        <v>184</v>
      </c>
      <c r="BG313" s="314">
        <f t="shared" si="292"/>
        <v>0</v>
      </c>
      <c r="BH313" s="414">
        <f t="shared" si="276"/>
        <v>0</v>
      </c>
      <c r="BI313" s="314">
        <f t="shared" ca="1" si="292"/>
        <v>0</v>
      </c>
      <c r="BJ313" s="414">
        <f t="shared" ca="1" si="276"/>
        <v>0</v>
      </c>
      <c r="BK313" s="314">
        <f t="shared" ref="BK313" ca="1" si="295">BK162+BK200</f>
        <v>3.3204599999999997</v>
      </c>
      <c r="BL313" s="414">
        <f t="shared" ref="BL313" ca="1" si="296">IF(BK$300=0,"N.D.",BK313/BK$300)</f>
        <v>5.7158667538548397E-3</v>
      </c>
      <c r="BM313" s="314">
        <f ca="1">BG313-BI313</f>
        <v>0</v>
      </c>
      <c r="BN313" s="472" t="str">
        <f ca="1">IF(BI313=0,"N.D.",BG313/BI313-1)</f>
        <v>N.D.</v>
      </c>
      <c r="BO313" s="314">
        <f ca="1">BG313-BK314</f>
        <v>0</v>
      </c>
      <c r="BP313" s="472" t="str">
        <f ca="1">IF(BK314=0,"N.D.",BG313/BK314-1)</f>
        <v>N.D.</v>
      </c>
      <c r="BQ313" s="353"/>
    </row>
    <row r="314" spans="58:69" ht="12.5" customHeight="1" x14ac:dyDescent="0.25">
      <c r="BF314" s="310" t="s">
        <v>47</v>
      </c>
      <c r="BG314" s="314">
        <f t="shared" si="292"/>
        <v>0</v>
      </c>
      <c r="BH314" s="414">
        <f t="shared" si="276"/>
        <v>0</v>
      </c>
      <c r="BI314" s="314">
        <f t="shared" ca="1" si="292"/>
        <v>0</v>
      </c>
      <c r="BJ314" s="414">
        <f t="shared" ca="1" si="276"/>
        <v>0</v>
      </c>
      <c r="BK314" s="314">
        <f t="shared" ref="BK314" ca="1" si="297">BK163+BK201</f>
        <v>0</v>
      </c>
      <c r="BL314" s="414">
        <f t="shared" ref="BL314" ca="1" si="298">IF(BK$300=0,"N.D.",BK314/BK$300)</f>
        <v>0</v>
      </c>
      <c r="BM314" s="314">
        <f ca="1">BG314-BI314</f>
        <v>0</v>
      </c>
      <c r="BN314" s="472" t="str">
        <f ca="1">IF(BI314=0,"N.D.",BG314/BI314-1)</f>
        <v>N.D.</v>
      </c>
      <c r="BO314" s="314">
        <f>BG314-BK315</f>
        <v>0</v>
      </c>
      <c r="BP314" s="472" t="str">
        <f>IF(BK315=0,"N.D.",BG314/BK315-1)</f>
        <v>N.D.</v>
      </c>
      <c r="BQ314" s="353"/>
    </row>
    <row r="315" spans="58:69" ht="12.5" hidden="1" customHeight="1" x14ac:dyDescent="0.25">
      <c r="BF315" s="310"/>
      <c r="BG315" s="314"/>
      <c r="BH315" s="414">
        <f t="shared" si="276"/>
        <v>0</v>
      </c>
      <c r="BI315" s="314"/>
      <c r="BJ315" s="414">
        <f t="shared" ca="1" si="276"/>
        <v>0</v>
      </c>
      <c r="BK315" s="314"/>
      <c r="BL315" s="414">
        <f t="shared" ref="BL315" ca="1" si="299">IF(BK$300=0,"N.D.",BK315/BK$300)</f>
        <v>0</v>
      </c>
      <c r="BM315" s="460"/>
      <c r="BN315" s="474"/>
      <c r="BO315" s="460"/>
      <c r="BP315" s="474"/>
      <c r="BQ315" s="353"/>
    </row>
    <row r="316" spans="58:69" ht="12.5" customHeight="1" x14ac:dyDescent="0.3">
      <c r="BF316" s="310" t="s">
        <v>48</v>
      </c>
      <c r="BG316" s="381">
        <f>+BG312+BG313</f>
        <v>-4</v>
      </c>
      <c r="BH316" s="415">
        <f t="shared" si="276"/>
        <v>-7.889546351084813E-3</v>
      </c>
      <c r="BI316" s="381">
        <f ca="1">+BI312+BI313</f>
        <v>-4.3789999999999996</v>
      </c>
      <c r="BJ316" s="415">
        <f t="shared" ca="1" si="276"/>
        <v>-7.8595581847812814E-3</v>
      </c>
      <c r="BK316" s="381">
        <f ca="1">+BK312+BK313</f>
        <v>2.7554099999999995</v>
      </c>
      <c r="BL316" s="415">
        <f t="shared" ref="BL316" ca="1" si="300">IF(BK$300=0,"N.D.",BK316/BK$300)</f>
        <v>4.7431851045455029E-3</v>
      </c>
      <c r="BM316" s="381">
        <f ca="1">BG316-BI316</f>
        <v>0.37899999999999956</v>
      </c>
      <c r="BN316" s="402">
        <f ca="1">IF(BI316=0,"N.D.",BG316/BI316-1)</f>
        <v>-8.6549440511532238E-2</v>
      </c>
      <c r="BO316" s="381">
        <f ca="1">BG316-BK316</f>
        <v>-6.7554099999999995</v>
      </c>
      <c r="BP316" s="402">
        <f ca="1">IF(BK316=0,"N.D.",BG316/BK316-1)</f>
        <v>-2.4516895852159934</v>
      </c>
      <c r="BQ316" s="354"/>
    </row>
    <row r="317" spans="58:69" ht="12.5" customHeight="1" x14ac:dyDescent="0.3">
      <c r="BF317" s="310" t="s">
        <v>49</v>
      </c>
      <c r="BG317" s="381">
        <f>BG309-BG316</f>
        <v>-57.147111916191704</v>
      </c>
      <c r="BH317" s="415">
        <f t="shared" si="276"/>
        <v>-0.11271619707335642</v>
      </c>
      <c r="BI317" s="381">
        <f ca="1">BI309-BI316</f>
        <v>-53.908000000000037</v>
      </c>
      <c r="BJ317" s="415">
        <f t="shared" ca="1" si="276"/>
        <v>-9.6755666276590477E-2</v>
      </c>
      <c r="BK317" s="381">
        <f ca="1">BK309-BK316</f>
        <v>-63.586430000000021</v>
      </c>
      <c r="BL317" s="415">
        <f t="shared" ref="BL317" ca="1" si="301">IF(BK$300=0,"N.D.",BK317/BK$300)</f>
        <v>-0.1094581959226487</v>
      </c>
      <c r="BM317" s="381">
        <f ca="1">BG317-BI317</f>
        <v>-3.2391119161916677</v>
      </c>
      <c r="BN317" s="402">
        <f ca="1">IF(BI317=0,"N.D.",BG317/BI317-1)</f>
        <v>6.0085922612444609E-2</v>
      </c>
      <c r="BO317" s="381">
        <f ca="1">BG317-BK317</f>
        <v>6.4393180838083168</v>
      </c>
      <c r="BP317" s="402">
        <f ca="1">IF(BK317=0,"N.D.",BG317/BK317-1)</f>
        <v>-0.10126874686640397</v>
      </c>
      <c r="BQ317" s="354"/>
    </row>
    <row r="318" spans="58:69" ht="12.5" customHeight="1" x14ac:dyDescent="0.25">
      <c r="BF318" s="310"/>
      <c r="BG318" s="419"/>
      <c r="BH318" s="416">
        <f t="shared" si="276"/>
        <v>0</v>
      </c>
      <c r="BI318" s="419"/>
      <c r="BJ318" s="416">
        <f t="shared" ca="1" si="276"/>
        <v>0</v>
      </c>
      <c r="BK318" s="419"/>
      <c r="BL318" s="416">
        <f t="shared" ref="BL318" ca="1" si="302">IF(BK$300=0,"N.D.",BK318/BK$300)</f>
        <v>0</v>
      </c>
      <c r="BM318" s="419"/>
      <c r="BN318" s="352"/>
      <c r="BO318" s="419"/>
      <c r="BP318" s="352"/>
      <c r="BQ318" s="352"/>
    </row>
    <row r="319" spans="58:69" ht="12.5" customHeight="1" x14ac:dyDescent="0.25">
      <c r="BF319" s="310" t="s">
        <v>50</v>
      </c>
      <c r="BG319" s="418">
        <f t="shared" ref="BG319:BI320" si="303">BG168+BG206</f>
        <v>0</v>
      </c>
      <c r="BH319" s="417">
        <f t="shared" si="276"/>
        <v>0</v>
      </c>
      <c r="BI319" s="418">
        <f t="shared" ca="1" si="303"/>
        <v>0</v>
      </c>
      <c r="BJ319" s="417">
        <f t="shared" ca="1" si="276"/>
        <v>0</v>
      </c>
      <c r="BK319" s="418">
        <f t="shared" ref="BK319" ca="1" si="304">BK168+BK206</f>
        <v>0</v>
      </c>
      <c r="BL319" s="417">
        <f t="shared" ref="BL319" ca="1" si="305">IF(BK$300=0,"N.D.",BK319/BK$300)</f>
        <v>0</v>
      </c>
      <c r="BM319" s="418">
        <f t="shared" ref="BM319:BM327" ca="1" si="306">BG319-BI319</f>
        <v>0</v>
      </c>
      <c r="BN319" s="471" t="str">
        <f t="shared" ref="BN319:BN327" ca="1" si="307">IF(BI319=0,"N.D.",BG319/BI319-1)</f>
        <v>N.D.</v>
      </c>
      <c r="BO319" s="418">
        <f t="shared" ref="BO319:BO327" ca="1" si="308">BG319-BK319</f>
        <v>0</v>
      </c>
      <c r="BP319" s="471" t="str">
        <f t="shared" ref="BP319:BP327" ca="1" si="309">IF(BK319=0,"N.D.",BG319/BK319-1)</f>
        <v>N.D.</v>
      </c>
      <c r="BQ319" s="353"/>
    </row>
    <row r="320" spans="58:69" ht="12.5" customHeight="1" x14ac:dyDescent="0.25">
      <c r="BF320" s="310" t="s">
        <v>51</v>
      </c>
      <c r="BG320" s="314">
        <f t="shared" si="303"/>
        <v>0</v>
      </c>
      <c r="BH320" s="414">
        <f t="shared" si="276"/>
        <v>0</v>
      </c>
      <c r="BI320" s="314">
        <f t="shared" ca="1" si="303"/>
        <v>0</v>
      </c>
      <c r="BJ320" s="414">
        <f t="shared" ca="1" si="276"/>
        <v>0</v>
      </c>
      <c r="BK320" s="314">
        <f t="shared" ref="BK320" ca="1" si="310">BK169+BK207</f>
        <v>0</v>
      </c>
      <c r="BL320" s="414">
        <f t="shared" ref="BL320" ca="1" si="311">IF(BK$300=0,"N.D.",BK320/BK$300)</f>
        <v>0</v>
      </c>
      <c r="BM320" s="314">
        <f t="shared" ca="1" si="306"/>
        <v>0</v>
      </c>
      <c r="BN320" s="472" t="str">
        <f t="shared" ca="1" si="307"/>
        <v>N.D.</v>
      </c>
      <c r="BO320" s="314">
        <f t="shared" ca="1" si="308"/>
        <v>0</v>
      </c>
      <c r="BP320" s="472" t="str">
        <f t="shared" ca="1" si="309"/>
        <v>N.D.</v>
      </c>
      <c r="BQ320" s="353"/>
    </row>
    <row r="321" spans="58:69" ht="12.5" customHeight="1" x14ac:dyDescent="0.3">
      <c r="BF321" s="310" t="s">
        <v>53</v>
      </c>
      <c r="BG321" s="381">
        <f>BG317-BG319-BG320</f>
        <v>-57.147111916191704</v>
      </c>
      <c r="BH321" s="415">
        <f t="shared" si="276"/>
        <v>-0.11271619707335642</v>
      </c>
      <c r="BI321" s="381">
        <f ca="1">BI317-BI319-BI320</f>
        <v>-53.908000000000037</v>
      </c>
      <c r="BJ321" s="415">
        <f t="shared" ca="1" si="276"/>
        <v>-9.6755666276590477E-2</v>
      </c>
      <c r="BK321" s="381">
        <f ca="1">BK317-BK319-BK320</f>
        <v>-63.586430000000021</v>
      </c>
      <c r="BL321" s="415">
        <f t="shared" ref="BL321" ca="1" si="312">IF(BK$300=0,"N.D.",BK321/BK$300)</f>
        <v>-0.1094581959226487</v>
      </c>
      <c r="BM321" s="381">
        <f t="shared" ca="1" si="306"/>
        <v>-3.2391119161916677</v>
      </c>
      <c r="BN321" s="402">
        <f t="shared" ca="1" si="307"/>
        <v>6.0085922612444609E-2</v>
      </c>
      <c r="BO321" s="381">
        <f t="shared" ca="1" si="308"/>
        <v>6.4393180838083168</v>
      </c>
      <c r="BP321" s="402">
        <f t="shared" ca="1" si="309"/>
        <v>-0.10126874686640397</v>
      </c>
      <c r="BQ321" s="354"/>
    </row>
    <row r="322" spans="58:69" ht="12.5" customHeight="1" x14ac:dyDescent="0.3">
      <c r="BF322" s="310" t="s">
        <v>122</v>
      </c>
      <c r="BG322" s="381">
        <f>BG309+BG307</f>
        <v>-37.147111916191704</v>
      </c>
      <c r="BH322" s="415">
        <f t="shared" si="276"/>
        <v>-7.3268465317932352E-2</v>
      </c>
      <c r="BI322" s="381">
        <f ca="1">BI309+BI307</f>
        <v>-34.321000000000033</v>
      </c>
      <c r="BJ322" s="415">
        <f t="shared" ca="1" si="276"/>
        <v>-6.1600341735528356E-2</v>
      </c>
      <c r="BK322" s="381">
        <f ca="1">BK309+BK307</f>
        <v>-33.698460000000026</v>
      </c>
      <c r="BL322" s="415">
        <f t="shared" ref="BL322" ca="1" si="313">IF(BK$300=0,"N.D.",BK322/BK$300)</f>
        <v>-5.8008802144915855E-2</v>
      </c>
      <c r="BM322" s="381">
        <f t="shared" ca="1" si="306"/>
        <v>-2.826111916191671</v>
      </c>
      <c r="BN322" s="402">
        <f t="shared" ca="1" si="307"/>
        <v>8.234351901726833E-2</v>
      </c>
      <c r="BO322" s="381">
        <f t="shared" ca="1" si="308"/>
        <v>-3.4486519161916789</v>
      </c>
      <c r="BP322" s="402">
        <f t="shared" ca="1" si="309"/>
        <v>0.10233856135240837</v>
      </c>
      <c r="BQ322" s="354"/>
    </row>
    <row r="323" spans="58:69" ht="12.5" customHeight="1" x14ac:dyDescent="0.25">
      <c r="BF323" s="1" t="s">
        <v>194</v>
      </c>
      <c r="BG323" s="418">
        <f>BG138+BG173</f>
        <v>0</v>
      </c>
      <c r="BH323" s="475">
        <f t="shared" si="276"/>
        <v>0</v>
      </c>
      <c r="BI323" s="418">
        <f>BI138+BI173</f>
        <v>0</v>
      </c>
      <c r="BJ323" s="475">
        <f t="shared" ca="1" si="276"/>
        <v>0</v>
      </c>
      <c r="BK323" s="418">
        <f>BK138+BK173</f>
        <v>0</v>
      </c>
      <c r="BL323" s="475">
        <f t="shared" ref="BL323" ca="1" si="314">IF(BK$300=0,"N.D.",BK323/BK$300)</f>
        <v>0</v>
      </c>
      <c r="BM323" s="418">
        <f t="shared" si="306"/>
        <v>0</v>
      </c>
      <c r="BN323" s="471" t="str">
        <f t="shared" si="307"/>
        <v>N.D.</v>
      </c>
      <c r="BO323" s="418">
        <f t="shared" si="308"/>
        <v>0</v>
      </c>
      <c r="BP323" s="471" t="str">
        <f t="shared" si="309"/>
        <v>N.D.</v>
      </c>
    </row>
    <row r="324" spans="58:69" ht="12.5" customHeight="1" x14ac:dyDescent="0.25">
      <c r="BF324" s="1" t="s">
        <v>123</v>
      </c>
      <c r="BG324" s="314">
        <f>BG139+BG174</f>
        <v>-4.339263401198707</v>
      </c>
      <c r="BH324" s="476">
        <f t="shared" si="276"/>
        <v>-8.5587049333307828E-3</v>
      </c>
      <c r="BI324" s="314">
        <f ca="1">BI139+BI174</f>
        <v>-29.060000000000102</v>
      </c>
      <c r="BJ324" s="476">
        <f t="shared" ca="1" si="276"/>
        <v>-5.2157743971168048E-2</v>
      </c>
      <c r="BK324" s="314">
        <f ca="1">BK139+BK174</f>
        <v>-39.220070000000092</v>
      </c>
      <c r="BL324" s="476">
        <f t="shared" ref="BL324" ca="1" si="315">IF(BK$300=0,"N.D.",BK324/BK$300)</f>
        <v>-6.75137463474519E-2</v>
      </c>
      <c r="BM324" s="314">
        <f t="shared" ca="1" si="306"/>
        <v>24.720736598801395</v>
      </c>
      <c r="BN324" s="472">
        <f t="shared" ca="1" si="307"/>
        <v>-0.85067916719894388</v>
      </c>
      <c r="BO324" s="314">
        <f t="shared" ca="1" si="308"/>
        <v>34.880806598801385</v>
      </c>
      <c r="BP324" s="472">
        <f t="shared" ca="1" si="309"/>
        <v>-0.88936115103316493</v>
      </c>
    </row>
    <row r="325" spans="58:69" ht="12.5" customHeight="1" x14ac:dyDescent="0.3">
      <c r="BF325" s="7" t="s">
        <v>190</v>
      </c>
      <c r="BG325" s="381">
        <f>+BG321+BG307+BG323+BG324</f>
        <v>-37.486375317390412</v>
      </c>
      <c r="BH325" s="477">
        <f t="shared" si="276"/>
        <v>-7.3937623900178329E-2</v>
      </c>
      <c r="BI325" s="381">
        <f ca="1">+BI321+BI307+BI323+BI324</f>
        <v>-59.002000000000137</v>
      </c>
      <c r="BJ325" s="477">
        <f t="shared" ca="1" si="276"/>
        <v>-0.10589852752191513</v>
      </c>
      <c r="BK325" s="381">
        <f ca="1">+BK321+BK307+BK323+BK324</f>
        <v>-75.673940000000115</v>
      </c>
      <c r="BL325" s="477">
        <f t="shared" ref="BL325" ca="1" si="316">IF(BK$300=0,"N.D.",BK325/BK$300)</f>
        <v>-0.13026573359691326</v>
      </c>
      <c r="BM325" s="381">
        <f t="shared" ca="1" si="306"/>
        <v>21.515624682609726</v>
      </c>
      <c r="BN325" s="402">
        <f t="shared" ca="1" si="307"/>
        <v>-0.36465924345970768</v>
      </c>
      <c r="BO325" s="381">
        <f t="shared" ca="1" si="308"/>
        <v>38.187564682609704</v>
      </c>
      <c r="BP325" s="402">
        <f t="shared" ca="1" si="309"/>
        <v>-0.50463296456626483</v>
      </c>
    </row>
    <row r="326" spans="58:69" ht="12.5" customHeight="1" x14ac:dyDescent="0.3">
      <c r="BF326" s="7" t="s">
        <v>191</v>
      </c>
      <c r="BG326" s="381">
        <v>0</v>
      </c>
      <c r="BH326" s="477">
        <f t="shared" si="276"/>
        <v>0</v>
      </c>
      <c r="BI326" s="381">
        <v>0</v>
      </c>
      <c r="BJ326" s="477">
        <f t="shared" ca="1" si="276"/>
        <v>0</v>
      </c>
      <c r="BK326" s="381">
        <v>0</v>
      </c>
      <c r="BL326" s="477">
        <f t="shared" ref="BL326" ca="1" si="317">IF(BK$300=0,"N.D.",BK326/BK$300)</f>
        <v>0</v>
      </c>
      <c r="BM326" s="381">
        <f t="shared" si="306"/>
        <v>0</v>
      </c>
      <c r="BN326" s="402" t="str">
        <f t="shared" si="307"/>
        <v>N.D.</v>
      </c>
      <c r="BO326" s="381">
        <f t="shared" si="308"/>
        <v>0</v>
      </c>
      <c r="BP326" s="402" t="str">
        <f t="shared" si="309"/>
        <v>N.D.</v>
      </c>
    </row>
    <row r="327" spans="58:69" ht="12.5" customHeight="1" x14ac:dyDescent="0.3">
      <c r="BF327" s="7" t="s">
        <v>84</v>
      </c>
      <c r="BG327" s="381">
        <f>BG325-BG326</f>
        <v>-37.486375317390412</v>
      </c>
      <c r="BH327" s="477">
        <f t="shared" si="276"/>
        <v>-7.3937623900178329E-2</v>
      </c>
      <c r="BI327" s="381">
        <f ca="1">BI325-BI326</f>
        <v>-59.002000000000137</v>
      </c>
      <c r="BJ327" s="477">
        <f t="shared" ca="1" si="276"/>
        <v>-0.10589852752191513</v>
      </c>
      <c r="BK327" s="381">
        <f ca="1">BK325-BK326</f>
        <v>-75.673940000000115</v>
      </c>
      <c r="BL327" s="477">
        <f t="shared" ref="BL327" ca="1" si="318">IF(BK$300=0,"N.D.",BK327/BK$300)</f>
        <v>-0.13026573359691326</v>
      </c>
      <c r="BM327" s="381">
        <f t="shared" ca="1" si="306"/>
        <v>21.515624682609726</v>
      </c>
      <c r="BN327" s="402">
        <f t="shared" ca="1" si="307"/>
        <v>-0.36465924345970768</v>
      </c>
      <c r="BO327" s="381">
        <f t="shared" ca="1" si="308"/>
        <v>38.187564682609704</v>
      </c>
      <c r="BP327" s="402">
        <f t="shared" ca="1" si="309"/>
        <v>-0.50463296456626483</v>
      </c>
    </row>
    <row r="328" spans="58:69" ht="12.5" customHeight="1" x14ac:dyDescent="0.3">
      <c r="BF328" s="1" t="s">
        <v>193</v>
      </c>
      <c r="BG328" s="412" t="str">
        <f>IF(BG326=0,"N.D.",(BG325-BG323-BG324)/BG326)</f>
        <v>N.D.</v>
      </c>
      <c r="BH328" s="478"/>
      <c r="BI328" s="412" t="str">
        <f>IF(BI326=0,"N.D.",(BI325-BI323-BI324)/BI326)</f>
        <v>N.D.</v>
      </c>
      <c r="BJ328" s="478"/>
      <c r="BK328" s="412" t="str">
        <f>IF(BK326=0,"N.D.",(BK325-BK323-BK324)/BK326)</f>
        <v>N.D.</v>
      </c>
      <c r="BL328" s="478"/>
      <c r="BM328" s="479"/>
      <c r="BN328" s="354"/>
      <c r="BO328" s="479"/>
      <c r="BP328" s="354"/>
    </row>
  </sheetData>
  <mergeCells count="88">
    <mergeCell ref="BG297:BP297"/>
    <mergeCell ref="BG257:BP257"/>
    <mergeCell ref="BG258:BP258"/>
    <mergeCell ref="BG259:BP259"/>
    <mergeCell ref="BG295:BP295"/>
    <mergeCell ref="BG296:BP296"/>
    <mergeCell ref="BG183:BP183"/>
    <mergeCell ref="BG184:BP184"/>
    <mergeCell ref="BG253:BP253"/>
    <mergeCell ref="BG254:BP254"/>
    <mergeCell ref="BG255:BP255"/>
    <mergeCell ref="BG220:BP220"/>
    <mergeCell ref="BG218:BP218"/>
    <mergeCell ref="BG219:BP219"/>
    <mergeCell ref="BG4:BP4"/>
    <mergeCell ref="BG5:BP5"/>
    <mergeCell ref="BG6:BP6"/>
    <mergeCell ref="BG182:BP182"/>
    <mergeCell ref="BG144:BP144"/>
    <mergeCell ref="BG145:BP145"/>
    <mergeCell ref="BG146:BP146"/>
    <mergeCell ref="BG75:BP75"/>
    <mergeCell ref="BG76:BP76"/>
    <mergeCell ref="BG109:BP109"/>
    <mergeCell ref="BG110:BP110"/>
    <mergeCell ref="BG111:BP111"/>
    <mergeCell ref="O41:X41"/>
    <mergeCell ref="BG39:BP39"/>
    <mergeCell ref="BG40:BP40"/>
    <mergeCell ref="BG41:BP41"/>
    <mergeCell ref="BG74:BP74"/>
    <mergeCell ref="C253:L253"/>
    <mergeCell ref="AE253:AN253"/>
    <mergeCell ref="C254:L254"/>
    <mergeCell ref="AE254:AN254"/>
    <mergeCell ref="C255:L255"/>
    <mergeCell ref="AE255:AN255"/>
    <mergeCell ref="AE220:AN220"/>
    <mergeCell ref="AE218:AN218"/>
    <mergeCell ref="AE219:AN219"/>
    <mergeCell ref="C218:L218"/>
    <mergeCell ref="C220:L220"/>
    <mergeCell ref="C219:L219"/>
    <mergeCell ref="C5:L5"/>
    <mergeCell ref="C4:L4"/>
    <mergeCell ref="AE6:AN6"/>
    <mergeCell ref="AE5:AN5"/>
    <mergeCell ref="AE4:AN4"/>
    <mergeCell ref="O6:AB6"/>
    <mergeCell ref="O4:AB4"/>
    <mergeCell ref="O5:AB5"/>
    <mergeCell ref="C145:L145"/>
    <mergeCell ref="C144:L144"/>
    <mergeCell ref="C146:L146"/>
    <mergeCell ref="AE146:AN146"/>
    <mergeCell ref="AE145:AN145"/>
    <mergeCell ref="BT4:CG4"/>
    <mergeCell ref="BT5:CG5"/>
    <mergeCell ref="BT6:CG6"/>
    <mergeCell ref="C76:L76"/>
    <mergeCell ref="AE76:AN76"/>
    <mergeCell ref="C41:L41"/>
    <mergeCell ref="AE41:AN41"/>
    <mergeCell ref="AE39:AN39"/>
    <mergeCell ref="AE75:AN75"/>
    <mergeCell ref="C74:L74"/>
    <mergeCell ref="C39:L39"/>
    <mergeCell ref="AE74:AN74"/>
    <mergeCell ref="C75:L75"/>
    <mergeCell ref="AE40:AN40"/>
    <mergeCell ref="C40:L40"/>
    <mergeCell ref="C6:L6"/>
    <mergeCell ref="AQ4:BD4"/>
    <mergeCell ref="AQ6:BD6"/>
    <mergeCell ref="AQ5:BD5"/>
    <mergeCell ref="C184:L184"/>
    <mergeCell ref="AE184:AN184"/>
    <mergeCell ref="C182:L182"/>
    <mergeCell ref="AE182:AN182"/>
    <mergeCell ref="C183:L183"/>
    <mergeCell ref="AE183:AN183"/>
    <mergeCell ref="C109:L109"/>
    <mergeCell ref="C111:L111"/>
    <mergeCell ref="AE109:AN109"/>
    <mergeCell ref="AE110:AN110"/>
    <mergeCell ref="C110:L110"/>
    <mergeCell ref="AE111:AN111"/>
    <mergeCell ref="AE144:AN144"/>
  </mergeCells>
  <phoneticPr fontId="0" type="noConversion"/>
  <printOptions horizontalCentered="1"/>
  <pageMargins left="0.25" right="0.25" top="0.15" bottom="0.25" header="0.511811023622047" footer="0.511811023622047"/>
  <pageSetup scale="99" orientation="landscape" horizontalDpi="4294967295" verticalDpi="4294967295" r:id="rId1"/>
  <headerFooter alignWithMargins="0"/>
  <rowBreaks count="2" manualBreakCount="2">
    <brk id="2" max="16383" man="1"/>
    <brk id="72" max="16383" man="1"/>
  </rowBreaks>
  <colBreaks count="1" manualBreakCount="1">
    <brk id="12" max="1048575" man="1"/>
  </colBreaks>
  <ignoredErrors>
    <ignoredError sqref="F48 F65:F66 F55 F61:F62 F60 F44 F45 F47 F53 F52 F49 F50 F51 F56 F57 F58 F64 F63 G46:G48 E46:E48 D47:D66 E59:E66 E52:E55 G52:G55 G59:G62 G65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">
    <tabColor rgb="FF00B0F0"/>
    <pageSetUpPr fitToPage="1"/>
  </sheetPr>
  <dimension ref="B2:S65"/>
  <sheetViews>
    <sheetView showGridLines="0" topLeftCell="C1" zoomScale="90" zoomScaleNormal="90" workbookViewId="0">
      <pane xSplit="1" ySplit="3" topLeftCell="D4" activePane="bottomRight" state="frozen"/>
      <selection activeCell="C1" sqref="C1"/>
      <selection pane="topRight" activeCell="D1" sqref="D1"/>
      <selection pane="bottomLeft" activeCell="C4" sqref="C4"/>
      <selection pane="bottomRight" activeCell="I54" sqref="I54"/>
    </sheetView>
  </sheetViews>
  <sheetFormatPr baseColWidth="10" defaultColWidth="9.1796875" defaultRowHeight="12.5" x14ac:dyDescent="0.25"/>
  <cols>
    <col min="2" max="2" width="13.54296875" customWidth="1"/>
    <col min="3" max="3" width="36.54296875" customWidth="1"/>
    <col min="4" max="4" width="9.453125" bestFit="1" customWidth="1"/>
    <col min="5" max="5" width="8.54296875" customWidth="1"/>
    <col min="6" max="6" width="8.81640625" bestFit="1" customWidth="1"/>
    <col min="7" max="7" width="9.453125" bestFit="1" customWidth="1"/>
    <col min="8" max="9" width="10.54296875" customWidth="1"/>
    <col min="10" max="10" width="9.453125" customWidth="1"/>
    <col min="11" max="11" width="4.54296875" customWidth="1"/>
    <col min="12" max="12" width="8.81640625" bestFit="1" customWidth="1"/>
    <col min="13" max="13" width="7.81640625" customWidth="1"/>
    <col min="14" max="14" width="8.81640625" bestFit="1" customWidth="1"/>
    <col min="15" max="16" width="9.54296875" customWidth="1"/>
    <col min="17" max="17" width="9.81640625" customWidth="1"/>
    <col min="18" max="18" width="10.54296875" customWidth="1"/>
  </cols>
  <sheetData>
    <row r="2" spans="2:18" ht="14" x14ac:dyDescent="0.3">
      <c r="C2" s="191"/>
      <c r="D2" s="190" t="s">
        <v>0</v>
      </c>
      <c r="E2" s="190" t="str">
        <f>PROPER(TEXT(MES_CIERRE,"MMMM "))&amp;YEAR(MES_CIERRE)</f>
        <v>Junio 2019</v>
      </c>
      <c r="F2" s="191"/>
      <c r="G2" s="191"/>
      <c r="H2" s="191"/>
      <c r="I2" s="191"/>
      <c r="J2" s="191"/>
      <c r="K2" s="191"/>
      <c r="L2" s="190" t="s">
        <v>20</v>
      </c>
      <c r="M2" s="190" t="str">
        <f>PROPER(TEXT(MES_CIERRE,"MMMM "))&amp;YEAR(MES_CIERRE)</f>
        <v>Junio 2019</v>
      </c>
      <c r="N2" s="191"/>
      <c r="O2" s="191"/>
      <c r="P2" s="191"/>
      <c r="Q2" s="191"/>
      <c r="R2" s="191"/>
    </row>
    <row r="3" spans="2:18" ht="32.25" customHeight="1" x14ac:dyDescent="0.3">
      <c r="C3" s="191"/>
      <c r="D3" s="192" t="s">
        <v>121</v>
      </c>
      <c r="E3" s="192" t="s">
        <v>120</v>
      </c>
      <c r="F3" s="192" t="s">
        <v>119</v>
      </c>
      <c r="G3" s="193" t="s">
        <v>432</v>
      </c>
      <c r="H3" s="193" t="s">
        <v>433</v>
      </c>
      <c r="I3" s="40" t="s">
        <v>434</v>
      </c>
      <c r="J3" s="192" t="s">
        <v>26</v>
      </c>
      <c r="K3" s="192"/>
      <c r="L3" s="192" t="s">
        <v>121</v>
      </c>
      <c r="M3" s="192" t="s">
        <v>120</v>
      </c>
      <c r="N3" s="192" t="s">
        <v>119</v>
      </c>
      <c r="O3" s="193" t="s">
        <v>432</v>
      </c>
      <c r="P3" s="193" t="s">
        <v>433</v>
      </c>
      <c r="Q3" s="40" t="s">
        <v>434</v>
      </c>
      <c r="R3" s="192" t="s">
        <v>26</v>
      </c>
    </row>
    <row r="4" spans="2:18" ht="14" x14ac:dyDescent="0.3">
      <c r="C4" s="190" t="s">
        <v>124</v>
      </c>
      <c r="D4" s="194">
        <f>BDFE!D26/1000</f>
        <v>-4.67157</v>
      </c>
      <c r="E4" s="194">
        <f>BDFE!K26/1000</f>
        <v>-3.7776999999999998</v>
      </c>
      <c r="F4" s="194">
        <f>BDFE!R26/1000</f>
        <v>6.6894499999999999</v>
      </c>
      <c r="G4" s="194">
        <f>BDFE!Y26/1000</f>
        <v>-28.0657</v>
      </c>
      <c r="H4" s="194">
        <f>BDFE!AF26/1000</f>
        <v>-2.34911</v>
      </c>
      <c r="I4" s="194">
        <f>BDFE!AM26/1000</f>
        <v>57.793279999999996</v>
      </c>
      <c r="J4" s="194">
        <f>SUM(D4:I4)</f>
        <v>25.618649999999995</v>
      </c>
      <c r="K4" s="195"/>
      <c r="L4" s="194">
        <f>BDFE!G26/1000</f>
        <v>154.37834000000001</v>
      </c>
      <c r="M4" s="194">
        <f>BDFE!N26/1000</f>
        <v>-17.519650000000002</v>
      </c>
      <c r="N4" s="194">
        <f>BDFE!U26/1000</f>
        <v>-71.060839999999999</v>
      </c>
      <c r="O4" s="194">
        <f>BDFE!AB26/1000</f>
        <v>-140.155</v>
      </c>
      <c r="P4" s="194">
        <f>BDFE!AI26/1000</f>
        <v>-82.031490000000005</v>
      </c>
      <c r="Q4" s="194">
        <f>BDFE!AP26/1000</f>
        <v>305.07292999999999</v>
      </c>
      <c r="R4" s="194">
        <f>SUM(L4:Q4)</f>
        <v>148.68428999999998</v>
      </c>
    </row>
    <row r="5" spans="2:18" ht="14" x14ac:dyDescent="0.3">
      <c r="B5" s="190"/>
      <c r="C5" s="190" t="s">
        <v>125</v>
      </c>
      <c r="D5" s="194">
        <f>BDFE!D17/1000</f>
        <v>0</v>
      </c>
      <c r="E5" s="194">
        <f>BDFE!K17/1000</f>
        <v>1.8633199999999999</v>
      </c>
      <c r="F5" s="194">
        <f>BDFE!R17/1000</f>
        <v>3.0893099999999998</v>
      </c>
      <c r="G5" s="194">
        <f>BDFE!Y17/1000</f>
        <v>9.2417600000000011</v>
      </c>
      <c r="H5" s="194">
        <f>BDFE!AF17/1000</f>
        <v>5.1190200000000008</v>
      </c>
      <c r="I5" s="194">
        <f>BDFE!AM17/1000</f>
        <v>21.002410000000001</v>
      </c>
      <c r="J5" s="196">
        <f>SUM(D5:I5)</f>
        <v>40.315820000000002</v>
      </c>
      <c r="K5" s="195"/>
      <c r="L5" s="194">
        <f>BDFE!G17/1000</f>
        <v>61.529199999999996</v>
      </c>
      <c r="M5" s="194">
        <f>BDFE!N17/1000</f>
        <v>10.423639999999999</v>
      </c>
      <c r="N5" s="194">
        <f>BDFE!U17/1000</f>
        <v>17.280360000000002</v>
      </c>
      <c r="O5" s="194">
        <f>BDFE!AB17/1000</f>
        <v>55.450559999999996</v>
      </c>
      <c r="P5" s="194">
        <f>BDFE!AI17/1000</f>
        <v>69.133560000000003</v>
      </c>
      <c r="Q5" s="194">
        <f>BDFE!AP17/1000</f>
        <v>126.01446</v>
      </c>
      <c r="R5" s="194">
        <f>SUM(L5:Q5)</f>
        <v>339.83177999999998</v>
      </c>
    </row>
    <row r="6" spans="2:18" ht="14" x14ac:dyDescent="0.3">
      <c r="C6" s="190" t="s">
        <v>126</v>
      </c>
      <c r="D6" s="197">
        <f t="shared" ref="D6:I6" si="0">SUM(D4:D5)</f>
        <v>-4.67157</v>
      </c>
      <c r="E6" s="197">
        <f t="shared" si="0"/>
        <v>-1.91438</v>
      </c>
      <c r="F6" s="197">
        <f t="shared" si="0"/>
        <v>9.7787600000000001</v>
      </c>
      <c r="G6" s="197">
        <f t="shared" si="0"/>
        <v>-18.82394</v>
      </c>
      <c r="H6" s="197">
        <f t="shared" si="0"/>
        <v>2.7699100000000008</v>
      </c>
      <c r="I6" s="197">
        <f t="shared" si="0"/>
        <v>78.795689999999993</v>
      </c>
      <c r="J6" s="197">
        <f>SUM(D6:I6)</f>
        <v>65.93446999999999</v>
      </c>
      <c r="K6" s="198"/>
      <c r="L6" s="197">
        <f t="shared" ref="L6:Q6" si="1">SUM(L4:L5)</f>
        <v>215.90754000000001</v>
      </c>
      <c r="M6" s="197">
        <f t="shared" si="1"/>
        <v>-7.0960100000000033</v>
      </c>
      <c r="N6" s="197">
        <f t="shared" si="1"/>
        <v>-53.780479999999997</v>
      </c>
      <c r="O6" s="197">
        <f t="shared" si="1"/>
        <v>-84.704440000000005</v>
      </c>
      <c r="P6" s="197">
        <f t="shared" si="1"/>
        <v>-12.897930000000002</v>
      </c>
      <c r="Q6" s="197">
        <f t="shared" si="1"/>
        <v>431.08738999999997</v>
      </c>
      <c r="R6" s="197">
        <f>SUM(L6:Q6)</f>
        <v>488.51606999999996</v>
      </c>
    </row>
    <row r="7" spans="2:18" ht="14" x14ac:dyDescent="0.3">
      <c r="C7" s="191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</row>
    <row r="8" spans="2:18" ht="14" x14ac:dyDescent="0.3">
      <c r="B8" s="190" t="s">
        <v>127</v>
      </c>
      <c r="C8" s="190" t="s">
        <v>27</v>
      </c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</row>
    <row r="9" spans="2:18" ht="14" x14ac:dyDescent="0.3">
      <c r="C9" s="191" t="s">
        <v>128</v>
      </c>
      <c r="D9" s="200">
        <f>BDFE!D31/1000</f>
        <v>0.46376999999999996</v>
      </c>
      <c r="E9" s="200">
        <f>BDFE!K31/1000</f>
        <v>-8.4523500000000009</v>
      </c>
      <c r="F9" s="200">
        <f>BDFE!R31/1000</f>
        <v>-14.01769</v>
      </c>
      <c r="G9" s="200">
        <f>BDFE!Y31/1000</f>
        <v>-3.7615500000000002</v>
      </c>
      <c r="H9" s="200">
        <f>BDFE!AF31/1000</f>
        <v>-21.577249999999999</v>
      </c>
      <c r="I9" s="200">
        <f>BDFE!AM31/1000</f>
        <v>-11.85</v>
      </c>
      <c r="J9" s="200">
        <f>SUM(D9:I9)</f>
        <v>-59.195070000000001</v>
      </c>
      <c r="K9" s="201"/>
      <c r="L9" s="200">
        <f>BDFE!G31/1000</f>
        <v>159.43492000000001</v>
      </c>
      <c r="M9" s="200">
        <f>BDFE!N31/1000</f>
        <v>-0.58048</v>
      </c>
      <c r="N9" s="200">
        <f>BDFE!U31/1000</f>
        <v>-40.388390000000001</v>
      </c>
      <c r="O9" s="200">
        <f>BDFE!AB31/1000</f>
        <v>-28.104869999999998</v>
      </c>
      <c r="P9" s="200">
        <f>BDFE!AI31/1000</f>
        <v>-67.100409999999997</v>
      </c>
      <c r="Q9" s="200">
        <f>BDFE!AP31/1000</f>
        <v>-19.875810000000001</v>
      </c>
      <c r="R9" s="200">
        <f>SUM(L9:Q9)</f>
        <v>3.3849600000000208</v>
      </c>
    </row>
    <row r="10" spans="2:18" ht="14" x14ac:dyDescent="0.3">
      <c r="C10" s="191" t="s">
        <v>211</v>
      </c>
      <c r="D10" s="195">
        <f>+BDFE!D35/1000</f>
        <v>0</v>
      </c>
      <c r="E10" s="195">
        <f>+BDFE!K35/1000</f>
        <v>0</v>
      </c>
      <c r="F10" s="195">
        <f>+BDFE!R35/1000</f>
        <v>0</v>
      </c>
      <c r="G10" s="195">
        <f>+BDFE!Y35/1000</f>
        <v>0</v>
      </c>
      <c r="H10" s="195">
        <f>+BDFE!AF35/1000</f>
        <v>0</v>
      </c>
      <c r="I10" s="195">
        <f>+BDFE!AM35/1000</f>
        <v>0</v>
      </c>
      <c r="J10" s="195">
        <f>SUM(D10:I10)</f>
        <v>0</v>
      </c>
      <c r="K10" s="201"/>
      <c r="L10" s="195">
        <f>+BDFE!G35/1000</f>
        <v>2.7874899999999996</v>
      </c>
      <c r="M10" s="195">
        <f>+BDFE!N35/1000</f>
        <v>0</v>
      </c>
      <c r="N10" s="195">
        <f>+BDFE!U35/1000</f>
        <v>0</v>
      </c>
      <c r="O10" s="195">
        <f>+BDFE!AB35/1000</f>
        <v>0</v>
      </c>
      <c r="P10" s="195">
        <f>+BDFE!AI35/1000</f>
        <v>0</v>
      </c>
      <c r="Q10" s="195">
        <f>+BDFE!AP35/1000</f>
        <v>0</v>
      </c>
      <c r="R10" s="195">
        <f>SUM(L10:Q10)</f>
        <v>2.7874899999999996</v>
      </c>
    </row>
    <row r="11" spans="2:18" ht="14" x14ac:dyDescent="0.3">
      <c r="C11" s="191" t="s">
        <v>130</v>
      </c>
      <c r="D11" s="195">
        <f>+BDFE!D33/1000+BDFE!D32/1000</f>
        <v>0</v>
      </c>
      <c r="E11" s="195">
        <f>+BDFE!K33/1000+BDFE!K32/1000</f>
        <v>0</v>
      </c>
      <c r="F11" s="195">
        <f>+BDFE!R33/1000+BDFE!R32/1000</f>
        <v>0</v>
      </c>
      <c r="G11" s="195">
        <f>+BDFE!Y33/1000+BDFE!Y32/1000</f>
        <v>-4.6950600000000007</v>
      </c>
      <c r="H11" s="195">
        <f>+BDFE!AF33/1000+BDFE!AF32/1000</f>
        <v>-4.9061499999999993</v>
      </c>
      <c r="I11" s="195">
        <f>+BDFE!AM33/1000+BDFE!AM32/1000</f>
        <v>204</v>
      </c>
      <c r="J11" s="195">
        <f>SUM(D11:I11)</f>
        <v>194.39878999999999</v>
      </c>
      <c r="K11" s="201"/>
      <c r="L11" s="195">
        <f>+BDFE!G33/1000+BDFE!G32/1000</f>
        <v>0</v>
      </c>
      <c r="M11" s="195">
        <f>+BDFE!N33/1000+BDFE!N32/1000</f>
        <v>0</v>
      </c>
      <c r="N11" s="195">
        <f>+BDFE!U33/1000+BDFE!U32/1000</f>
        <v>-0.54425999999999997</v>
      </c>
      <c r="O11" s="195">
        <f>+BDFE!AB33/1000+BDFE!AB32/1000</f>
        <v>-4.6950600000000007</v>
      </c>
      <c r="P11" s="195">
        <f>+BDFE!AI33/1000+BDFE!AI32/1000</f>
        <v>-9.9061500000000002</v>
      </c>
      <c r="Q11" s="195">
        <f>+BDFE!AP33/1000+BDFE!AP32/1000</f>
        <v>-36</v>
      </c>
      <c r="R11" s="195">
        <f>SUM(L11:Q11)</f>
        <v>-51.145470000000003</v>
      </c>
    </row>
    <row r="12" spans="2:18" ht="14" x14ac:dyDescent="0.3">
      <c r="C12" s="191" t="s">
        <v>131</v>
      </c>
      <c r="D12" s="195">
        <f>+BDFE!D34/1000</f>
        <v>0</v>
      </c>
      <c r="E12" s="195">
        <f>+BDFE!K34/1000</f>
        <v>5.5292700000000004</v>
      </c>
      <c r="F12" s="195">
        <f>+BDFE!R34/1000</f>
        <v>9.6053300000000004</v>
      </c>
      <c r="G12" s="195">
        <f>+BDFE!Y34/1000</f>
        <v>7.6224499999999997</v>
      </c>
      <c r="H12" s="195">
        <f>+BDFE!AF34/1000</f>
        <v>9.0876900000000003</v>
      </c>
      <c r="I12" s="195">
        <f>+BDFE!AM34/1000</f>
        <v>0</v>
      </c>
      <c r="J12" s="195">
        <f>SUM(D12:I12)</f>
        <v>31.844740000000002</v>
      </c>
      <c r="K12" s="201"/>
      <c r="L12" s="195">
        <f>+BDFE!G34/1000</f>
        <v>189.78744</v>
      </c>
      <c r="M12" s="195">
        <f>+BDFE!N34/1000</f>
        <v>4.2459399999999992</v>
      </c>
      <c r="N12" s="195">
        <f>+BDFE!U34/1000</f>
        <v>-4.46882</v>
      </c>
      <c r="O12" s="195">
        <f>+BDFE!AB34/1000</f>
        <v>2.2404299999999999</v>
      </c>
      <c r="P12" s="195">
        <f>+BDFE!AI34/1000</f>
        <v>-7.8196599999999998</v>
      </c>
      <c r="Q12" s="195">
        <f>+BDFE!AP34/1000</f>
        <v>0</v>
      </c>
      <c r="R12" s="195">
        <f>SUM(L12:Q12)</f>
        <v>183.98533</v>
      </c>
    </row>
    <row r="13" spans="2:18" ht="14" x14ac:dyDescent="0.3">
      <c r="C13" s="191" t="s">
        <v>212</v>
      </c>
      <c r="D13" s="195">
        <v>0</v>
      </c>
      <c r="E13" s="195">
        <v>0</v>
      </c>
      <c r="F13" s="195">
        <v>0</v>
      </c>
      <c r="G13" s="195">
        <v>0</v>
      </c>
      <c r="H13" s="195">
        <v>0</v>
      </c>
      <c r="I13" s="195">
        <v>0</v>
      </c>
      <c r="J13" s="195">
        <v>0</v>
      </c>
      <c r="K13" s="201"/>
      <c r="L13" s="195">
        <v>0</v>
      </c>
      <c r="M13" s="195">
        <v>0</v>
      </c>
      <c r="N13" s="195">
        <v>0</v>
      </c>
      <c r="O13" s="195">
        <v>0</v>
      </c>
      <c r="P13" s="195">
        <v>0</v>
      </c>
      <c r="Q13" s="195">
        <v>0</v>
      </c>
      <c r="R13" s="195">
        <v>0</v>
      </c>
    </row>
    <row r="14" spans="2:18" ht="14" x14ac:dyDescent="0.3">
      <c r="C14" s="191" t="s">
        <v>132</v>
      </c>
      <c r="D14" s="195">
        <f>BDFE!D36/1000</f>
        <v>0</v>
      </c>
      <c r="E14" s="195">
        <f>BDFE!K36/1000</f>
        <v>-1.4053199999999999</v>
      </c>
      <c r="F14" s="195">
        <f>BDFE!R36/1000</f>
        <v>-0.98263999999999996</v>
      </c>
      <c r="G14" s="195">
        <f>BDFE!Y36/1000</f>
        <v>-1.7025899999999998</v>
      </c>
      <c r="H14" s="195">
        <f>BDFE!AF36/1000</f>
        <v>-0.95760999999999996</v>
      </c>
      <c r="I14" s="195">
        <f>BDFE!AM36/1000</f>
        <v>6.1520000000000001</v>
      </c>
      <c r="J14" s="195">
        <f t="shared" ref="J14:J20" si="2">SUM(D14:I14)</f>
        <v>1.1038400000000008</v>
      </c>
      <c r="K14" s="201"/>
      <c r="L14" s="195">
        <f>BDFE!G36/1000</f>
        <v>-741.95730000000003</v>
      </c>
      <c r="M14" s="195">
        <f>BDFE!N36/1000</f>
        <v>-16.07582</v>
      </c>
      <c r="N14" s="195">
        <f>BDFE!U36/1000</f>
        <v>-5.8182399999999994</v>
      </c>
      <c r="O14" s="195">
        <f>BDFE!AB36/1000</f>
        <v>-12.401629999999999</v>
      </c>
      <c r="P14" s="195">
        <f>BDFE!AI36/1000</f>
        <v>8.1663199999999989</v>
      </c>
      <c r="Q14" s="195">
        <f>BDFE!AP36/1000</f>
        <v>0</v>
      </c>
      <c r="R14" s="195">
        <f t="shared" ref="R14:R20" si="3">SUM(L14:Q14)</f>
        <v>-768.08666999999991</v>
      </c>
    </row>
    <row r="15" spans="2:18" ht="14" x14ac:dyDescent="0.3">
      <c r="C15" s="191" t="s">
        <v>133</v>
      </c>
      <c r="D15" s="195">
        <f>BDFE!D37/1000</f>
        <v>-5.6166</v>
      </c>
      <c r="E15" s="195">
        <f>BDFE!K37/1000</f>
        <v>-1.6617200000000001</v>
      </c>
      <c r="F15" s="195">
        <f>BDFE!R37/1000</f>
        <v>-33.972519999999996</v>
      </c>
      <c r="G15" s="195">
        <f>BDFE!Y37/1000</f>
        <v>8.6432400000000005</v>
      </c>
      <c r="H15" s="195">
        <f>BDFE!AF37/1000</f>
        <v>-1.0558099999999999</v>
      </c>
      <c r="I15" s="195">
        <f>BDFE!AM37/1000</f>
        <v>0</v>
      </c>
      <c r="J15" s="195">
        <f t="shared" si="2"/>
        <v>-33.663409999999999</v>
      </c>
      <c r="K15" s="201"/>
      <c r="L15" s="195">
        <f>BDFE!G37/1000</f>
        <v>-318.86968000000002</v>
      </c>
      <c r="M15" s="195">
        <f>BDFE!N37/1000</f>
        <v>-35.852910000000001</v>
      </c>
      <c r="N15" s="195">
        <f>BDFE!U37/1000</f>
        <v>-30.881740000000001</v>
      </c>
      <c r="O15" s="195">
        <f>BDFE!AB37/1000</f>
        <v>0.49668000000000001</v>
      </c>
      <c r="P15" s="195">
        <f>BDFE!AI37/1000</f>
        <v>-9.4367099999999997</v>
      </c>
      <c r="Q15" s="195">
        <f>BDFE!AP37/1000</f>
        <v>11.29054</v>
      </c>
      <c r="R15" s="195">
        <f t="shared" si="3"/>
        <v>-383.25381999999996</v>
      </c>
    </row>
    <row r="16" spans="2:18" ht="14" x14ac:dyDescent="0.3">
      <c r="C16" s="191" t="s">
        <v>134</v>
      </c>
      <c r="D16" s="195">
        <f>BDFE!D38/1000</f>
        <v>0</v>
      </c>
      <c r="E16" s="195">
        <f>BDFE!K38/1000</f>
        <v>0</v>
      </c>
      <c r="F16" s="195">
        <f>BDFE!R38/1000</f>
        <v>0</v>
      </c>
      <c r="G16" s="195">
        <f>BDFE!Y38/1000</f>
        <v>0</v>
      </c>
      <c r="H16" s="195">
        <f>BDFE!AF38/1000</f>
        <v>0</v>
      </c>
      <c r="I16" s="195">
        <f>BDFE!AM38/1000</f>
        <v>0</v>
      </c>
      <c r="J16" s="195">
        <f t="shared" si="2"/>
        <v>0</v>
      </c>
      <c r="K16" s="201"/>
      <c r="L16" s="195">
        <f>BDFE!G38/1000</f>
        <v>0</v>
      </c>
      <c r="M16" s="195">
        <f>BDFE!N38/1000</f>
        <v>0</v>
      </c>
      <c r="N16" s="195">
        <f>BDFE!U38/1000</f>
        <v>0</v>
      </c>
      <c r="O16" s="195">
        <f>BDFE!AB38/1000</f>
        <v>0</v>
      </c>
      <c r="P16" s="195">
        <f>BDFE!AI38/1000</f>
        <v>0</v>
      </c>
      <c r="Q16" s="195">
        <f>BDFE!AP38/1000</f>
        <v>0</v>
      </c>
      <c r="R16" s="195">
        <f t="shared" si="3"/>
        <v>0</v>
      </c>
    </row>
    <row r="17" spans="3:18" ht="14" x14ac:dyDescent="0.3">
      <c r="C17" s="191" t="s">
        <v>135</v>
      </c>
      <c r="D17" s="195">
        <f>BDFE!D39/1000+BDFE!D41/1000</f>
        <v>37.169069999999998</v>
      </c>
      <c r="E17" s="195">
        <f>BDFE!K39/1000+BDFE!K41/1000</f>
        <v>0.60027999999999992</v>
      </c>
      <c r="F17" s="195">
        <f>BDFE!R39/1000+BDFE!R41/1000</f>
        <v>152.87095000000002</v>
      </c>
      <c r="G17" s="195">
        <f>BDFE!Y39/1000+BDFE!Y41/1000</f>
        <v>57.675560000000004</v>
      </c>
      <c r="H17" s="195">
        <f>BDFE!AF39/1000+BDFE!AF41/1000</f>
        <v>29.30292</v>
      </c>
      <c r="I17" s="195">
        <f>BDFE!AM39/1000+BDFE!AM41/1000</f>
        <v>15.72972</v>
      </c>
      <c r="J17" s="195">
        <f t="shared" si="2"/>
        <v>293.3485</v>
      </c>
      <c r="K17" s="201"/>
      <c r="L17" s="195">
        <f>BDFE!G39/1000+BDFE!G41/1000</f>
        <v>-50.887129999999999</v>
      </c>
      <c r="M17" s="195">
        <f>BDFE!N39/1000+BDFE!N41/1000</f>
        <v>240.08529999999999</v>
      </c>
      <c r="N17" s="195">
        <f>BDFE!U39/1000+BDFE!U41/1000</f>
        <v>1098.7613200000001</v>
      </c>
      <c r="O17" s="195">
        <f>BDFE!AB39/1000+BDFE!AB41/1000</f>
        <v>152.13600000000002</v>
      </c>
      <c r="P17" s="195">
        <f>BDFE!AI39/1000+BDFE!AI41/1000</f>
        <v>57.769210000000001</v>
      </c>
      <c r="Q17" s="195">
        <f>BDFE!AP39/1000+BDFE!AP41/1000</f>
        <v>43.72972</v>
      </c>
      <c r="R17" s="195">
        <f t="shared" si="3"/>
        <v>1541.5944200000001</v>
      </c>
    </row>
    <row r="18" spans="3:18" ht="14" x14ac:dyDescent="0.3">
      <c r="C18" s="191" t="s">
        <v>136</v>
      </c>
      <c r="D18" s="195">
        <f>BDFE!D40/1000</f>
        <v>-12.52905</v>
      </c>
      <c r="E18" s="195">
        <f>BDFE!K40/1000</f>
        <v>-25.98141</v>
      </c>
      <c r="F18" s="195">
        <f>BDFE!R40/1000</f>
        <v>-65.916699999999992</v>
      </c>
      <c r="G18" s="195">
        <f>BDFE!Y40/1000</f>
        <v>-30.5807</v>
      </c>
      <c r="H18" s="195">
        <f>BDFE!AF40/1000</f>
        <v>-42.088809999999995</v>
      </c>
      <c r="I18" s="195">
        <f>BDFE!AM40/1000</f>
        <v>0</v>
      </c>
      <c r="J18" s="195">
        <f t="shared" si="2"/>
        <v>-177.09666999999999</v>
      </c>
      <c r="K18" s="201"/>
      <c r="L18" s="195">
        <f>BDFE!G40/1000</f>
        <v>-294.19221000000005</v>
      </c>
      <c r="M18" s="195">
        <f>BDFE!N40/1000</f>
        <v>-25.612080000000002</v>
      </c>
      <c r="N18" s="195">
        <f>BDFE!U40/1000</f>
        <v>-28.292750000000002</v>
      </c>
      <c r="O18" s="195">
        <f>BDFE!AB40/1000</f>
        <v>-12.823469999999999</v>
      </c>
      <c r="P18" s="195">
        <f>BDFE!AI40/1000</f>
        <v>-10.481909999999999</v>
      </c>
      <c r="Q18" s="195">
        <f>BDFE!AP40/1000</f>
        <v>0</v>
      </c>
      <c r="R18" s="195">
        <f t="shared" si="3"/>
        <v>-371.40242000000001</v>
      </c>
    </row>
    <row r="19" spans="3:18" ht="14" x14ac:dyDescent="0.3">
      <c r="C19" s="191" t="s">
        <v>137</v>
      </c>
      <c r="D19" s="195">
        <v>0</v>
      </c>
      <c r="E19" s="195">
        <v>0</v>
      </c>
      <c r="F19" s="195">
        <v>0</v>
      </c>
      <c r="G19" s="195">
        <v>0</v>
      </c>
      <c r="H19" s="195">
        <v>0</v>
      </c>
      <c r="I19" s="195">
        <v>0</v>
      </c>
      <c r="J19" s="195">
        <f t="shared" si="2"/>
        <v>0</v>
      </c>
      <c r="K19" s="201"/>
      <c r="L19" s="195">
        <v>0</v>
      </c>
      <c r="M19" s="195">
        <v>0</v>
      </c>
      <c r="N19" s="195">
        <v>0</v>
      </c>
      <c r="O19" s="195">
        <v>0</v>
      </c>
      <c r="P19" s="195">
        <v>0</v>
      </c>
      <c r="Q19" s="195">
        <v>0</v>
      </c>
      <c r="R19" s="195">
        <f t="shared" si="3"/>
        <v>0</v>
      </c>
    </row>
    <row r="20" spans="3:18" ht="14" x14ac:dyDescent="0.3">
      <c r="C20" s="191" t="s">
        <v>138</v>
      </c>
      <c r="D20" s="195">
        <f>+BDFE!D42/1000</f>
        <v>-0.72987999999999997</v>
      </c>
      <c r="E20" s="195">
        <f>+BDFE!K42/1000</f>
        <v>7.6001000000000003</v>
      </c>
      <c r="F20" s="195">
        <f>+BDFE!R42/1000</f>
        <v>8.8917999999999999</v>
      </c>
      <c r="G20" s="195">
        <f>+BDFE!Y42/1000</f>
        <v>6.0381299999999998</v>
      </c>
      <c r="H20" s="195">
        <f>+BDFE!AF42/1000</f>
        <v>9.7021800000000002</v>
      </c>
      <c r="I20" s="195">
        <f>+BDFE!AM42/1000</f>
        <v>0</v>
      </c>
      <c r="J20" s="195">
        <f t="shared" si="2"/>
        <v>31.502330000000001</v>
      </c>
      <c r="K20" s="201"/>
      <c r="L20" s="195">
        <f>+BDFE!G42/1000</f>
        <v>-134.52190999999999</v>
      </c>
      <c r="M20" s="195">
        <f>+BDFE!N42/1000</f>
        <v>13.84037</v>
      </c>
      <c r="N20" s="195">
        <f>+BDFE!U42/1000</f>
        <v>6.8066700000000004</v>
      </c>
      <c r="O20" s="195">
        <f>+BDFE!AB42/1000</f>
        <v>-11.2875</v>
      </c>
      <c r="P20" s="195">
        <f>+BDFE!AI42/1000</f>
        <v>2.7870700000000004</v>
      </c>
      <c r="Q20" s="195">
        <f>+BDFE!AP42/1000</f>
        <v>0</v>
      </c>
      <c r="R20" s="195">
        <f t="shared" si="3"/>
        <v>-122.37529999999998</v>
      </c>
    </row>
    <row r="21" spans="3:18" ht="14" x14ac:dyDescent="0.3">
      <c r="C21" s="190" t="s">
        <v>27</v>
      </c>
      <c r="D21" s="197">
        <f t="shared" ref="D21" si="4">SUM(D9:D20)</f>
        <v>18.757309999999997</v>
      </c>
      <c r="E21" s="197">
        <f t="shared" ref="E21:J21" si="5">SUM(E9:E20)</f>
        <v>-23.771149999999999</v>
      </c>
      <c r="F21" s="197">
        <f t="shared" si="5"/>
        <v>56.478530000000035</v>
      </c>
      <c r="G21" s="197">
        <f t="shared" si="5"/>
        <v>39.239480000000007</v>
      </c>
      <c r="H21" s="197">
        <f t="shared" si="5"/>
        <v>-22.492840000000001</v>
      </c>
      <c r="I21" s="197">
        <f t="shared" si="5"/>
        <v>214.03172000000001</v>
      </c>
      <c r="J21" s="197">
        <f t="shared" si="5"/>
        <v>282.24304999999998</v>
      </c>
      <c r="K21" s="202"/>
      <c r="L21" s="197">
        <f t="shared" ref="L21:R21" si="6">SUM(L9:L20)</f>
        <v>-1188.4183800000001</v>
      </c>
      <c r="M21" s="197">
        <f t="shared" si="6"/>
        <v>180.05032</v>
      </c>
      <c r="N21" s="197">
        <f t="shared" si="6"/>
        <v>995.17379000000017</v>
      </c>
      <c r="O21" s="197">
        <f t="shared" si="6"/>
        <v>85.56058000000003</v>
      </c>
      <c r="P21" s="197">
        <f t="shared" si="6"/>
        <v>-36.022239999999996</v>
      </c>
      <c r="Q21" s="197">
        <f t="shared" si="6"/>
        <v>-0.85555000000000092</v>
      </c>
      <c r="R21" s="197">
        <f t="shared" si="6"/>
        <v>35.488520000000392</v>
      </c>
    </row>
    <row r="22" spans="3:18" ht="14" x14ac:dyDescent="0.3">
      <c r="C22" s="191"/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03"/>
      <c r="P22" s="203"/>
      <c r="Q22" s="203"/>
      <c r="R22" s="203"/>
    </row>
    <row r="23" spans="3:18" ht="14" x14ac:dyDescent="0.3">
      <c r="C23" s="190" t="s">
        <v>139</v>
      </c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</row>
    <row r="24" spans="3:18" ht="14" x14ac:dyDescent="0.3">
      <c r="C24" s="191" t="s">
        <v>140</v>
      </c>
      <c r="D24" s="200">
        <f>BDFE!D45/1000</f>
        <v>0</v>
      </c>
      <c r="E24" s="200">
        <f>BDFE!K45/1000</f>
        <v>0</v>
      </c>
      <c r="F24" s="200">
        <f>BDFE!R45/1000</f>
        <v>-12.276069999999999</v>
      </c>
      <c r="G24" s="200">
        <f>BDFE!Y45/1000</f>
        <v>0</v>
      </c>
      <c r="H24" s="200">
        <f>BDFE!AF45/1000</f>
        <v>0</v>
      </c>
      <c r="I24" s="200">
        <f>BDFE!AM45/1000</f>
        <v>-259.65347000000003</v>
      </c>
      <c r="J24" s="200">
        <f t="shared" ref="J24:J30" si="7">SUM(D24:I24)</f>
        <v>-271.92954000000003</v>
      </c>
      <c r="K24" s="195"/>
      <c r="L24" s="200">
        <f>BDFE!G45/1000</f>
        <v>-5822.4515300000003</v>
      </c>
      <c r="M24" s="200">
        <f>BDFE!N45/1000</f>
        <v>-170.36624</v>
      </c>
      <c r="N24" s="200">
        <f>BDFE!U45/1000</f>
        <v>-387.43453999999997</v>
      </c>
      <c r="O24" s="200">
        <f>BDFE!AB45/1000</f>
        <v>0</v>
      </c>
      <c r="P24" s="200">
        <f>BDFE!AI45/1000</f>
        <v>0</v>
      </c>
      <c r="Q24" s="200">
        <f>BDFE!AP45/1000</f>
        <v>-395.09996000000001</v>
      </c>
      <c r="R24" s="200">
        <f t="shared" ref="R24:R31" si="8">SUM(L24:Q24)</f>
        <v>-6775.3522700000012</v>
      </c>
    </row>
    <row r="25" spans="3:18" ht="14" x14ac:dyDescent="0.3">
      <c r="C25" s="191" t="s">
        <v>141</v>
      </c>
      <c r="D25" s="195">
        <f>BDFE!D46/1000</f>
        <v>0</v>
      </c>
      <c r="E25" s="195">
        <f>BDFE!K46/1000</f>
        <v>0</v>
      </c>
      <c r="F25" s="195">
        <f>BDFE!R46/1000</f>
        <v>-170.62995000000001</v>
      </c>
      <c r="G25" s="195">
        <f>BDFE!Y46/1000</f>
        <v>0</v>
      </c>
      <c r="H25" s="195">
        <f>BDFE!AF46/1000</f>
        <v>0</v>
      </c>
      <c r="I25" s="195">
        <f>BDFE!AM46/1000</f>
        <v>0</v>
      </c>
      <c r="J25" s="195">
        <f t="shared" si="7"/>
        <v>-170.62995000000001</v>
      </c>
      <c r="K25" s="195"/>
      <c r="L25" s="195">
        <f>BDFE!G46/1000</f>
        <v>0</v>
      </c>
      <c r="M25" s="195">
        <f>BDFE!N46/1000</f>
        <v>0</v>
      </c>
      <c r="N25" s="195">
        <f>BDFE!U46/1000</f>
        <v>-431.74240000000003</v>
      </c>
      <c r="O25" s="195">
        <f>BDFE!AB46/1000</f>
        <v>0</v>
      </c>
      <c r="P25" s="195">
        <f>BDFE!AI46/1000</f>
        <v>0</v>
      </c>
      <c r="Q25" s="195">
        <f>BDFE!AP46/1000</f>
        <v>0</v>
      </c>
      <c r="R25" s="195">
        <f t="shared" si="8"/>
        <v>-431.74240000000003</v>
      </c>
    </row>
    <row r="26" spans="3:18" ht="14" x14ac:dyDescent="0.3">
      <c r="C26" s="191" t="s">
        <v>142</v>
      </c>
      <c r="D26" s="195">
        <f>BDFE!D47/1000</f>
        <v>0</v>
      </c>
      <c r="E26" s="195">
        <f>BDFE!K47/1000</f>
        <v>0</v>
      </c>
      <c r="F26" s="195">
        <f>BDFE!R47/1000</f>
        <v>0</v>
      </c>
      <c r="G26" s="195">
        <f>BDFE!Y47/1000</f>
        <v>0</v>
      </c>
      <c r="H26" s="195">
        <f>BDFE!AF47/1000</f>
        <v>0</v>
      </c>
      <c r="I26" s="195">
        <f>BDFE!AM47/1000</f>
        <v>0</v>
      </c>
      <c r="J26" s="195">
        <f t="shared" si="7"/>
        <v>0</v>
      </c>
      <c r="K26" s="195"/>
      <c r="L26" s="195">
        <f>BDFE!G47/1000</f>
        <v>0</v>
      </c>
      <c r="M26" s="195">
        <f>BDFE!N47/1000</f>
        <v>0</v>
      </c>
      <c r="N26" s="195">
        <f>BDFE!U47/1000</f>
        <v>0</v>
      </c>
      <c r="O26" s="195">
        <f>BDFE!AB47/1000</f>
        <v>0</v>
      </c>
      <c r="P26" s="195">
        <f>BDFE!AI47/1000</f>
        <v>0</v>
      </c>
      <c r="Q26" s="195">
        <f>BDFE!AP47/1000</f>
        <v>-30.017310000000002</v>
      </c>
      <c r="R26" s="195">
        <f t="shared" si="8"/>
        <v>-30.017310000000002</v>
      </c>
    </row>
    <row r="27" spans="3:18" ht="14" x14ac:dyDescent="0.3">
      <c r="C27" s="191" t="s">
        <v>143</v>
      </c>
      <c r="D27" s="195">
        <f>BDFE!D48/1000</f>
        <v>0</v>
      </c>
      <c r="E27" s="195">
        <f>BDFE!K48/1000</f>
        <v>0</v>
      </c>
      <c r="F27" s="195">
        <f>BDFE!R48/1000</f>
        <v>0</v>
      </c>
      <c r="G27" s="195">
        <f>BDFE!Y48/1000</f>
        <v>0</v>
      </c>
      <c r="H27" s="195">
        <f>BDFE!AF48/1000</f>
        <v>0</v>
      </c>
      <c r="I27" s="195">
        <f>BDFE!AM48/1000</f>
        <v>0</v>
      </c>
      <c r="J27" s="195">
        <f t="shared" si="7"/>
        <v>0</v>
      </c>
      <c r="K27" s="195"/>
      <c r="L27" s="195">
        <f>BDFE!G48/1000</f>
        <v>0</v>
      </c>
      <c r="M27" s="195">
        <f>BDFE!N48/1000</f>
        <v>0</v>
      </c>
      <c r="N27" s="195">
        <f>BDFE!U48/1000</f>
        <v>0</v>
      </c>
      <c r="O27" s="195">
        <f>BDFE!AB48/1000</f>
        <v>0</v>
      </c>
      <c r="P27" s="195">
        <f>BDFE!AI48/1000</f>
        <v>0</v>
      </c>
      <c r="Q27" s="195">
        <f>BDFE!AP48/1000</f>
        <v>0</v>
      </c>
      <c r="R27" s="195">
        <f t="shared" si="8"/>
        <v>0</v>
      </c>
    </row>
    <row r="28" spans="3:18" ht="14" x14ac:dyDescent="0.3">
      <c r="C28" s="191" t="s">
        <v>144</v>
      </c>
      <c r="D28" s="195">
        <f>BDFE!D49/1000</f>
        <v>0</v>
      </c>
      <c r="E28" s="195">
        <f>BDFE!K49/1000</f>
        <v>0</v>
      </c>
      <c r="F28" s="195">
        <f>BDFE!R49/1000</f>
        <v>0</v>
      </c>
      <c r="G28" s="195">
        <f>BDFE!Y49/1000</f>
        <v>0</v>
      </c>
      <c r="H28" s="195">
        <f>BDFE!AF49/1000</f>
        <v>0</v>
      </c>
      <c r="I28" s="195">
        <f>BDFE!AM49/1000</f>
        <v>0</v>
      </c>
      <c r="J28" s="195">
        <f t="shared" si="7"/>
        <v>0</v>
      </c>
      <c r="K28" s="195"/>
      <c r="L28" s="195">
        <f>BDFE!G49/1000</f>
        <v>0</v>
      </c>
      <c r="M28" s="195">
        <f>BDFE!N49/1000</f>
        <v>0</v>
      </c>
      <c r="N28" s="195">
        <f>BDFE!U49/1000</f>
        <v>0</v>
      </c>
      <c r="O28" s="195">
        <f>BDFE!AB49/1000</f>
        <v>0</v>
      </c>
      <c r="P28" s="195">
        <f>BDFE!AI49/1000</f>
        <v>0</v>
      </c>
      <c r="Q28" s="195">
        <f>BDFE!AP49/1000</f>
        <v>0</v>
      </c>
      <c r="R28" s="195">
        <f t="shared" si="8"/>
        <v>0</v>
      </c>
    </row>
    <row r="29" spans="3:18" ht="14" x14ac:dyDescent="0.3">
      <c r="C29" s="191" t="s">
        <v>145</v>
      </c>
      <c r="D29" s="195">
        <f>BDFE!D50/1000</f>
        <v>0</v>
      </c>
      <c r="E29" s="195">
        <f>BDFE!K50/1000</f>
        <v>0</v>
      </c>
      <c r="F29" s="195">
        <f>BDFE!R50/1000</f>
        <v>0</v>
      </c>
      <c r="G29" s="195">
        <f>BDFE!Y50/1000</f>
        <v>0</v>
      </c>
      <c r="H29" s="195">
        <f>BDFE!AF50/1000</f>
        <v>0</v>
      </c>
      <c r="I29" s="195">
        <f>BDFE!AM50/1000</f>
        <v>0</v>
      </c>
      <c r="J29" s="195">
        <f t="shared" si="7"/>
        <v>0</v>
      </c>
      <c r="K29" s="195"/>
      <c r="L29" s="195">
        <f>BDFE!G50/1000</f>
        <v>0</v>
      </c>
      <c r="M29" s="195">
        <f>BDFE!N50/1000</f>
        <v>0</v>
      </c>
      <c r="N29" s="195">
        <f>BDFE!U50/1000</f>
        <v>0</v>
      </c>
      <c r="O29" s="195">
        <f>BDFE!AB50/1000</f>
        <v>0</v>
      </c>
      <c r="P29" s="195">
        <f>BDFE!AI50/1000</f>
        <v>0</v>
      </c>
      <c r="Q29" s="195">
        <f>BDFE!AP50/1000</f>
        <v>0</v>
      </c>
      <c r="R29" s="195">
        <f t="shared" si="8"/>
        <v>0</v>
      </c>
    </row>
    <row r="30" spans="3:18" ht="14" x14ac:dyDescent="0.3">
      <c r="C30" s="191" t="s">
        <v>146</v>
      </c>
      <c r="D30" s="195">
        <f>BDFE!D51/1000</f>
        <v>0</v>
      </c>
      <c r="E30" s="195">
        <f>BDFE!K51/1000</f>
        <v>0</v>
      </c>
      <c r="F30" s="195">
        <f>BDFE!R51/1000</f>
        <v>0</v>
      </c>
      <c r="G30" s="195">
        <f>BDFE!Y51/1000</f>
        <v>0</v>
      </c>
      <c r="H30" s="195">
        <f>BDFE!AF51/1000</f>
        <v>0</v>
      </c>
      <c r="I30" s="195">
        <f>BDFE!AM51/1000</f>
        <v>0</v>
      </c>
      <c r="J30" s="195">
        <f t="shared" si="7"/>
        <v>0</v>
      </c>
      <c r="K30" s="195"/>
      <c r="L30" s="195">
        <f>BDFE!G51/1000</f>
        <v>0</v>
      </c>
      <c r="M30" s="195">
        <f>BDFE!N51/1000</f>
        <v>0</v>
      </c>
      <c r="N30" s="195">
        <f>BDFE!U51/1000</f>
        <v>0</v>
      </c>
      <c r="O30" s="195">
        <f>BDFE!AB51/1000</f>
        <v>0</v>
      </c>
      <c r="P30" s="195">
        <f>BDFE!AI51/1000</f>
        <v>0</v>
      </c>
      <c r="Q30" s="195">
        <f>BDFE!AP51/1000</f>
        <v>0</v>
      </c>
      <c r="R30" s="195">
        <f t="shared" si="8"/>
        <v>0</v>
      </c>
    </row>
    <row r="31" spans="3:18" ht="14" x14ac:dyDescent="0.3">
      <c r="C31" s="190" t="s">
        <v>147</v>
      </c>
      <c r="D31" s="197">
        <f t="shared" ref="D31" si="9">SUM(D24:D30)</f>
        <v>0</v>
      </c>
      <c r="E31" s="197">
        <f t="shared" ref="E31:J31" si="10">SUM(E24:E30)</f>
        <v>0</v>
      </c>
      <c r="F31" s="197">
        <f t="shared" si="10"/>
        <v>-182.90602000000001</v>
      </c>
      <c r="G31" s="197">
        <f t="shared" si="10"/>
        <v>0</v>
      </c>
      <c r="H31" s="197">
        <f t="shared" si="10"/>
        <v>0</v>
      </c>
      <c r="I31" s="197">
        <f t="shared" si="10"/>
        <v>-259.65347000000003</v>
      </c>
      <c r="J31" s="197">
        <f t="shared" si="10"/>
        <v>-442.55949000000004</v>
      </c>
      <c r="K31" s="195"/>
      <c r="L31" s="197">
        <f t="shared" ref="L31:Q31" si="11">SUM(L24:L30)</f>
        <v>-5822.4515300000003</v>
      </c>
      <c r="M31" s="197">
        <f t="shared" si="11"/>
        <v>-170.36624</v>
      </c>
      <c r="N31" s="197">
        <f t="shared" si="11"/>
        <v>-819.17694000000006</v>
      </c>
      <c r="O31" s="197">
        <f t="shared" si="11"/>
        <v>0</v>
      </c>
      <c r="P31" s="197">
        <f t="shared" si="11"/>
        <v>0</v>
      </c>
      <c r="Q31" s="197">
        <f t="shared" si="11"/>
        <v>-425.11727000000002</v>
      </c>
      <c r="R31" s="197">
        <f t="shared" si="8"/>
        <v>-7237.1119800000006</v>
      </c>
    </row>
    <row r="32" spans="3:18" ht="14" x14ac:dyDescent="0.3">
      <c r="C32" s="190"/>
      <c r="D32" s="204"/>
      <c r="E32" s="204"/>
      <c r="F32" s="204"/>
      <c r="G32" s="204"/>
      <c r="H32" s="204"/>
      <c r="I32" s="203"/>
      <c r="J32" s="204"/>
      <c r="K32" s="199"/>
      <c r="L32" s="204"/>
      <c r="M32" s="204"/>
      <c r="N32" s="204"/>
      <c r="O32" s="204"/>
      <c r="P32" s="204"/>
      <c r="Q32" s="204"/>
      <c r="R32" s="204"/>
    </row>
    <row r="33" spans="3:19" ht="14" x14ac:dyDescent="0.3">
      <c r="C33" s="190" t="s">
        <v>148</v>
      </c>
      <c r="D33" s="199"/>
      <c r="E33" s="199"/>
      <c r="F33" s="199"/>
      <c r="G33" s="199"/>
      <c r="H33" s="199"/>
      <c r="I33" s="199"/>
      <c r="J33" s="205"/>
      <c r="K33" s="199"/>
      <c r="L33" s="199"/>
      <c r="M33" s="199"/>
      <c r="N33" s="199"/>
      <c r="O33" s="199"/>
      <c r="P33" s="199"/>
      <c r="Q33" s="199"/>
      <c r="R33" s="205"/>
    </row>
    <row r="34" spans="3:19" ht="14" x14ac:dyDescent="0.3">
      <c r="C34" s="191" t="s">
        <v>149</v>
      </c>
      <c r="D34" s="200">
        <f>+BDFE!D54/1000</f>
        <v>0</v>
      </c>
      <c r="E34" s="200">
        <f>+BDFE!K54/1000</f>
        <v>0</v>
      </c>
      <c r="F34" s="200">
        <f>+BDFE!R54/1000</f>
        <v>0</v>
      </c>
      <c r="G34" s="200">
        <f>+BDFE!Y54/1000</f>
        <v>0</v>
      </c>
      <c r="H34" s="200">
        <f>+BDFE!AF54/1000</f>
        <v>0</v>
      </c>
      <c r="I34" s="200">
        <f>+BDFE!AM54/1000</f>
        <v>-3.3250000000000002</v>
      </c>
      <c r="J34" s="195">
        <f t="shared" ref="J34:J56" si="12">SUM(D34:I34)</f>
        <v>-3.3250000000000002</v>
      </c>
      <c r="K34" s="195"/>
      <c r="L34" s="200">
        <f>+BDFE!G54/1000</f>
        <v>0</v>
      </c>
      <c r="M34" s="200">
        <f>+BDFE!N54/1000</f>
        <v>0</v>
      </c>
      <c r="N34" s="200">
        <f>+BDFE!U54/1000</f>
        <v>0</v>
      </c>
      <c r="O34" s="200">
        <f>+BDFE!AB54/1000</f>
        <v>0</v>
      </c>
      <c r="P34" s="200">
        <f>+BDFE!AI54/1000</f>
        <v>0</v>
      </c>
      <c r="Q34" s="200">
        <f>+BDFE!AP54/1000</f>
        <v>-21.824750000000002</v>
      </c>
      <c r="R34" s="195">
        <f t="shared" ref="R34:R56" si="13">SUM(L34:Q34)</f>
        <v>-21.824750000000002</v>
      </c>
    </row>
    <row r="35" spans="3:19" ht="14" x14ac:dyDescent="0.3">
      <c r="C35" s="191" t="s">
        <v>150</v>
      </c>
      <c r="D35" s="195">
        <f>+BDFE!D55/1000</f>
        <v>0</v>
      </c>
      <c r="E35" s="195">
        <f>+BDFE!K55/1000</f>
        <v>0.64971000000000001</v>
      </c>
      <c r="F35" s="195">
        <f>+BDFE!R55/1000</f>
        <v>0</v>
      </c>
      <c r="G35" s="195">
        <f>+BDFE!Y55/1000</f>
        <v>0</v>
      </c>
      <c r="H35" s="195">
        <f>+BDFE!AF55/1000</f>
        <v>0</v>
      </c>
      <c r="I35" s="195">
        <f>+BDFE!AM55/1000</f>
        <v>21.002410000000001</v>
      </c>
      <c r="J35" s="195">
        <f t="shared" si="12"/>
        <v>21.65212</v>
      </c>
      <c r="K35" s="195"/>
      <c r="L35" s="195">
        <f>+BDFE!G55/1000</f>
        <v>57.228559999999995</v>
      </c>
      <c r="M35" s="195">
        <f>+BDFE!N55/1000</f>
        <v>3.8982600000000001</v>
      </c>
      <c r="N35" s="195">
        <f>+BDFE!U55/1000</f>
        <v>0</v>
      </c>
      <c r="O35" s="195">
        <f>+BDFE!AB55/1000</f>
        <v>0</v>
      </c>
      <c r="P35" s="195">
        <f>+BDFE!AI55/1000</f>
        <v>0</v>
      </c>
      <c r="Q35" s="195">
        <f>+BDFE!AP55/1000</f>
        <v>126.01446</v>
      </c>
      <c r="R35" s="195">
        <f t="shared" si="13"/>
        <v>187.14127999999999</v>
      </c>
    </row>
    <row r="36" spans="3:19" ht="14" x14ac:dyDescent="0.3">
      <c r="C36" s="191" t="s">
        <v>151</v>
      </c>
      <c r="D36" s="195">
        <f>+BDFE!D56/1000</f>
        <v>0</v>
      </c>
      <c r="E36" s="195">
        <f>+BDFE!K56/1000</f>
        <v>0</v>
      </c>
      <c r="F36" s="195">
        <f>+BDFE!R56/1000</f>
        <v>-1.2821</v>
      </c>
      <c r="G36" s="195">
        <f>+BDFE!Y56/1000</f>
        <v>0</v>
      </c>
      <c r="H36" s="195">
        <f>+BDFE!AF56/1000</f>
        <v>0</v>
      </c>
      <c r="I36" s="195">
        <f>+BDFE!AM56/1000</f>
        <v>0</v>
      </c>
      <c r="J36" s="195">
        <f t="shared" si="12"/>
        <v>-1.2821</v>
      </c>
      <c r="K36" s="195"/>
      <c r="L36" s="195">
        <f>+BDFE!G56/1000</f>
        <v>-2.1946099999999999</v>
      </c>
      <c r="M36" s="195">
        <f>+BDFE!N56/1000</f>
        <v>0</v>
      </c>
      <c r="N36" s="195">
        <f>+BDFE!U56/1000</f>
        <v>-9.8764000000000003</v>
      </c>
      <c r="O36" s="195">
        <f>+BDFE!AB56/1000</f>
        <v>0</v>
      </c>
      <c r="P36" s="195">
        <f>+BDFE!AI56/1000</f>
        <v>-5.8082900000000004</v>
      </c>
      <c r="Q36" s="195">
        <f>+BDFE!AP56/1000</f>
        <v>0</v>
      </c>
      <c r="R36" s="195">
        <f t="shared" si="13"/>
        <v>-17.879300000000001</v>
      </c>
    </row>
    <row r="37" spans="3:19" ht="14" x14ac:dyDescent="0.3">
      <c r="C37" s="191" t="s">
        <v>152</v>
      </c>
      <c r="D37" s="195">
        <f>+BDFE!D57/1000</f>
        <v>0</v>
      </c>
      <c r="E37" s="195">
        <f>+BDFE!K57/1000</f>
        <v>-19.976959999999998</v>
      </c>
      <c r="F37" s="195">
        <f>+BDFE!R57/1000</f>
        <v>2.08935</v>
      </c>
      <c r="G37" s="195">
        <f>+BDFE!Y57/1000</f>
        <v>7.63462</v>
      </c>
      <c r="H37" s="195">
        <f>+BDFE!AF57/1000</f>
        <v>0</v>
      </c>
      <c r="I37" s="195">
        <f>+BDFE!AM57/1000</f>
        <v>0</v>
      </c>
      <c r="J37" s="195">
        <f t="shared" si="12"/>
        <v>-10.252989999999999</v>
      </c>
      <c r="K37" s="195"/>
      <c r="L37" s="195">
        <f>+BDFE!G57/1000</f>
        <v>0</v>
      </c>
      <c r="M37" s="195">
        <f>+BDFE!N57/1000</f>
        <v>-16.951840000000001</v>
      </c>
      <c r="N37" s="195">
        <f>+BDFE!U57/1000</f>
        <v>11.2806</v>
      </c>
      <c r="O37" s="195">
        <f>+BDFE!AB57/1000</f>
        <v>45.807720000000003</v>
      </c>
      <c r="P37" s="195">
        <f>+BDFE!AI57/1000</f>
        <v>21.752880000000001</v>
      </c>
      <c r="Q37" s="195">
        <f>+BDFE!AP57/1000</f>
        <v>0</v>
      </c>
      <c r="R37" s="195">
        <f t="shared" si="13"/>
        <v>61.889360000000011</v>
      </c>
    </row>
    <row r="38" spans="3:19" ht="14" x14ac:dyDescent="0.3">
      <c r="C38" s="191" t="s">
        <v>153</v>
      </c>
      <c r="D38" s="195">
        <f>+BDFE!D58/1000</f>
        <v>0</v>
      </c>
      <c r="E38" s="195">
        <f>+BDFE!K58/1000</f>
        <v>0</v>
      </c>
      <c r="F38" s="195">
        <f>+BDFE!R58/1000</f>
        <v>0</v>
      </c>
      <c r="G38" s="195">
        <f>+BDFE!Y58/1000</f>
        <v>0</v>
      </c>
      <c r="H38" s="195">
        <f>+BDFE!AF58/1000</f>
        <v>0</v>
      </c>
      <c r="I38" s="195">
        <f>+BDFE!AM58/1000</f>
        <v>0</v>
      </c>
      <c r="J38" s="195">
        <f t="shared" si="12"/>
        <v>0</v>
      </c>
      <c r="K38" s="195"/>
      <c r="L38" s="195">
        <f>+BDFE!G58/1000</f>
        <v>0</v>
      </c>
      <c r="M38" s="195">
        <f>+BDFE!N58/1000</f>
        <v>0</v>
      </c>
      <c r="N38" s="195">
        <f>+BDFE!U58/1000</f>
        <v>0</v>
      </c>
      <c r="O38" s="195">
        <f>+BDFE!AB58/1000</f>
        <v>-0.99</v>
      </c>
      <c r="P38" s="195">
        <f>+BDFE!AI58/1000</f>
        <v>0</v>
      </c>
      <c r="Q38" s="195">
        <f>+BDFE!AP58/1000</f>
        <v>0</v>
      </c>
      <c r="R38" s="195">
        <f t="shared" si="13"/>
        <v>-0.99</v>
      </c>
    </row>
    <row r="39" spans="3:19" ht="14" x14ac:dyDescent="0.3">
      <c r="C39" s="191" t="s">
        <v>154</v>
      </c>
      <c r="D39" s="195">
        <f>+BDFE!D59/1000</f>
        <v>0</v>
      </c>
      <c r="E39" s="195">
        <f>+BDFE!K59/1000</f>
        <v>20.733240000000002</v>
      </c>
      <c r="F39" s="195">
        <f>+BDFE!R59/1000</f>
        <v>0</v>
      </c>
      <c r="G39" s="195">
        <f>+BDFE!Y59/1000</f>
        <v>0</v>
      </c>
      <c r="H39" s="195">
        <f>+BDFE!AF59/1000</f>
        <v>0</v>
      </c>
      <c r="I39" s="195">
        <f>+BDFE!AM59/1000</f>
        <v>0</v>
      </c>
      <c r="J39" s="195">
        <f t="shared" si="12"/>
        <v>20.733240000000002</v>
      </c>
      <c r="K39" s="195"/>
      <c r="L39" s="195">
        <f>+BDFE!G59/1000</f>
        <v>0</v>
      </c>
      <c r="M39" s="195">
        <f>+BDFE!N59/1000</f>
        <v>20.733240000000002</v>
      </c>
      <c r="N39" s="195">
        <f>+BDFE!U59/1000</f>
        <v>0</v>
      </c>
      <c r="O39" s="195">
        <f>+BDFE!AB59/1000</f>
        <v>0</v>
      </c>
      <c r="P39" s="195">
        <f>+BDFE!AI59/1000</f>
        <v>0</v>
      </c>
      <c r="Q39" s="195">
        <f>+BDFE!AP59/1000</f>
        <v>0</v>
      </c>
      <c r="R39" s="195">
        <f t="shared" si="13"/>
        <v>20.733240000000002</v>
      </c>
    </row>
    <row r="40" spans="3:19" ht="14" x14ac:dyDescent="0.3">
      <c r="C40" s="191" t="s">
        <v>155</v>
      </c>
      <c r="D40" s="195">
        <f>+BDFE!D60/1000</f>
        <v>0</v>
      </c>
      <c r="E40" s="195">
        <f>+BDFE!K60/1000</f>
        <v>0</v>
      </c>
      <c r="F40" s="195">
        <f>+BDFE!R60/1000</f>
        <v>0</v>
      </c>
      <c r="G40" s="195">
        <f>+BDFE!Y60/1000</f>
        <v>0</v>
      </c>
      <c r="H40" s="195">
        <f>+BDFE!AF60/1000</f>
        <v>0</v>
      </c>
      <c r="I40" s="195">
        <f>+BDFE!AM60/1000</f>
        <v>0</v>
      </c>
      <c r="J40" s="195">
        <f t="shared" si="12"/>
        <v>0</v>
      </c>
      <c r="K40" s="195"/>
      <c r="L40" s="195">
        <f>+BDFE!G60/1000</f>
        <v>0</v>
      </c>
      <c r="M40" s="195">
        <f>+BDFE!N60/1000</f>
        <v>0</v>
      </c>
      <c r="N40" s="195">
        <f>+BDFE!U60/1000</f>
        <v>0</v>
      </c>
      <c r="O40" s="195">
        <f>+BDFE!AB60/1000</f>
        <v>0</v>
      </c>
      <c r="P40" s="195">
        <f>+BDFE!AI60/1000</f>
        <v>0</v>
      </c>
      <c r="Q40" s="195">
        <f>+BDFE!AP60/1000</f>
        <v>0</v>
      </c>
      <c r="R40" s="195">
        <f t="shared" si="13"/>
        <v>0</v>
      </c>
    </row>
    <row r="41" spans="3:19" ht="14" x14ac:dyDescent="0.3">
      <c r="C41" s="191" t="s">
        <v>156</v>
      </c>
      <c r="D41" s="195">
        <f>+BDFE!D61/1000</f>
        <v>0</v>
      </c>
      <c r="E41" s="195">
        <f>+BDFE!K61/1000</f>
        <v>0</v>
      </c>
      <c r="F41" s="195">
        <f>+BDFE!R61/1000</f>
        <v>0</v>
      </c>
      <c r="G41" s="195">
        <f>+BDFE!Y61/1000</f>
        <v>0</v>
      </c>
      <c r="H41" s="195">
        <f>+BDFE!AF61/1000</f>
        <v>0</v>
      </c>
      <c r="I41" s="195">
        <f>+BDFE!AM61/1000</f>
        <v>0</v>
      </c>
      <c r="J41" s="195">
        <f t="shared" si="12"/>
        <v>0</v>
      </c>
      <c r="K41" s="195"/>
      <c r="L41" s="195">
        <f>+BDFE!G61/1000</f>
        <v>0</v>
      </c>
      <c r="M41" s="195">
        <f>+BDFE!N61/1000</f>
        <v>0</v>
      </c>
      <c r="N41" s="195">
        <f>+BDFE!U61/1000</f>
        <v>0</v>
      </c>
      <c r="O41" s="195">
        <f>+BDFE!AB61/1000</f>
        <v>0</v>
      </c>
      <c r="P41" s="195">
        <f>+BDFE!AI61/1000</f>
        <v>0</v>
      </c>
      <c r="Q41" s="195">
        <f>+BDFE!AP61/1000</f>
        <v>0</v>
      </c>
      <c r="R41" s="195">
        <f t="shared" si="13"/>
        <v>0</v>
      </c>
    </row>
    <row r="42" spans="3:19" ht="14" x14ac:dyDescent="0.3">
      <c r="C42" s="191" t="s">
        <v>157</v>
      </c>
      <c r="D42" s="195">
        <f>+BDFE!D62/1000</f>
        <v>0</v>
      </c>
      <c r="E42" s="195">
        <f>+BDFE!K62/1000</f>
        <v>0</v>
      </c>
      <c r="F42" s="195">
        <f>+BDFE!R62/1000</f>
        <v>0</v>
      </c>
      <c r="G42" s="195">
        <f>+BDFE!Y62/1000</f>
        <v>0</v>
      </c>
      <c r="H42" s="195">
        <f>+BDFE!AF62/1000</f>
        <v>0</v>
      </c>
      <c r="I42" s="195">
        <f>+BDFE!AM62/1000</f>
        <v>0</v>
      </c>
      <c r="J42" s="195">
        <f t="shared" si="12"/>
        <v>0</v>
      </c>
      <c r="K42" s="195"/>
      <c r="L42" s="195">
        <f>+BDFE!G62/1000</f>
        <v>0</v>
      </c>
      <c r="M42" s="195">
        <f>+BDFE!N62/1000</f>
        <v>0</v>
      </c>
      <c r="N42" s="195">
        <f>+BDFE!U62/1000</f>
        <v>0</v>
      </c>
      <c r="O42" s="195">
        <f>+BDFE!AB62/1000</f>
        <v>0</v>
      </c>
      <c r="P42" s="195">
        <f>+BDFE!AI62/1000</f>
        <v>0</v>
      </c>
      <c r="Q42" s="195">
        <f>+BDFE!AP62/1000</f>
        <v>0</v>
      </c>
      <c r="R42" s="195">
        <f t="shared" si="13"/>
        <v>0</v>
      </c>
    </row>
    <row r="43" spans="3:19" ht="14" x14ac:dyDescent="0.3">
      <c r="C43" s="191" t="s">
        <v>158</v>
      </c>
      <c r="D43" s="195">
        <f>+BDFE!D63/1000</f>
        <v>0</v>
      </c>
      <c r="E43" s="195">
        <f>+BDFE!K63/1000</f>
        <v>0</v>
      </c>
      <c r="F43" s="195">
        <f>+BDFE!R63/1000</f>
        <v>0</v>
      </c>
      <c r="G43" s="195">
        <f>+BDFE!Y63/1000</f>
        <v>0</v>
      </c>
      <c r="H43" s="195">
        <f>+BDFE!AF63/1000</f>
        <v>0</v>
      </c>
      <c r="I43" s="195">
        <f>+BDFE!AM63/1000</f>
        <v>0</v>
      </c>
      <c r="J43" s="195">
        <f t="shared" si="12"/>
        <v>0</v>
      </c>
      <c r="K43" s="195"/>
      <c r="L43" s="195">
        <f>+BDFE!G63/1000</f>
        <v>0</v>
      </c>
      <c r="M43" s="195">
        <f>+BDFE!N63/1000</f>
        <v>0</v>
      </c>
      <c r="N43" s="195">
        <f>+BDFE!U63/1000</f>
        <v>0</v>
      </c>
      <c r="O43" s="195">
        <f>+BDFE!AB63/1000</f>
        <v>0</v>
      </c>
      <c r="P43" s="195">
        <f>+BDFE!AI63/1000</f>
        <v>0</v>
      </c>
      <c r="Q43" s="195">
        <f>+BDFE!AP63/1000</f>
        <v>0</v>
      </c>
      <c r="R43" s="195">
        <f t="shared" si="13"/>
        <v>0</v>
      </c>
    </row>
    <row r="44" spans="3:19" ht="14" x14ac:dyDescent="0.3">
      <c r="C44" s="191" t="s">
        <v>159</v>
      </c>
      <c r="D44" s="195">
        <f>+BDFE!D64/1000</f>
        <v>0</v>
      </c>
      <c r="E44" s="195">
        <f>+BDFE!K64/1000</f>
        <v>0</v>
      </c>
      <c r="F44" s="195">
        <f>+BDFE!R64/1000</f>
        <v>0</v>
      </c>
      <c r="G44" s="195">
        <f>+BDFE!Y64/1000</f>
        <v>0</v>
      </c>
      <c r="H44" s="195">
        <f>+BDFE!AF64/1000</f>
        <v>0</v>
      </c>
      <c r="I44" s="195">
        <f>+BDFE!AM64/1000</f>
        <v>0</v>
      </c>
      <c r="J44" s="195">
        <f t="shared" si="12"/>
        <v>0</v>
      </c>
      <c r="K44" s="195"/>
      <c r="L44" s="195">
        <f>+BDFE!G64/1000</f>
        <v>0</v>
      </c>
      <c r="M44" s="195">
        <f>+BDFE!N64/1000</f>
        <v>0</v>
      </c>
      <c r="N44" s="195">
        <f>+BDFE!U64/1000</f>
        <v>0</v>
      </c>
      <c r="O44" s="195">
        <f>+BDFE!AB64/1000</f>
        <v>0</v>
      </c>
      <c r="P44" s="195">
        <f>+BDFE!AI64/1000</f>
        <v>0</v>
      </c>
      <c r="Q44" s="195">
        <f>+BDFE!AP64/1000</f>
        <v>0</v>
      </c>
      <c r="R44" s="195">
        <f t="shared" si="13"/>
        <v>0</v>
      </c>
    </row>
    <row r="45" spans="3:19" ht="14" x14ac:dyDescent="0.3">
      <c r="C45" s="191" t="s">
        <v>97</v>
      </c>
      <c r="D45" s="195">
        <f>+BDFE!D65/1000</f>
        <v>0</v>
      </c>
      <c r="E45" s="195">
        <f>+BDFE!K65/1000</f>
        <v>0</v>
      </c>
      <c r="F45" s="195">
        <f>+BDFE!R65/1000</f>
        <v>0.99996000000000007</v>
      </c>
      <c r="G45" s="195">
        <f>+BDFE!Y65/1000</f>
        <v>0</v>
      </c>
      <c r="H45" s="195">
        <f>+BDFE!AF65/1000</f>
        <v>0</v>
      </c>
      <c r="I45" s="195">
        <f>+BDFE!AM65/1000</f>
        <v>0</v>
      </c>
      <c r="J45" s="195">
        <f t="shared" si="12"/>
        <v>0.99996000000000007</v>
      </c>
      <c r="K45" s="195"/>
      <c r="L45" s="195">
        <f>+BDFE!G65/1000</f>
        <v>0</v>
      </c>
      <c r="M45" s="195">
        <f>+BDFE!N65/1000</f>
        <v>0</v>
      </c>
      <c r="N45" s="195">
        <f>+BDFE!U65/1000</f>
        <v>5.9997600000000002</v>
      </c>
      <c r="O45" s="195">
        <f>+BDFE!AB65/1000</f>
        <v>0</v>
      </c>
      <c r="P45" s="195">
        <f>+BDFE!AI65/1000</f>
        <v>0</v>
      </c>
      <c r="Q45" s="195">
        <f>+BDFE!AP65/1000</f>
        <v>0</v>
      </c>
      <c r="R45" s="195">
        <f t="shared" si="13"/>
        <v>5.9997600000000002</v>
      </c>
    </row>
    <row r="46" spans="3:19" ht="14" x14ac:dyDescent="0.3">
      <c r="C46" s="191" t="s">
        <v>98</v>
      </c>
      <c r="D46" s="195">
        <f>+BDFE!D66/1000</f>
        <v>0</v>
      </c>
      <c r="E46" s="195">
        <f>+BDFE!K66/1000</f>
        <v>0</v>
      </c>
      <c r="F46" s="195">
        <f>+BDFE!R66/1000</f>
        <v>0</v>
      </c>
      <c r="G46" s="195">
        <f>+BDFE!Y66/1000</f>
        <v>0</v>
      </c>
      <c r="H46" s="195">
        <f>+BDFE!AF66/1000</f>
        <v>0</v>
      </c>
      <c r="I46" s="195">
        <f>+BDFE!AM66/1000</f>
        <v>0</v>
      </c>
      <c r="J46" s="195">
        <f t="shared" si="12"/>
        <v>0</v>
      </c>
      <c r="K46" s="195"/>
      <c r="L46" s="195">
        <f>+BDFE!G66/1000</f>
        <v>0</v>
      </c>
      <c r="M46" s="195">
        <f>+BDFE!N66/1000</f>
        <v>0</v>
      </c>
      <c r="N46" s="195">
        <f>+BDFE!U66/1000</f>
        <v>0</v>
      </c>
      <c r="O46" s="195">
        <f>+BDFE!AB66/1000</f>
        <v>0</v>
      </c>
      <c r="P46" s="195">
        <f>+BDFE!AI66/1000</f>
        <v>0</v>
      </c>
      <c r="Q46" s="195">
        <f>+BDFE!AP66/1000</f>
        <v>0</v>
      </c>
      <c r="R46" s="195">
        <f t="shared" si="13"/>
        <v>0</v>
      </c>
      <c r="S46" s="209"/>
    </row>
    <row r="47" spans="3:19" ht="14" x14ac:dyDescent="0.3">
      <c r="C47" s="191" t="s">
        <v>99</v>
      </c>
      <c r="D47" s="195">
        <f>+BDFE!D67/1000</f>
        <v>0</v>
      </c>
      <c r="E47" s="195">
        <f>+BDFE!K67/1000</f>
        <v>0</v>
      </c>
      <c r="F47" s="195">
        <f>+BDFE!R67/1000</f>
        <v>0</v>
      </c>
      <c r="G47" s="195">
        <f>+BDFE!Y67/1000</f>
        <v>0</v>
      </c>
      <c r="H47" s="195">
        <f>+BDFE!AF67/1000</f>
        <v>0</v>
      </c>
      <c r="I47" s="195">
        <f>+BDFE!AM67/1000</f>
        <v>0</v>
      </c>
      <c r="J47" s="195">
        <f t="shared" si="12"/>
        <v>0</v>
      </c>
      <c r="K47" s="195"/>
      <c r="L47" s="195">
        <f>+BDFE!G67/1000</f>
        <v>0</v>
      </c>
      <c r="M47" s="195">
        <f>+BDFE!N67/1000</f>
        <v>0</v>
      </c>
      <c r="N47" s="195">
        <f>+BDFE!U67/1000</f>
        <v>0</v>
      </c>
      <c r="O47" s="195">
        <f>+BDFE!AB67/1000</f>
        <v>0</v>
      </c>
      <c r="P47" s="195">
        <f>+BDFE!AI67/1000</f>
        <v>0</v>
      </c>
      <c r="Q47" s="195">
        <f>+BDFE!AP67/1000</f>
        <v>0</v>
      </c>
      <c r="R47" s="195">
        <f t="shared" si="13"/>
        <v>0</v>
      </c>
    </row>
    <row r="48" spans="3:19" ht="14" x14ac:dyDescent="0.3">
      <c r="C48" s="191" t="s">
        <v>100</v>
      </c>
      <c r="D48" s="195">
        <f>+BDFE!D68/1000</f>
        <v>0</v>
      </c>
      <c r="E48" s="195">
        <f>+BDFE!K68/1000</f>
        <v>0</v>
      </c>
      <c r="F48" s="195">
        <f>+BDFE!R68/1000</f>
        <v>0</v>
      </c>
      <c r="G48" s="195">
        <f>+BDFE!Y68/1000</f>
        <v>0</v>
      </c>
      <c r="H48" s="195">
        <f>+BDFE!AF68/1000</f>
        <v>0</v>
      </c>
      <c r="I48" s="195">
        <f>+BDFE!AM68/1000</f>
        <v>0</v>
      </c>
      <c r="J48" s="195">
        <f t="shared" si="12"/>
        <v>0</v>
      </c>
      <c r="K48" s="195"/>
      <c r="L48" s="195">
        <f>+BDFE!G68/1000</f>
        <v>0</v>
      </c>
      <c r="M48" s="195">
        <f>+BDFE!N68/1000</f>
        <v>0</v>
      </c>
      <c r="N48" s="195">
        <f>+BDFE!U68/1000</f>
        <v>0</v>
      </c>
      <c r="O48" s="195">
        <f>+BDFE!AB68/1000</f>
        <v>0</v>
      </c>
      <c r="P48" s="195">
        <f>+BDFE!AI68/1000</f>
        <v>0</v>
      </c>
      <c r="Q48" s="195">
        <f>+BDFE!AP68/1000</f>
        <v>0</v>
      </c>
      <c r="R48" s="195">
        <f t="shared" si="13"/>
        <v>0</v>
      </c>
    </row>
    <row r="49" spans="3:18" ht="14" x14ac:dyDescent="0.3">
      <c r="C49" s="191" t="s">
        <v>101</v>
      </c>
      <c r="D49" s="195">
        <f>+BDFE!D69/1000</f>
        <v>0</v>
      </c>
      <c r="E49" s="195">
        <f>+BDFE!K69/1000</f>
        <v>0.30769000000000002</v>
      </c>
      <c r="F49" s="195">
        <f>+BDFE!R69/1000</f>
        <v>0</v>
      </c>
      <c r="G49" s="195">
        <f>+BDFE!Y69/1000</f>
        <v>0</v>
      </c>
      <c r="H49" s="195">
        <f>+BDFE!AF69/1000</f>
        <v>0</v>
      </c>
      <c r="I49" s="195">
        <f>+BDFE!AM69/1000</f>
        <v>0</v>
      </c>
      <c r="J49" s="195">
        <f t="shared" si="12"/>
        <v>0.30769000000000002</v>
      </c>
      <c r="K49" s="195"/>
      <c r="L49" s="195">
        <f>+BDFE!G69/1000</f>
        <v>4.3006400000000005</v>
      </c>
      <c r="M49" s="195">
        <f>+BDFE!N69/1000</f>
        <v>1.8461400000000001</v>
      </c>
      <c r="N49" s="195">
        <f>+BDFE!U69/1000</f>
        <v>0</v>
      </c>
      <c r="O49" s="195">
        <f>+BDFE!AB69/1000</f>
        <v>0</v>
      </c>
      <c r="P49" s="195">
        <f>+BDFE!AI69/1000</f>
        <v>0</v>
      </c>
      <c r="Q49" s="195">
        <f>+BDFE!AP69/1000</f>
        <v>0</v>
      </c>
      <c r="R49" s="195">
        <f t="shared" si="13"/>
        <v>6.1467800000000006</v>
      </c>
    </row>
    <row r="50" spans="3:18" ht="14" x14ac:dyDescent="0.3">
      <c r="C50" s="191" t="s">
        <v>160</v>
      </c>
      <c r="D50" s="195">
        <f>+BDFE!D70/1000</f>
        <v>0</v>
      </c>
      <c r="E50" s="195">
        <f>+BDFE!K70/1000</f>
        <v>0</v>
      </c>
      <c r="F50" s="195">
        <f>+BDFE!R70/1000</f>
        <v>0</v>
      </c>
      <c r="G50" s="195">
        <f>+BDFE!Y70/1000</f>
        <v>0</v>
      </c>
      <c r="H50" s="195">
        <f>+BDFE!AF70/1000</f>
        <v>0</v>
      </c>
      <c r="I50" s="195">
        <f>+BDFE!AM70/1000</f>
        <v>0</v>
      </c>
      <c r="J50" s="195">
        <f t="shared" si="12"/>
        <v>0</v>
      </c>
      <c r="K50" s="195"/>
      <c r="L50" s="195">
        <f>+BDFE!G70/1000</f>
        <v>0</v>
      </c>
      <c r="M50" s="195">
        <f>+BDFE!N70/1000</f>
        <v>0</v>
      </c>
      <c r="N50" s="195">
        <f>+BDFE!U70/1000</f>
        <v>0</v>
      </c>
      <c r="O50" s="195">
        <f>+BDFE!AB70/1000</f>
        <v>0</v>
      </c>
      <c r="P50" s="195">
        <f>+BDFE!AI70/1000</f>
        <v>0</v>
      </c>
      <c r="Q50" s="195">
        <f>+BDFE!AP70/1000</f>
        <v>0</v>
      </c>
      <c r="R50" s="195">
        <f t="shared" si="13"/>
        <v>0</v>
      </c>
    </row>
    <row r="51" spans="3:18" ht="14" x14ac:dyDescent="0.3">
      <c r="C51" s="191" t="s">
        <v>102</v>
      </c>
      <c r="D51" s="195">
        <f>+BDFE!D71/1000+BDFE!D74/1000</f>
        <v>0</v>
      </c>
      <c r="E51" s="195">
        <f>+BDFE!K71/1000+BDFE!K74/1000</f>
        <v>-0.40067999999999998</v>
      </c>
      <c r="F51" s="195">
        <f>+BDFE!R71/1000+BDFE!R74/1000</f>
        <v>-20.119689999999999</v>
      </c>
      <c r="G51" s="195">
        <f>+BDFE!Y71/1000+BDFE!Y74/1000</f>
        <v>0</v>
      </c>
      <c r="H51" s="195">
        <f>+BDFE!AF71/1000+BDFE!AF74/1000</f>
        <v>0</v>
      </c>
      <c r="I51" s="195">
        <f>+BDFE!AM71/1000+BDFE!AM74/1000</f>
        <v>0</v>
      </c>
      <c r="J51" s="195">
        <f t="shared" si="12"/>
        <v>-20.52037</v>
      </c>
      <c r="K51" s="195"/>
      <c r="L51" s="195">
        <f>+BDFE!G71/1000+BDFE!G74/1000</f>
        <v>6633.6320800000003</v>
      </c>
      <c r="M51" s="195">
        <f>+BDFE!N71/1000+BDFE!N74/1000</f>
        <v>-48.870959999999997</v>
      </c>
      <c r="N51" s="195">
        <f>+BDFE!U71/1000+BDFE!U74/1000</f>
        <v>-54.394040000000004</v>
      </c>
      <c r="O51" s="195">
        <f>+BDFE!AB71/1000+BDFE!AB74/1000</f>
        <v>0</v>
      </c>
      <c r="P51" s="195">
        <f>+BDFE!AI71/1000+BDFE!AI74/1000</f>
        <v>0</v>
      </c>
      <c r="Q51" s="195">
        <f>+BDFE!AP71/1000+BDFE!AP74/1000</f>
        <v>0</v>
      </c>
      <c r="R51" s="195">
        <f t="shared" si="13"/>
        <v>6530.36708</v>
      </c>
    </row>
    <row r="52" spans="3:18" ht="14" x14ac:dyDescent="0.3">
      <c r="C52" s="191" t="s">
        <v>25</v>
      </c>
      <c r="D52" s="195">
        <f>+BDFE!D72/1000</f>
        <v>0</v>
      </c>
      <c r="E52" s="195">
        <f>+BDFE!K72/1000</f>
        <v>0</v>
      </c>
      <c r="F52" s="195">
        <f>+BDFE!R72/1000</f>
        <v>0</v>
      </c>
      <c r="G52" s="195">
        <f>+BDFE!Y72/1000</f>
        <v>-1.1999999999999999E-4</v>
      </c>
      <c r="H52" s="195">
        <f>+BDFE!AF72/1000</f>
        <v>0</v>
      </c>
      <c r="I52" s="195">
        <f>+BDFE!AM72/1000</f>
        <v>0</v>
      </c>
      <c r="J52" s="195">
        <f t="shared" si="12"/>
        <v>-1.1999999999999999E-4</v>
      </c>
      <c r="K52" s="195"/>
      <c r="L52" s="195">
        <f>+BDFE!G72/1000</f>
        <v>0</v>
      </c>
      <c r="M52" s="195">
        <f>+BDFE!N72/1000</f>
        <v>0</v>
      </c>
      <c r="N52" s="195">
        <f>+BDFE!U72/1000</f>
        <v>-30.431999999999999</v>
      </c>
      <c r="O52" s="195">
        <f>+BDFE!AB72/1000</f>
        <v>-1.1999999999999999E-4</v>
      </c>
      <c r="P52" s="195">
        <f>+BDFE!AI72/1000</f>
        <v>0</v>
      </c>
      <c r="Q52" s="195">
        <f>+BDFE!AP72/1000</f>
        <v>0</v>
      </c>
      <c r="R52" s="195">
        <f t="shared" si="13"/>
        <v>-30.432119999999998</v>
      </c>
    </row>
    <row r="53" spans="3:18" ht="14" x14ac:dyDescent="0.3">
      <c r="C53" s="191" t="s">
        <v>28</v>
      </c>
      <c r="D53" s="195">
        <f>+BDFE!D73/1000</f>
        <v>0</v>
      </c>
      <c r="E53" s="195">
        <f>+BDFE!K73/1000</f>
        <v>0.14964</v>
      </c>
      <c r="F53" s="195">
        <f>+BDFE!R73/1000</f>
        <v>0</v>
      </c>
      <c r="G53" s="195">
        <f>+BDFE!Y73/1000</f>
        <v>1.6072599999999999</v>
      </c>
      <c r="H53" s="195">
        <f>+BDFE!AF73/1000</f>
        <v>5.1190200000000008</v>
      </c>
      <c r="I53" s="195">
        <f>+BDFE!AM73/1000</f>
        <v>0</v>
      </c>
      <c r="J53" s="195">
        <f t="shared" si="12"/>
        <v>6.8759200000000007</v>
      </c>
      <c r="K53" s="195"/>
      <c r="L53" s="195">
        <f>+BDFE!G73/1000</f>
        <v>0</v>
      </c>
      <c r="M53" s="195">
        <f>+BDFE!N73/1000</f>
        <v>0.89784000000000008</v>
      </c>
      <c r="N53" s="195">
        <f>+BDFE!U73/1000</f>
        <v>0</v>
      </c>
      <c r="O53" s="195">
        <f>+BDFE!AB73/1000</f>
        <v>9.6429599999999986</v>
      </c>
      <c r="P53" s="195">
        <f>+BDFE!AI73/1000</f>
        <v>47.380679999999998</v>
      </c>
      <c r="Q53" s="195">
        <f>+BDFE!AP73/1000</f>
        <v>0</v>
      </c>
      <c r="R53" s="195">
        <f t="shared" si="13"/>
        <v>57.921479999999995</v>
      </c>
    </row>
    <row r="54" spans="3:18" ht="14" x14ac:dyDescent="0.3">
      <c r="C54" s="191" t="s">
        <v>22</v>
      </c>
      <c r="D54" s="195">
        <f>+BDFE!D75/1000</f>
        <v>0</v>
      </c>
      <c r="E54" s="195">
        <f>+BDFE!K75/1000</f>
        <v>0</v>
      </c>
      <c r="F54" s="195">
        <f>+BDFE!R75/1000</f>
        <v>0</v>
      </c>
      <c r="G54" s="195">
        <f>+BDFE!Y75/1000</f>
        <v>0</v>
      </c>
      <c r="H54" s="195">
        <f>+BDFE!AF75/1000</f>
        <v>0</v>
      </c>
      <c r="I54" s="195">
        <f>+BDFE!AM75/1000</f>
        <v>0</v>
      </c>
      <c r="J54" s="195">
        <f t="shared" si="12"/>
        <v>0</v>
      </c>
      <c r="K54" s="195"/>
      <c r="L54" s="195">
        <f>+BDFE!G75/1000</f>
        <v>0</v>
      </c>
      <c r="M54" s="195">
        <f>+BDFE!N75/1000</f>
        <v>0</v>
      </c>
      <c r="N54" s="195">
        <f>+BDFE!U75/1000</f>
        <v>0</v>
      </c>
      <c r="O54" s="195">
        <f>+BDFE!AB75/1000</f>
        <v>0</v>
      </c>
      <c r="P54" s="195">
        <f>+BDFE!AI75/1000</f>
        <v>0</v>
      </c>
      <c r="Q54" s="195">
        <f>+BDFE!AP75/1000</f>
        <v>0</v>
      </c>
      <c r="R54" s="195">
        <f t="shared" si="13"/>
        <v>0</v>
      </c>
    </row>
    <row r="55" spans="3:18" ht="14" x14ac:dyDescent="0.3">
      <c r="C55" s="191" t="s">
        <v>23</v>
      </c>
      <c r="D55" s="195">
        <f>+BDFE!D76/1000</f>
        <v>0</v>
      </c>
      <c r="E55" s="195">
        <f>+BDFE!K76/1000</f>
        <v>0</v>
      </c>
      <c r="F55" s="195">
        <f>+BDFE!R76/1000</f>
        <v>0</v>
      </c>
      <c r="G55" s="195">
        <f>+BDFE!Y76/1000</f>
        <v>0</v>
      </c>
      <c r="H55" s="195">
        <f>+BDFE!AF76/1000</f>
        <v>0</v>
      </c>
      <c r="I55" s="195">
        <f>+BDFE!AM76/1000</f>
        <v>0</v>
      </c>
      <c r="J55" s="195">
        <f t="shared" si="12"/>
        <v>0</v>
      </c>
      <c r="K55" s="195"/>
      <c r="L55" s="195">
        <f>+BDFE!G76/1000</f>
        <v>0</v>
      </c>
      <c r="M55" s="195">
        <f>+BDFE!N76/1000</f>
        <v>0</v>
      </c>
      <c r="N55" s="195">
        <f>+BDFE!U76/1000</f>
        <v>0</v>
      </c>
      <c r="O55" s="195">
        <f>+BDFE!AB76/1000</f>
        <v>0</v>
      </c>
      <c r="P55" s="195">
        <f>+BDFE!AI76/1000</f>
        <v>0</v>
      </c>
      <c r="Q55" s="195">
        <f>+BDFE!AP76/1000</f>
        <v>0</v>
      </c>
      <c r="R55" s="195">
        <f t="shared" si="13"/>
        <v>0</v>
      </c>
    </row>
    <row r="56" spans="3:18" ht="14" x14ac:dyDescent="0.3">
      <c r="C56" s="190" t="s">
        <v>24</v>
      </c>
      <c r="D56" s="197">
        <f t="shared" ref="D56" si="14">SUM(D34:D55)-D5</f>
        <v>0</v>
      </c>
      <c r="E56" s="197">
        <f t="shared" ref="E56:I56" si="15">SUM(E34:E55)-E5</f>
        <v>-0.40067999999999704</v>
      </c>
      <c r="F56" s="197">
        <f t="shared" si="15"/>
        <v>-21.401789999999998</v>
      </c>
      <c r="G56" s="197">
        <f t="shared" si="15"/>
        <v>0</v>
      </c>
      <c r="H56" s="197">
        <f t="shared" si="15"/>
        <v>0</v>
      </c>
      <c r="I56" s="197">
        <f t="shared" si="15"/>
        <v>-3.3249999999999993</v>
      </c>
      <c r="J56" s="194">
        <f t="shared" si="12"/>
        <v>-25.127469999999995</v>
      </c>
      <c r="K56" s="195"/>
      <c r="L56" s="197">
        <f t="shared" ref="L56:Q56" si="16">SUM(L34:L55)-L5</f>
        <v>6631.4374700000008</v>
      </c>
      <c r="M56" s="197">
        <f t="shared" si="16"/>
        <v>-48.87095999999999</v>
      </c>
      <c r="N56" s="197">
        <f t="shared" si="16"/>
        <v>-94.70244000000001</v>
      </c>
      <c r="O56" s="197">
        <f t="shared" si="16"/>
        <v>-0.98999999999999488</v>
      </c>
      <c r="P56" s="197">
        <f t="shared" si="16"/>
        <v>-5.8082899999999995</v>
      </c>
      <c r="Q56" s="197">
        <f t="shared" si="16"/>
        <v>-21.824750000000009</v>
      </c>
      <c r="R56" s="194">
        <f t="shared" si="13"/>
        <v>6459.241030000001</v>
      </c>
    </row>
    <row r="57" spans="3:18" ht="14" x14ac:dyDescent="0.3">
      <c r="C57" s="191"/>
      <c r="D57" s="206"/>
      <c r="E57" s="206"/>
      <c r="F57" s="206"/>
      <c r="G57" s="206"/>
      <c r="H57" s="206"/>
      <c r="I57" s="206"/>
      <c r="J57" s="207"/>
      <c r="K57" s="199"/>
      <c r="L57" s="206"/>
      <c r="M57" s="206"/>
      <c r="N57" s="206"/>
      <c r="O57" s="206"/>
      <c r="P57" s="206"/>
      <c r="Q57" s="206"/>
      <c r="R57" s="206"/>
    </row>
    <row r="58" spans="3:18" ht="14" x14ac:dyDescent="0.3">
      <c r="C58" s="190" t="s">
        <v>161</v>
      </c>
      <c r="D58" s="208">
        <f t="shared" ref="D58:J58" si="17">D6+D21+D31+D56</f>
        <v>14.085739999999998</v>
      </c>
      <c r="E58" s="208">
        <f t="shared" si="17"/>
        <v>-26.086209999999998</v>
      </c>
      <c r="F58" s="208">
        <f t="shared" si="17"/>
        <v>-138.05051999999998</v>
      </c>
      <c r="G58" s="208">
        <f t="shared" si="17"/>
        <v>20.415540000000007</v>
      </c>
      <c r="H58" s="208">
        <f t="shared" si="17"/>
        <v>-19.722930000000002</v>
      </c>
      <c r="I58" s="208">
        <f t="shared" si="17"/>
        <v>29.84893999999996</v>
      </c>
      <c r="J58" s="197">
        <f t="shared" si="17"/>
        <v>-119.50944000000007</v>
      </c>
      <c r="K58" s="201"/>
      <c r="L58" s="208">
        <f>L6+L21+L31+L56</f>
        <v>-163.52489999999943</v>
      </c>
      <c r="M58" s="208">
        <f t="shared" ref="M58:R58" si="18">M6+M21+M31+M56</f>
        <v>-46.282890000000002</v>
      </c>
      <c r="N58" s="208">
        <f t="shared" si="18"/>
        <v>27.513930000000087</v>
      </c>
      <c r="O58" s="208">
        <f t="shared" si="18"/>
        <v>-0.13385999999997011</v>
      </c>
      <c r="P58" s="208">
        <f>P6+P21+P31+P56</f>
        <v>-54.728459999999998</v>
      </c>
      <c r="Q58" s="208">
        <f t="shared" si="18"/>
        <v>-16.710180000000051</v>
      </c>
      <c r="R58" s="208">
        <f t="shared" si="18"/>
        <v>-253.86635999999908</v>
      </c>
    </row>
    <row r="59" spans="3:18" ht="14" x14ac:dyDescent="0.3">
      <c r="C59" s="111" t="s">
        <v>162</v>
      </c>
      <c r="D59" s="208">
        <f>BDBG!L12/1000</f>
        <v>7.7508699999999999</v>
      </c>
      <c r="E59" s="208">
        <f>+BDBG!Y12/1000</f>
        <v>28.06513</v>
      </c>
      <c r="F59" s="208">
        <f>+BDBG!AL12/1000</f>
        <v>107.91239</v>
      </c>
      <c r="G59" s="208">
        <f>+BDBG!AY12/1000</f>
        <v>4.8167</v>
      </c>
      <c r="H59" s="208">
        <f>+BDBG!BL12/1000</f>
        <v>-21.08812</v>
      </c>
      <c r="I59" s="208">
        <f>+BDBG!BY12/1000</f>
        <v>26.907799999999998</v>
      </c>
      <c r="J59" s="197">
        <f>SUM(D59:I59)</f>
        <v>154.36476999999999</v>
      </c>
      <c r="L59" s="208">
        <f>+BDBG!M12/1000</f>
        <v>185.36151000000001</v>
      </c>
      <c r="M59" s="208">
        <f>+BDBG!Z12/1000</f>
        <v>48.261809999999997</v>
      </c>
      <c r="N59" s="208">
        <f>+BDBG!AM12/1000</f>
        <v>-57.652059999999999</v>
      </c>
      <c r="O59" s="208">
        <f>+BDBG!AZ12/1000</f>
        <v>25.366099999999999</v>
      </c>
      <c r="P59" s="208">
        <f>+BDBG!BM12/1000</f>
        <v>13.91741</v>
      </c>
      <c r="Q59" s="208">
        <f>BDBG!BZ12/1000</f>
        <v>73.466920000000002</v>
      </c>
      <c r="R59" s="208">
        <f>SUM(L59:Q59)</f>
        <v>288.72168999999997</v>
      </c>
    </row>
    <row r="60" spans="3:18" ht="14" x14ac:dyDescent="0.3">
      <c r="C60" s="111" t="s">
        <v>163</v>
      </c>
      <c r="D60" s="208">
        <f t="shared" ref="D60:J60" si="19">D58+D59</f>
        <v>21.836609999999997</v>
      </c>
      <c r="E60" s="208">
        <f t="shared" si="19"/>
        <v>1.9789200000000022</v>
      </c>
      <c r="F60" s="208">
        <f t="shared" si="19"/>
        <v>-30.138129999999975</v>
      </c>
      <c r="G60" s="208">
        <f t="shared" si="19"/>
        <v>25.232240000000008</v>
      </c>
      <c r="H60" s="208">
        <f>H58+H59</f>
        <v>-40.811050000000002</v>
      </c>
      <c r="I60" s="208">
        <f>I58+I59</f>
        <v>56.756739999999958</v>
      </c>
      <c r="J60" s="208">
        <f t="shared" si="19"/>
        <v>34.855329999999924</v>
      </c>
      <c r="L60" s="208">
        <f t="shared" ref="L60:R60" si="20">L58+L59</f>
        <v>21.836610000000576</v>
      </c>
      <c r="M60" s="208">
        <f t="shared" si="20"/>
        <v>1.9789199999999951</v>
      </c>
      <c r="N60" s="208">
        <f t="shared" si="20"/>
        <v>-30.138129999999911</v>
      </c>
      <c r="O60" s="208">
        <f t="shared" si="20"/>
        <v>25.232240000000029</v>
      </c>
      <c r="P60" s="208">
        <f>P58+P59</f>
        <v>-40.811049999999994</v>
      </c>
      <c r="Q60" s="208">
        <f t="shared" si="20"/>
        <v>56.756739999999951</v>
      </c>
      <c r="R60" s="208">
        <f t="shared" si="20"/>
        <v>34.85533000000089</v>
      </c>
    </row>
    <row r="61" spans="3:18" x14ac:dyDescent="0.25">
      <c r="D61" s="209"/>
      <c r="E61" s="210"/>
      <c r="M61" s="211"/>
    </row>
    <row r="62" spans="3:18" ht="13" x14ac:dyDescent="0.3">
      <c r="C62" s="111" t="s">
        <v>29</v>
      </c>
      <c r="D62" s="209">
        <f>BG!D9+BG!D10</f>
        <v>21.83661</v>
      </c>
      <c r="E62" s="212">
        <f>BG!J9+BG!J10</f>
        <v>0.94896999999999998</v>
      </c>
      <c r="F62" s="209">
        <f>BG!P9+BG!P10</f>
        <v>-30.13813</v>
      </c>
      <c r="G62" s="209">
        <f>BG!V9+BG!V10</f>
        <v>25.232240000000001</v>
      </c>
      <c r="H62" s="209">
        <f>BG!AH9+BG!AH10</f>
        <v>-40.811050000000002</v>
      </c>
      <c r="I62" s="209">
        <f>BG!AB9+BG!AB10</f>
        <v>56.756740000000001</v>
      </c>
      <c r="J62" s="209">
        <f>D62+E62+F62+G62+I62+H62</f>
        <v>33.825380000000003</v>
      </c>
      <c r="L62" s="209">
        <f t="shared" ref="L62:Q62" si="21">D62</f>
        <v>21.83661</v>
      </c>
      <c r="M62" s="209">
        <f t="shared" si="21"/>
        <v>0.94896999999999998</v>
      </c>
      <c r="N62" s="209">
        <f t="shared" si="21"/>
        <v>-30.13813</v>
      </c>
      <c r="O62" s="209">
        <f t="shared" si="21"/>
        <v>25.232240000000001</v>
      </c>
      <c r="P62" s="209">
        <f t="shared" si="21"/>
        <v>-40.811050000000002</v>
      </c>
      <c r="Q62" s="209">
        <f t="shared" si="21"/>
        <v>56.756740000000001</v>
      </c>
      <c r="R62" s="209">
        <f>L62+M62+N62+O62+Q62+P62</f>
        <v>33.825380000000003</v>
      </c>
    </row>
    <row r="63" spans="3:18" x14ac:dyDescent="0.25">
      <c r="D63" s="213">
        <f>ROUND(+D60-D62,2)</f>
        <v>0</v>
      </c>
      <c r="E63" s="213">
        <f t="shared" ref="E63:J63" si="22">ROUND(+E60-E62,0)</f>
        <v>1</v>
      </c>
      <c r="F63" s="217">
        <f t="shared" si="22"/>
        <v>0</v>
      </c>
      <c r="G63" s="213">
        <f t="shared" si="22"/>
        <v>0</v>
      </c>
      <c r="H63" s="213">
        <f>ROUND(+H60-H62,0)</f>
        <v>0</v>
      </c>
      <c r="I63" s="217">
        <f>ROUND(+I60-I62,2)</f>
        <v>0</v>
      </c>
      <c r="J63" s="213">
        <f t="shared" si="22"/>
        <v>1</v>
      </c>
      <c r="K63" s="213"/>
      <c r="L63" s="213">
        <f t="shared" ref="L63:O63" si="23">ROUND(+L60-L62,0)</f>
        <v>0</v>
      </c>
      <c r="M63" s="213">
        <f t="shared" si="23"/>
        <v>1</v>
      </c>
      <c r="N63" s="213">
        <f t="shared" si="23"/>
        <v>0</v>
      </c>
      <c r="O63" s="213">
        <f t="shared" si="23"/>
        <v>0</v>
      </c>
      <c r="P63" s="213">
        <f>ROUND(+P60-P62,0)</f>
        <v>0</v>
      </c>
      <c r="Q63" s="217">
        <f>ROUND(+Q60-Q62,0)</f>
        <v>0</v>
      </c>
      <c r="R63" s="213">
        <f>ROUND(+R60-R62,0)</f>
        <v>1</v>
      </c>
    </row>
    <row r="64" spans="3:18" x14ac:dyDescent="0.25">
      <c r="D64" s="214"/>
      <c r="E64" s="215"/>
      <c r="M64" s="215"/>
    </row>
    <row r="65" spans="4:4" x14ac:dyDescent="0.25">
      <c r="D65" s="216"/>
    </row>
  </sheetData>
  <phoneticPr fontId="0" type="noConversion"/>
  <pageMargins left="0.75" right="0.75" top="0.4" bottom="0.28000000000000003" header="0" footer="0"/>
  <pageSetup scale="60" orientation="landscape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C2:S51"/>
  <sheetViews>
    <sheetView topLeftCell="C1" zoomScale="60" zoomScaleNormal="60" workbookViewId="0">
      <pane xSplit="1" topLeftCell="D1" activePane="topRight" state="frozen"/>
      <selection activeCell="C1" sqref="C1"/>
      <selection pane="topRight" activeCell="N4" sqref="N4"/>
    </sheetView>
  </sheetViews>
  <sheetFormatPr baseColWidth="10" defaultColWidth="9.1796875" defaultRowHeight="12.5" x14ac:dyDescent="0.25"/>
  <cols>
    <col min="1" max="2" width="9.1796875" style="1"/>
    <col min="3" max="3" width="35.453125" style="1" customWidth="1"/>
    <col min="4" max="10" width="10.7265625" style="1" customWidth="1"/>
    <col min="11" max="11" width="8.453125" style="1" customWidth="1"/>
    <col min="12" max="12" width="34.1796875" style="1" customWidth="1"/>
    <col min="13" max="19" width="10.7265625" style="1" customWidth="1"/>
    <col min="20" max="16384" width="9.1796875" style="1"/>
  </cols>
  <sheetData>
    <row r="2" spans="3:19" ht="14" x14ac:dyDescent="0.3">
      <c r="C2" s="47" t="s">
        <v>180</v>
      </c>
      <c r="D2" s="47" t="s">
        <v>0</v>
      </c>
      <c r="E2" s="47" t="str">
        <f>+FE!E2</f>
        <v>Junio 2019</v>
      </c>
      <c r="F2" s="46"/>
      <c r="G2" s="46"/>
      <c r="H2" s="46"/>
      <c r="I2" s="46"/>
      <c r="J2" s="46"/>
      <c r="K2" s="46"/>
      <c r="L2" s="46"/>
      <c r="M2" s="47" t="s">
        <v>20</v>
      </c>
      <c r="N2" s="47" t="str">
        <f>+FE!M2</f>
        <v>Junio 2019</v>
      </c>
      <c r="O2" s="46"/>
      <c r="P2" s="46"/>
      <c r="Q2" s="46"/>
      <c r="R2" s="46"/>
      <c r="S2" s="46"/>
    </row>
    <row r="3" spans="3:19" ht="32.25" customHeight="1" x14ac:dyDescent="0.3">
      <c r="C3" s="46"/>
      <c r="D3" s="48" t="s">
        <v>121</v>
      </c>
      <c r="E3" s="48" t="s">
        <v>120</v>
      </c>
      <c r="F3" s="48" t="s">
        <v>119</v>
      </c>
      <c r="G3" s="103" t="s">
        <v>432</v>
      </c>
      <c r="H3" s="103" t="s">
        <v>433</v>
      </c>
      <c r="I3" s="48" t="s">
        <v>434</v>
      </c>
      <c r="J3" s="48" t="s">
        <v>26</v>
      </c>
      <c r="K3" s="48"/>
      <c r="L3" s="48"/>
      <c r="M3" s="48" t="s">
        <v>121</v>
      </c>
      <c r="N3" s="48" t="s">
        <v>120</v>
      </c>
      <c r="O3" s="48" t="s">
        <v>119</v>
      </c>
      <c r="P3" s="103" t="s">
        <v>120</v>
      </c>
      <c r="Q3" s="103" t="s">
        <v>433</v>
      </c>
      <c r="R3" s="48" t="s">
        <v>34</v>
      </c>
      <c r="S3" s="48" t="s">
        <v>26</v>
      </c>
    </row>
    <row r="4" spans="3:19" ht="14" x14ac:dyDescent="0.3">
      <c r="C4" s="47" t="s">
        <v>126</v>
      </c>
      <c r="D4" s="50">
        <f>FE!D6</f>
        <v>-4.67157</v>
      </c>
      <c r="E4" s="50">
        <f>FE!E6</f>
        <v>-1.91438</v>
      </c>
      <c r="F4" s="50">
        <f>FE!F6</f>
        <v>9.7787600000000001</v>
      </c>
      <c r="G4" s="50">
        <f>FE!G6</f>
        <v>-18.82394</v>
      </c>
      <c r="H4" s="50">
        <f>FE!H6</f>
        <v>2.7699100000000008</v>
      </c>
      <c r="I4" s="50">
        <f>FE!I6</f>
        <v>78.795689999999993</v>
      </c>
      <c r="J4" s="50">
        <f>FE!J6</f>
        <v>65.93446999999999</v>
      </c>
      <c r="K4" s="89"/>
      <c r="L4" s="47" t="str">
        <f>C4</f>
        <v xml:space="preserve">Generacion Bruta                        </v>
      </c>
      <c r="M4" s="50">
        <f>FE!L6</f>
        <v>215.90754000000001</v>
      </c>
      <c r="N4" s="50">
        <f>FE!M6</f>
        <v>-7.0960100000000033</v>
      </c>
      <c r="O4" s="50">
        <f>FE!N6</f>
        <v>-53.780479999999997</v>
      </c>
      <c r="P4" s="50">
        <f>FE!O6</f>
        <v>-84.704440000000005</v>
      </c>
      <c r="Q4" s="50">
        <f>FE!P6</f>
        <v>-12.897930000000002</v>
      </c>
      <c r="R4" s="50">
        <f>FE!Q6</f>
        <v>431.08738999999997</v>
      </c>
      <c r="S4" s="50">
        <f>FE!R6</f>
        <v>488.51606999999996</v>
      </c>
    </row>
    <row r="5" spans="3:19" ht="14" x14ac:dyDescent="0.3">
      <c r="C5" s="46"/>
      <c r="D5" s="51"/>
      <c r="E5" s="51"/>
      <c r="F5" s="51"/>
      <c r="G5" s="51"/>
      <c r="H5" s="51"/>
      <c r="I5" s="51"/>
      <c r="J5" s="51"/>
      <c r="K5" s="51"/>
      <c r="L5" s="46"/>
      <c r="M5" s="51"/>
      <c r="N5" s="51"/>
      <c r="O5" s="51"/>
      <c r="P5" s="51"/>
      <c r="Q5" s="51"/>
      <c r="R5" s="51"/>
      <c r="S5" s="51"/>
    </row>
    <row r="6" spans="3:19" ht="14" x14ac:dyDescent="0.3">
      <c r="C6" s="47" t="s">
        <v>27</v>
      </c>
      <c r="D6" s="51"/>
      <c r="E6" s="51"/>
      <c r="F6" s="51"/>
      <c r="G6" s="51"/>
      <c r="H6" s="51"/>
      <c r="I6" s="51"/>
      <c r="J6" s="51"/>
      <c r="K6" s="51"/>
      <c r="L6" s="47" t="str">
        <f t="shared" ref="L6:L14" si="0">C6</f>
        <v>Variaciones C de T.</v>
      </c>
      <c r="M6" s="51"/>
      <c r="N6" s="51"/>
      <c r="O6" s="51"/>
      <c r="P6" s="51"/>
      <c r="Q6" s="51"/>
      <c r="R6" s="51"/>
      <c r="S6" s="51"/>
    </row>
    <row r="7" spans="3:19" ht="14" x14ac:dyDescent="0.3">
      <c r="C7" s="46" t="s">
        <v>128</v>
      </c>
      <c r="D7" s="52">
        <f>FE!D9</f>
        <v>0.46376999999999996</v>
      </c>
      <c r="E7" s="52">
        <f>FE!E9</f>
        <v>-8.4523500000000009</v>
      </c>
      <c r="F7" s="52">
        <f>FE!F9</f>
        <v>-14.01769</v>
      </c>
      <c r="G7" s="52">
        <f>FE!G9</f>
        <v>-3.7615500000000002</v>
      </c>
      <c r="H7" s="52">
        <f>FE!H9</f>
        <v>-21.577249999999999</v>
      </c>
      <c r="I7" s="52">
        <f>FE!I9</f>
        <v>-11.85</v>
      </c>
      <c r="J7" s="52">
        <f>FE!J9</f>
        <v>-59.195070000000001</v>
      </c>
      <c r="K7" s="89"/>
      <c r="L7" s="46" t="str">
        <f t="shared" si="0"/>
        <v xml:space="preserve">Clientes                                </v>
      </c>
      <c r="M7" s="52">
        <f>FE!L9</f>
        <v>159.43492000000001</v>
      </c>
      <c r="N7" s="52">
        <f>FE!M9</f>
        <v>-0.58048</v>
      </c>
      <c r="O7" s="52">
        <f>FE!N9</f>
        <v>-40.388390000000001</v>
      </c>
      <c r="P7" s="52">
        <f>FE!O9</f>
        <v>-28.104869999999998</v>
      </c>
      <c r="Q7" s="52">
        <f>FE!P9</f>
        <v>-67.100409999999997</v>
      </c>
      <c r="R7" s="52">
        <f>FE!Q9</f>
        <v>-19.875810000000001</v>
      </c>
      <c r="S7" s="52">
        <f>FE!R9</f>
        <v>3.3849600000000208</v>
      </c>
    </row>
    <row r="8" spans="3:19" ht="14" x14ac:dyDescent="0.3">
      <c r="C8" s="46" t="s">
        <v>130</v>
      </c>
      <c r="D8" s="49">
        <f>FE!D10+FE!D11</f>
        <v>0</v>
      </c>
      <c r="E8" s="49">
        <f>FE!E10+FE!E11</f>
        <v>0</v>
      </c>
      <c r="F8" s="49">
        <f>FE!F10+FE!F11</f>
        <v>0</v>
      </c>
      <c r="G8" s="49">
        <f>FE!G10+FE!G11</f>
        <v>-4.6950600000000007</v>
      </c>
      <c r="H8" s="49">
        <f>FE!H10+FE!H11</f>
        <v>-4.9061499999999993</v>
      </c>
      <c r="I8" s="49">
        <f>FE!I10+FE!I11</f>
        <v>204</v>
      </c>
      <c r="J8" s="49">
        <f>FE!J10+FE!J11</f>
        <v>194.39878999999999</v>
      </c>
      <c r="K8" s="89"/>
      <c r="L8" s="46" t="str">
        <f t="shared" si="0"/>
        <v xml:space="preserve">Deudores Diversos                       </v>
      </c>
      <c r="M8" s="49">
        <f>FE!L10+FE!L11</f>
        <v>2.7874899999999996</v>
      </c>
      <c r="N8" s="49">
        <f>FE!M10+FE!M11</f>
        <v>0</v>
      </c>
      <c r="O8" s="49">
        <f>FE!N10+FE!N11</f>
        <v>-0.54425999999999997</v>
      </c>
      <c r="P8" s="49">
        <f>FE!O10+FE!O11</f>
        <v>-4.6950600000000007</v>
      </c>
      <c r="Q8" s="49">
        <f>FE!P10+FE!P11</f>
        <v>-9.9061500000000002</v>
      </c>
      <c r="R8" s="49">
        <f>FE!Q10+FE!Q11</f>
        <v>-36</v>
      </c>
      <c r="S8" s="49">
        <f>FE!R10+FE!R11</f>
        <v>-48.357980000000005</v>
      </c>
    </row>
    <row r="9" spans="3:19" ht="14" x14ac:dyDescent="0.3">
      <c r="C9" s="46" t="s">
        <v>131</v>
      </c>
      <c r="D9" s="49">
        <f>FE!D12</f>
        <v>0</v>
      </c>
      <c r="E9" s="49">
        <f>FE!E12</f>
        <v>5.5292700000000004</v>
      </c>
      <c r="F9" s="49">
        <f>FE!F12</f>
        <v>9.6053300000000004</v>
      </c>
      <c r="G9" s="49">
        <f>FE!G12</f>
        <v>7.6224499999999997</v>
      </c>
      <c r="H9" s="49">
        <f>FE!H12</f>
        <v>9.0876900000000003</v>
      </c>
      <c r="I9" s="49">
        <f>FE!I12</f>
        <v>0</v>
      </c>
      <c r="J9" s="49">
        <f>FE!J12</f>
        <v>31.844740000000002</v>
      </c>
      <c r="K9" s="89"/>
      <c r="L9" s="46" t="str">
        <f t="shared" si="0"/>
        <v xml:space="preserve">Inventarios                             </v>
      </c>
      <c r="M9" s="49">
        <f>FE!L12</f>
        <v>189.78744</v>
      </c>
      <c r="N9" s="49">
        <f>FE!M12</f>
        <v>4.2459399999999992</v>
      </c>
      <c r="O9" s="49">
        <f>FE!N12</f>
        <v>-4.46882</v>
      </c>
      <c r="P9" s="49">
        <f>FE!O12</f>
        <v>2.2404299999999999</v>
      </c>
      <c r="Q9" s="49">
        <f>FE!P12</f>
        <v>-7.8196599999999998</v>
      </c>
      <c r="R9" s="49">
        <f>FE!Q12</f>
        <v>0</v>
      </c>
      <c r="S9" s="49">
        <f>FE!R12</f>
        <v>183.98533</v>
      </c>
    </row>
    <row r="10" spans="3:19" ht="14" x14ac:dyDescent="0.3">
      <c r="C10" s="46" t="s">
        <v>132</v>
      </c>
      <c r="D10" s="49">
        <f>FE!D13+FE!D14</f>
        <v>0</v>
      </c>
      <c r="E10" s="49">
        <f>FE!E13+FE!E14</f>
        <v>-1.4053199999999999</v>
      </c>
      <c r="F10" s="49">
        <f>FE!F13+FE!F14</f>
        <v>-0.98263999999999996</v>
      </c>
      <c r="G10" s="49">
        <f>FE!G13+FE!G14</f>
        <v>-1.7025899999999998</v>
      </c>
      <c r="H10" s="49">
        <f>FE!H13+FE!H14</f>
        <v>-0.95760999999999996</v>
      </c>
      <c r="I10" s="49">
        <f>FE!I13+FE!I14</f>
        <v>6.1520000000000001</v>
      </c>
      <c r="J10" s="49">
        <f>FE!J13+FE!J14</f>
        <v>1.1038400000000008</v>
      </c>
      <c r="K10" s="89"/>
      <c r="L10" s="46" t="str">
        <f t="shared" si="0"/>
        <v xml:space="preserve">Pagos Anticipados                       </v>
      </c>
      <c r="M10" s="49">
        <f>FE!L13+FE!L14</f>
        <v>-741.95730000000003</v>
      </c>
      <c r="N10" s="49">
        <f>FE!M13+FE!M14</f>
        <v>-16.07582</v>
      </c>
      <c r="O10" s="49">
        <f>FE!N13+FE!N14</f>
        <v>-5.8182399999999994</v>
      </c>
      <c r="P10" s="49">
        <f>FE!O13+FE!O14</f>
        <v>-12.401629999999999</v>
      </c>
      <c r="Q10" s="49">
        <f>FE!P13+FE!P14</f>
        <v>8.1663199999999989</v>
      </c>
      <c r="R10" s="49">
        <f>FE!Q13+FE!Q14</f>
        <v>0</v>
      </c>
      <c r="S10" s="49">
        <f>FE!R13+FE!R14</f>
        <v>-768.08666999999991</v>
      </c>
    </row>
    <row r="11" spans="3:19" ht="14" x14ac:dyDescent="0.3">
      <c r="C11" s="46" t="s">
        <v>133</v>
      </c>
      <c r="D11" s="49">
        <f>FE!D15</f>
        <v>-5.6166</v>
      </c>
      <c r="E11" s="49">
        <f>FE!E15</f>
        <v>-1.6617200000000001</v>
      </c>
      <c r="F11" s="49">
        <f>FE!F15</f>
        <v>-33.972519999999996</v>
      </c>
      <c r="G11" s="49">
        <f>FE!G15</f>
        <v>8.6432400000000005</v>
      </c>
      <c r="H11" s="49">
        <f>FE!H15</f>
        <v>-1.0558099999999999</v>
      </c>
      <c r="I11" s="49">
        <f>FE!I15</f>
        <v>0</v>
      </c>
      <c r="J11" s="49">
        <f>FE!J15</f>
        <v>-33.663409999999999</v>
      </c>
      <c r="K11" s="89"/>
      <c r="L11" s="46" t="str">
        <f t="shared" si="0"/>
        <v xml:space="preserve">Proveedores                             </v>
      </c>
      <c r="M11" s="49">
        <f>FE!L15</f>
        <v>-318.86968000000002</v>
      </c>
      <c r="N11" s="49">
        <f>FE!M15</f>
        <v>-35.852910000000001</v>
      </c>
      <c r="O11" s="49">
        <f>FE!N15</f>
        <v>-30.881740000000001</v>
      </c>
      <c r="P11" s="49">
        <f>FE!O15</f>
        <v>0.49668000000000001</v>
      </c>
      <c r="Q11" s="49">
        <f>FE!P15</f>
        <v>-9.4367099999999997</v>
      </c>
      <c r="R11" s="49">
        <f>FE!Q15</f>
        <v>11.29054</v>
      </c>
      <c r="S11" s="49">
        <f>FE!R15</f>
        <v>-383.25381999999996</v>
      </c>
    </row>
    <row r="12" spans="3:19" ht="14" x14ac:dyDescent="0.3">
      <c r="C12" s="46" t="s">
        <v>135</v>
      </c>
      <c r="D12" s="49">
        <f>FE!D16+FE!D17</f>
        <v>37.169069999999998</v>
      </c>
      <c r="E12" s="49">
        <f>FE!E16+FE!E17</f>
        <v>0.60027999999999992</v>
      </c>
      <c r="F12" s="49">
        <f>FE!F16+FE!F17</f>
        <v>152.87095000000002</v>
      </c>
      <c r="G12" s="49">
        <f>FE!G16+FE!G17</f>
        <v>57.675560000000004</v>
      </c>
      <c r="H12" s="49">
        <f>FE!H16+FE!H17</f>
        <v>29.30292</v>
      </c>
      <c r="I12" s="49">
        <f>FE!I16+FE!I17</f>
        <v>15.72972</v>
      </c>
      <c r="J12" s="49">
        <f>FE!J16+FE!J17</f>
        <v>293.3485</v>
      </c>
      <c r="K12" s="89"/>
      <c r="L12" s="46" t="str">
        <f t="shared" si="0"/>
        <v xml:space="preserve">Acreedores diversos                     </v>
      </c>
      <c r="M12" s="49">
        <f>FE!L16+FE!L17</f>
        <v>-50.887129999999999</v>
      </c>
      <c r="N12" s="49">
        <f>FE!M16+FE!M17</f>
        <v>240.08529999999999</v>
      </c>
      <c r="O12" s="49">
        <f>FE!N16+FE!N17</f>
        <v>1098.7613200000001</v>
      </c>
      <c r="P12" s="49">
        <f>FE!O16+FE!O17</f>
        <v>152.13600000000002</v>
      </c>
      <c r="Q12" s="49">
        <f>FE!P16+FE!P17</f>
        <v>57.769210000000001</v>
      </c>
      <c r="R12" s="49">
        <f>FE!Q16+FE!Q17</f>
        <v>43.72972</v>
      </c>
      <c r="S12" s="49">
        <f>FE!R16+FE!R17</f>
        <v>1541.5944200000001</v>
      </c>
    </row>
    <row r="13" spans="3:19" ht="14" x14ac:dyDescent="0.3">
      <c r="C13" s="46" t="s">
        <v>136</v>
      </c>
      <c r="D13" s="49">
        <f>FE!D18+FE!D19+FE!D20</f>
        <v>-13.258929999999999</v>
      </c>
      <c r="E13" s="49">
        <f>FE!E18+FE!E19+FE!E20</f>
        <v>-18.381309999999999</v>
      </c>
      <c r="F13" s="49">
        <f>FE!F18+FE!F19+FE!F20</f>
        <v>-57.024899999999988</v>
      </c>
      <c r="G13" s="49">
        <f>FE!G18+FE!G19+FE!G20</f>
        <v>-24.542570000000001</v>
      </c>
      <c r="H13" s="49">
        <f>FE!H18+FE!H19+FE!H20</f>
        <v>-32.386629999999997</v>
      </c>
      <c r="I13" s="49">
        <f>FE!I18+FE!I19+FE!I20</f>
        <v>0</v>
      </c>
      <c r="J13" s="49">
        <f>FE!J18+FE!J19+FE!J20</f>
        <v>-145.59433999999999</v>
      </c>
      <c r="K13" s="89"/>
      <c r="L13" s="46" t="str">
        <f t="shared" si="0"/>
        <v xml:space="preserve">Gts. Ac. por pagar                      </v>
      </c>
      <c r="M13" s="49">
        <f>FE!L18+FE!L19+FE!L20</f>
        <v>-428.71412000000004</v>
      </c>
      <c r="N13" s="49">
        <f>FE!M18+FE!M19+FE!M20</f>
        <v>-11.771710000000002</v>
      </c>
      <c r="O13" s="49">
        <f>FE!N18+FE!N19+FE!N20</f>
        <v>-21.486080000000001</v>
      </c>
      <c r="P13" s="49">
        <f>FE!O18+FE!O19+FE!O20</f>
        <v>-24.110969999999998</v>
      </c>
      <c r="Q13" s="49">
        <f>FE!P18+FE!P19+FE!P20</f>
        <v>-7.6948399999999992</v>
      </c>
      <c r="R13" s="49">
        <f>FE!Q18+FE!Q19+FE!Q20</f>
        <v>0</v>
      </c>
      <c r="S13" s="49">
        <f>FE!R18+FE!R19+FE!R20</f>
        <v>-493.77771999999999</v>
      </c>
    </row>
    <row r="14" spans="3:19" ht="14" x14ac:dyDescent="0.3">
      <c r="C14" s="47" t="s">
        <v>27</v>
      </c>
      <c r="D14" s="50">
        <f t="shared" ref="D14:J14" si="1">SUM(D7:D13)</f>
        <v>18.757309999999997</v>
      </c>
      <c r="E14" s="50">
        <f t="shared" si="1"/>
        <v>-23.771149999999999</v>
      </c>
      <c r="F14" s="50">
        <f t="shared" si="1"/>
        <v>56.478530000000035</v>
      </c>
      <c r="G14" s="50">
        <f t="shared" si="1"/>
        <v>39.23948</v>
      </c>
      <c r="H14" s="50">
        <f>SUM(H7:H13)</f>
        <v>-22.492839999999998</v>
      </c>
      <c r="I14" s="50">
        <f t="shared" si="1"/>
        <v>214.03172000000001</v>
      </c>
      <c r="J14" s="50">
        <f t="shared" si="1"/>
        <v>282.24304999999998</v>
      </c>
      <c r="K14" s="90"/>
      <c r="L14" s="47" t="str">
        <f t="shared" si="0"/>
        <v>Variaciones C de T.</v>
      </c>
      <c r="M14" s="50">
        <f t="shared" ref="M14:S14" si="2">SUM(M7:M13)</f>
        <v>-1188.4183800000001</v>
      </c>
      <c r="N14" s="50">
        <f t="shared" si="2"/>
        <v>180.05031999999997</v>
      </c>
      <c r="O14" s="50">
        <f t="shared" si="2"/>
        <v>995.17379000000005</v>
      </c>
      <c r="P14" s="50">
        <f t="shared" si="2"/>
        <v>85.56058000000003</v>
      </c>
      <c r="Q14" s="50">
        <f>SUM(Q7:Q13)</f>
        <v>-36.022239999999996</v>
      </c>
      <c r="R14" s="50">
        <f t="shared" si="2"/>
        <v>-0.85555000000000092</v>
      </c>
      <c r="S14" s="50">
        <f t="shared" si="2"/>
        <v>35.488520000000392</v>
      </c>
    </row>
    <row r="15" spans="3:19" ht="14" x14ac:dyDescent="0.3">
      <c r="C15" s="46"/>
      <c r="D15" s="53"/>
      <c r="E15" s="53"/>
      <c r="F15" s="53"/>
      <c r="G15" s="53"/>
      <c r="H15" s="53"/>
      <c r="I15" s="53"/>
      <c r="J15" s="53"/>
      <c r="K15" s="53"/>
      <c r="L15" s="46"/>
      <c r="M15" s="53"/>
      <c r="N15" s="53"/>
      <c r="O15" s="53"/>
      <c r="P15" s="53"/>
      <c r="Q15" s="53"/>
      <c r="R15" s="53"/>
      <c r="S15" s="53"/>
    </row>
    <row r="16" spans="3:19" ht="14" x14ac:dyDescent="0.3">
      <c r="C16" s="47" t="s">
        <v>139</v>
      </c>
      <c r="D16" s="51"/>
      <c r="E16" s="51"/>
      <c r="F16" s="51"/>
      <c r="G16" s="51"/>
      <c r="H16" s="51"/>
      <c r="I16" s="51"/>
      <c r="J16" s="51"/>
      <c r="K16" s="51"/>
      <c r="L16" s="47" t="str">
        <f t="shared" ref="L16:L23" si="3">C16</f>
        <v xml:space="preserve">Partidas no Operativas                  </v>
      </c>
      <c r="M16" s="51"/>
      <c r="N16" s="51"/>
      <c r="O16" s="51"/>
      <c r="P16" s="51"/>
      <c r="Q16" s="51"/>
      <c r="R16" s="51"/>
      <c r="S16" s="51"/>
    </row>
    <row r="17" spans="3:19" ht="14" x14ac:dyDescent="0.3">
      <c r="C17" s="46" t="s">
        <v>140</v>
      </c>
      <c r="D17" s="52">
        <f>FE!D24</f>
        <v>0</v>
      </c>
      <c r="E17" s="52">
        <f>FE!E24</f>
        <v>0</v>
      </c>
      <c r="F17" s="52">
        <f>FE!F24</f>
        <v>-12.276069999999999</v>
      </c>
      <c r="G17" s="52">
        <f>FE!G24</f>
        <v>0</v>
      </c>
      <c r="H17" s="52">
        <f>FE!H24</f>
        <v>0</v>
      </c>
      <c r="I17" s="52">
        <f>FE!I24</f>
        <v>-259.65347000000003</v>
      </c>
      <c r="J17" s="52">
        <f>FE!J24</f>
        <v>-271.92954000000003</v>
      </c>
      <c r="K17" s="89"/>
      <c r="L17" s="46" t="str">
        <f t="shared" si="3"/>
        <v xml:space="preserve">Documentos x pagar a LP                 </v>
      </c>
      <c r="M17" s="52">
        <f>FE!L24</f>
        <v>-5822.4515300000003</v>
      </c>
      <c r="N17" s="52">
        <f>FE!M24</f>
        <v>-170.36624</v>
      </c>
      <c r="O17" s="52">
        <f>FE!N24</f>
        <v>-387.43453999999997</v>
      </c>
      <c r="P17" s="52">
        <f>FE!O24</f>
        <v>0</v>
      </c>
      <c r="Q17" s="52">
        <f>FE!P24</f>
        <v>0</v>
      </c>
      <c r="R17" s="52">
        <f>FE!Q24</f>
        <v>-395.09996000000001</v>
      </c>
      <c r="S17" s="52">
        <f>FE!R24</f>
        <v>-6775.3522700000012</v>
      </c>
    </row>
    <row r="18" spans="3:19" ht="14" x14ac:dyDescent="0.3">
      <c r="C18" s="46" t="s">
        <v>141</v>
      </c>
      <c r="D18" s="49">
        <f>FE!D25</f>
        <v>0</v>
      </c>
      <c r="E18" s="49">
        <f>FE!E25</f>
        <v>0</v>
      </c>
      <c r="F18" s="49">
        <f>FE!F25</f>
        <v>-170.62995000000001</v>
      </c>
      <c r="G18" s="49">
        <f>FE!G25</f>
        <v>0</v>
      </c>
      <c r="H18" s="49">
        <f>FE!H25</f>
        <v>0</v>
      </c>
      <c r="I18" s="49">
        <f>FE!I25</f>
        <v>0</v>
      </c>
      <c r="J18" s="49">
        <f>FE!J25</f>
        <v>-170.62995000000001</v>
      </c>
      <c r="K18" s="89"/>
      <c r="L18" s="46" t="str">
        <f t="shared" si="3"/>
        <v xml:space="preserve">Otros Pasivos LP                        </v>
      </c>
      <c r="M18" s="49">
        <f>FE!L25</f>
        <v>0</v>
      </c>
      <c r="N18" s="49">
        <f>FE!M25</f>
        <v>0</v>
      </c>
      <c r="O18" s="49">
        <f>FE!N25</f>
        <v>-431.74240000000003</v>
      </c>
      <c r="P18" s="49">
        <f>FE!O25</f>
        <v>0</v>
      </c>
      <c r="Q18" s="49">
        <f>FE!P25</f>
        <v>0</v>
      </c>
      <c r="R18" s="49">
        <f>FE!Q25</f>
        <v>0</v>
      </c>
      <c r="S18" s="49">
        <f>FE!R25</f>
        <v>-431.74240000000003</v>
      </c>
    </row>
    <row r="19" spans="3:19" ht="14" x14ac:dyDescent="0.3">
      <c r="C19" s="46" t="s">
        <v>142</v>
      </c>
      <c r="D19" s="49">
        <f>FE!D26</f>
        <v>0</v>
      </c>
      <c r="E19" s="49">
        <f>FE!E26</f>
        <v>0</v>
      </c>
      <c r="F19" s="49">
        <f>FE!F26</f>
        <v>0</v>
      </c>
      <c r="G19" s="49">
        <f>FE!G26</f>
        <v>0</v>
      </c>
      <c r="H19" s="49">
        <f>FE!H26</f>
        <v>0</v>
      </c>
      <c r="I19" s="49">
        <f>FE!I26</f>
        <v>0</v>
      </c>
      <c r="J19" s="49">
        <f>FE!J26</f>
        <v>0</v>
      </c>
      <c r="K19" s="89"/>
      <c r="L19" s="46" t="str">
        <f t="shared" si="3"/>
        <v xml:space="preserve">Capital Social                          </v>
      </c>
      <c r="M19" s="49">
        <f>FE!L26</f>
        <v>0</v>
      </c>
      <c r="N19" s="49">
        <f>FE!M26</f>
        <v>0</v>
      </c>
      <c r="O19" s="49">
        <f>FE!N26</f>
        <v>0</v>
      </c>
      <c r="P19" s="49">
        <f>FE!O26</f>
        <v>0</v>
      </c>
      <c r="Q19" s="49">
        <f>FE!P26</f>
        <v>0</v>
      </c>
      <c r="R19" s="49">
        <f>FE!Q26</f>
        <v>-30.017310000000002</v>
      </c>
      <c r="S19" s="49">
        <f>FE!R26</f>
        <v>-30.017310000000002</v>
      </c>
    </row>
    <row r="20" spans="3:19" ht="14" hidden="1" x14ac:dyDescent="0.3">
      <c r="C20" s="46" t="s">
        <v>143</v>
      </c>
      <c r="D20" s="49">
        <f>FE!D27</f>
        <v>0</v>
      </c>
      <c r="E20" s="49">
        <f>FE!E27</f>
        <v>0</v>
      </c>
      <c r="F20" s="49">
        <f>FE!F27</f>
        <v>0</v>
      </c>
      <c r="G20" s="49">
        <f>FE!G27</f>
        <v>0</v>
      </c>
      <c r="H20" s="49">
        <f>FE!H27</f>
        <v>0</v>
      </c>
      <c r="I20" s="49">
        <f>FE!I27</f>
        <v>0</v>
      </c>
      <c r="J20" s="49">
        <f>FE!J27</f>
        <v>0</v>
      </c>
      <c r="K20" s="89"/>
      <c r="L20" s="46" t="str">
        <f t="shared" si="3"/>
        <v xml:space="preserve">Aport. Para Fut Aum Capital             </v>
      </c>
      <c r="M20" s="49">
        <f>FE!L27</f>
        <v>0</v>
      </c>
      <c r="N20" s="49">
        <f>FE!M27</f>
        <v>0</v>
      </c>
      <c r="O20" s="49">
        <f>FE!N27</f>
        <v>0</v>
      </c>
      <c r="P20" s="49">
        <f>FE!O27</f>
        <v>0</v>
      </c>
      <c r="Q20" s="49">
        <f>FE!P27</f>
        <v>0</v>
      </c>
      <c r="R20" s="49">
        <f>FE!Q27</f>
        <v>0</v>
      </c>
      <c r="S20" s="49">
        <f>FE!R27</f>
        <v>0</v>
      </c>
    </row>
    <row r="21" spans="3:19" ht="14" hidden="1" x14ac:dyDescent="0.3">
      <c r="C21" s="46" t="s">
        <v>179</v>
      </c>
      <c r="D21" s="49">
        <f>FE!D28+FE!D29</f>
        <v>0</v>
      </c>
      <c r="E21" s="49">
        <f>FE!E28+FE!E29</f>
        <v>0</v>
      </c>
      <c r="F21" s="49">
        <f>FE!F28+FE!F29</f>
        <v>0</v>
      </c>
      <c r="G21" s="49">
        <f>FE!G28+FE!G29</f>
        <v>0</v>
      </c>
      <c r="H21" s="49">
        <f>FE!H28+FE!H29</f>
        <v>0</v>
      </c>
      <c r="I21" s="49">
        <f>FE!I28+FE!I29</f>
        <v>0</v>
      </c>
      <c r="J21" s="49">
        <f>FE!J28+FE!J29</f>
        <v>0</v>
      </c>
      <c r="K21" s="89"/>
      <c r="L21" s="46" t="str">
        <f t="shared" si="3"/>
        <v>Reservas</v>
      </c>
      <c r="M21" s="49">
        <f>FE!L28+FE!L29</f>
        <v>0</v>
      </c>
      <c r="N21" s="49">
        <f>FE!M28+FE!M29</f>
        <v>0</v>
      </c>
      <c r="O21" s="49">
        <f>FE!N28+FE!N29</f>
        <v>0</v>
      </c>
      <c r="P21" s="49">
        <f>FE!O28+FE!O29</f>
        <v>0</v>
      </c>
      <c r="Q21" s="49">
        <f>FE!P28+FE!P29</f>
        <v>0</v>
      </c>
      <c r="R21" s="49">
        <f>FE!Q28+FE!Q29</f>
        <v>0</v>
      </c>
      <c r="S21" s="49">
        <f>FE!R28+FE!R29</f>
        <v>0</v>
      </c>
    </row>
    <row r="22" spans="3:19" ht="14" x14ac:dyDescent="0.3">
      <c r="C22" s="46" t="s">
        <v>146</v>
      </c>
      <c r="D22" s="49">
        <f>FE!D30</f>
        <v>0</v>
      </c>
      <c r="E22" s="54">
        <f>FE!E30</f>
        <v>0</v>
      </c>
      <c r="F22" s="49">
        <f>FE!F30</f>
        <v>0</v>
      </c>
      <c r="G22" s="49">
        <f>FE!G30</f>
        <v>0</v>
      </c>
      <c r="H22" s="49">
        <f>FE!H30</f>
        <v>0</v>
      </c>
      <c r="I22" s="49">
        <f>FE!I30</f>
        <v>0</v>
      </c>
      <c r="J22" s="54">
        <f>FE!J30</f>
        <v>0</v>
      </c>
      <c r="K22" s="89"/>
      <c r="L22" s="46" t="str">
        <f t="shared" si="3"/>
        <v xml:space="preserve">Res. Ej. Anteriores                     </v>
      </c>
      <c r="M22" s="49">
        <f>FE!L30</f>
        <v>0</v>
      </c>
      <c r="N22" s="49">
        <f>FE!M30</f>
        <v>0</v>
      </c>
      <c r="O22" s="49">
        <f>FE!N30</f>
        <v>0</v>
      </c>
      <c r="P22" s="49">
        <f>FE!O30</f>
        <v>0</v>
      </c>
      <c r="Q22" s="49">
        <f>FE!P30</f>
        <v>0</v>
      </c>
      <c r="R22" s="49">
        <f>FE!Q30</f>
        <v>0</v>
      </c>
      <c r="S22" s="49">
        <f>FE!R30</f>
        <v>0</v>
      </c>
    </row>
    <row r="23" spans="3:19" ht="14" x14ac:dyDescent="0.3">
      <c r="C23" s="47" t="s">
        <v>147</v>
      </c>
      <c r="D23" s="50">
        <f t="shared" ref="D23:J23" si="4">SUM(D17:D22)</f>
        <v>0</v>
      </c>
      <c r="E23" s="50">
        <f t="shared" si="4"/>
        <v>0</v>
      </c>
      <c r="F23" s="50">
        <f t="shared" si="4"/>
        <v>-182.90602000000001</v>
      </c>
      <c r="G23" s="50">
        <f t="shared" si="4"/>
        <v>0</v>
      </c>
      <c r="H23" s="50">
        <f>SUM(H17:H22)</f>
        <v>0</v>
      </c>
      <c r="I23" s="50">
        <f t="shared" si="4"/>
        <v>-259.65347000000003</v>
      </c>
      <c r="J23" s="50">
        <f t="shared" si="4"/>
        <v>-442.55949000000004</v>
      </c>
      <c r="K23" s="89"/>
      <c r="L23" s="47" t="str">
        <f t="shared" si="3"/>
        <v xml:space="preserve">Total Partidas no Operativas            </v>
      </c>
      <c r="M23" s="50">
        <f t="shared" ref="M23:S23" si="5">SUM(M17:M22)</f>
        <v>-5822.4515300000003</v>
      </c>
      <c r="N23" s="50">
        <f t="shared" si="5"/>
        <v>-170.36624</v>
      </c>
      <c r="O23" s="50">
        <f t="shared" si="5"/>
        <v>-819.17694000000006</v>
      </c>
      <c r="P23" s="50">
        <f t="shared" si="5"/>
        <v>0</v>
      </c>
      <c r="Q23" s="50">
        <f>SUM(Q17:Q22)</f>
        <v>0</v>
      </c>
      <c r="R23" s="50">
        <f t="shared" si="5"/>
        <v>-425.11727000000002</v>
      </c>
      <c r="S23" s="50">
        <f t="shared" si="5"/>
        <v>-7237.1119800000015</v>
      </c>
    </row>
    <row r="24" spans="3:19" ht="14" x14ac:dyDescent="0.3">
      <c r="C24" s="47"/>
      <c r="D24" s="55"/>
      <c r="E24" s="55"/>
      <c r="F24" s="55"/>
      <c r="G24" s="55"/>
      <c r="H24" s="55"/>
      <c r="I24" s="55"/>
      <c r="J24" s="53"/>
      <c r="K24" s="51"/>
      <c r="L24" s="47"/>
      <c r="M24" s="55"/>
      <c r="N24" s="55"/>
      <c r="O24" s="55"/>
      <c r="P24" s="55"/>
      <c r="Q24" s="55"/>
      <c r="R24" s="55"/>
      <c r="S24" s="55"/>
    </row>
    <row r="25" spans="3:19" ht="14" x14ac:dyDescent="0.3">
      <c r="C25" s="47" t="s">
        <v>148</v>
      </c>
      <c r="D25" s="51"/>
      <c r="E25" s="51"/>
      <c r="F25" s="51"/>
      <c r="G25" s="51"/>
      <c r="H25" s="51"/>
      <c r="I25" s="51"/>
      <c r="J25" s="51"/>
      <c r="K25" s="51"/>
      <c r="L25" s="47" t="str">
        <f t="shared" ref="L25:L39" si="6">C25</f>
        <v xml:space="preserve">Inversiones                             </v>
      </c>
      <c r="M25" s="56"/>
      <c r="N25" s="56"/>
      <c r="O25" s="56"/>
      <c r="P25" s="56"/>
      <c r="Q25" s="56"/>
      <c r="R25" s="56"/>
      <c r="S25" s="56"/>
    </row>
    <row r="26" spans="3:19" ht="14" x14ac:dyDescent="0.3">
      <c r="C26" s="46" t="s">
        <v>149</v>
      </c>
      <c r="D26" s="52">
        <f>FE!D34</f>
        <v>0</v>
      </c>
      <c r="E26" s="52">
        <f>FE!E34</f>
        <v>0</v>
      </c>
      <c r="F26" s="52">
        <f>FE!F34</f>
        <v>0</v>
      </c>
      <c r="G26" s="52">
        <f>FE!G34</f>
        <v>0</v>
      </c>
      <c r="H26" s="52">
        <f>FE!H34</f>
        <v>0</v>
      </c>
      <c r="I26" s="52">
        <f>FE!I34</f>
        <v>-3.3250000000000002</v>
      </c>
      <c r="J26" s="52">
        <f>FE!J34</f>
        <v>-3.3250000000000002</v>
      </c>
      <c r="K26" s="89"/>
      <c r="L26" s="46" t="str">
        <f t="shared" si="6"/>
        <v xml:space="preserve">Edificios                               </v>
      </c>
      <c r="M26" s="49">
        <f>FE!L34</f>
        <v>0</v>
      </c>
      <c r="N26" s="49">
        <f>FE!M34</f>
        <v>0</v>
      </c>
      <c r="O26" s="49">
        <f>FE!N34</f>
        <v>0</v>
      </c>
      <c r="P26" s="49">
        <f>FE!O34</f>
        <v>0</v>
      </c>
      <c r="Q26" s="49">
        <f>FE!P34</f>
        <v>0</v>
      </c>
      <c r="R26" s="49">
        <f>FE!Q34</f>
        <v>-21.824750000000002</v>
      </c>
      <c r="S26" s="49">
        <f>FE!R34</f>
        <v>-21.824750000000002</v>
      </c>
    </row>
    <row r="27" spans="3:19" ht="14" x14ac:dyDescent="0.3">
      <c r="C27" s="46" t="s">
        <v>151</v>
      </c>
      <c r="D27" s="49">
        <f>FE!D36</f>
        <v>0</v>
      </c>
      <c r="E27" s="49">
        <f>FE!E36</f>
        <v>0</v>
      </c>
      <c r="F27" s="49">
        <f>FE!F36</f>
        <v>-1.2821</v>
      </c>
      <c r="G27" s="49">
        <f>FE!G36</f>
        <v>0</v>
      </c>
      <c r="H27" s="49">
        <f>FE!H36</f>
        <v>0</v>
      </c>
      <c r="I27" s="49">
        <f>FE!I36</f>
        <v>0</v>
      </c>
      <c r="J27" s="49">
        <f>FE!J36</f>
        <v>-1.2821</v>
      </c>
      <c r="K27" s="89"/>
      <c r="L27" s="46" t="str">
        <f t="shared" si="6"/>
        <v xml:space="preserve">Maquinaria y Equipo                     </v>
      </c>
      <c r="M27" s="49">
        <f>FE!L36</f>
        <v>-2.1946099999999999</v>
      </c>
      <c r="N27" s="49">
        <f>FE!M36</f>
        <v>0</v>
      </c>
      <c r="O27" s="49">
        <f>FE!N36</f>
        <v>-9.8764000000000003</v>
      </c>
      <c r="P27" s="49">
        <f>FE!O36</f>
        <v>0</v>
      </c>
      <c r="Q27" s="49">
        <f>FE!P36</f>
        <v>-5.8082900000000004</v>
      </c>
      <c r="R27" s="49">
        <f>FE!Q36</f>
        <v>0</v>
      </c>
      <c r="S27" s="49">
        <f>FE!R36</f>
        <v>-17.879300000000001</v>
      </c>
    </row>
    <row r="28" spans="3:19" ht="14" x14ac:dyDescent="0.3">
      <c r="C28" s="46" t="s">
        <v>153</v>
      </c>
      <c r="D28" s="49">
        <f>FE!D38</f>
        <v>0</v>
      </c>
      <c r="E28" s="49">
        <f>FE!E38</f>
        <v>0</v>
      </c>
      <c r="F28" s="49">
        <f>FE!F38</f>
        <v>0</v>
      </c>
      <c r="G28" s="49">
        <f>FE!G38</f>
        <v>0</v>
      </c>
      <c r="H28" s="49">
        <f>FE!H38</f>
        <v>0</v>
      </c>
      <c r="I28" s="49">
        <f>FE!I38</f>
        <v>0</v>
      </c>
      <c r="J28" s="49">
        <f>FE!J38</f>
        <v>0</v>
      </c>
      <c r="K28" s="89"/>
      <c r="L28" s="46" t="str">
        <f t="shared" si="6"/>
        <v xml:space="preserve">Equipo de Transporte                    </v>
      </c>
      <c r="M28" s="49">
        <f>FE!L38</f>
        <v>0</v>
      </c>
      <c r="N28" s="49">
        <f>FE!M38</f>
        <v>0</v>
      </c>
      <c r="O28" s="49">
        <f>FE!N38</f>
        <v>0</v>
      </c>
      <c r="P28" s="49">
        <f>FE!O38</f>
        <v>-0.99</v>
      </c>
      <c r="Q28" s="49">
        <f>FE!P38</f>
        <v>0</v>
      </c>
      <c r="R28" s="49">
        <f>FE!Q38</f>
        <v>0</v>
      </c>
      <c r="S28" s="49">
        <f>FE!R38</f>
        <v>-0.99</v>
      </c>
    </row>
    <row r="29" spans="3:19" ht="14" hidden="1" x14ac:dyDescent="0.3">
      <c r="C29" s="46" t="s">
        <v>155</v>
      </c>
      <c r="D29" s="49">
        <f>FE!D40</f>
        <v>0</v>
      </c>
      <c r="E29" s="49">
        <f>FE!E40</f>
        <v>0</v>
      </c>
      <c r="F29" s="49">
        <f>FE!F40</f>
        <v>0</v>
      </c>
      <c r="G29" s="49">
        <f>FE!G40</f>
        <v>0</v>
      </c>
      <c r="H29" s="49">
        <f>FE!H40</f>
        <v>0</v>
      </c>
      <c r="I29" s="49">
        <f>FE!I40</f>
        <v>0</v>
      </c>
      <c r="J29" s="49">
        <f>FE!J40</f>
        <v>0</v>
      </c>
      <c r="K29" s="89"/>
      <c r="L29" s="46" t="str">
        <f t="shared" si="6"/>
        <v xml:space="preserve">Equipo Electronico                      </v>
      </c>
      <c r="M29" s="49">
        <f>FE!L40</f>
        <v>0</v>
      </c>
      <c r="N29" s="49">
        <f>FE!M40</f>
        <v>0</v>
      </c>
      <c r="O29" s="49">
        <f>FE!N40</f>
        <v>0</v>
      </c>
      <c r="P29" s="49">
        <f>FE!O40</f>
        <v>0</v>
      </c>
      <c r="Q29" s="49">
        <f>FE!P40</f>
        <v>0</v>
      </c>
      <c r="R29" s="49">
        <f>FE!Q40</f>
        <v>0</v>
      </c>
      <c r="S29" s="49">
        <f>FE!R40</f>
        <v>0</v>
      </c>
    </row>
    <row r="30" spans="3:19" ht="14" hidden="1" x14ac:dyDescent="0.3">
      <c r="C30" s="46" t="s">
        <v>157</v>
      </c>
      <c r="D30" s="49">
        <f>FE!D42</f>
        <v>0</v>
      </c>
      <c r="E30" s="49">
        <f>FE!E42</f>
        <v>0</v>
      </c>
      <c r="F30" s="49">
        <f>FE!F42</f>
        <v>0</v>
      </c>
      <c r="G30" s="49">
        <f>FE!G42</f>
        <v>0</v>
      </c>
      <c r="H30" s="49">
        <f>FE!H42</f>
        <v>0</v>
      </c>
      <c r="I30" s="49">
        <f>FE!I42</f>
        <v>0</v>
      </c>
      <c r="J30" s="49">
        <f>FE!J42</f>
        <v>0</v>
      </c>
      <c r="K30" s="89"/>
      <c r="L30" s="46" t="str">
        <f t="shared" si="6"/>
        <v xml:space="preserve">Mob. y Eq. Oficina                      </v>
      </c>
      <c r="M30" s="49">
        <f>FE!L42</f>
        <v>0</v>
      </c>
      <c r="N30" s="49">
        <f>FE!M42</f>
        <v>0</v>
      </c>
      <c r="O30" s="49">
        <f>FE!N42</f>
        <v>0</v>
      </c>
      <c r="P30" s="49">
        <f>FE!O42</f>
        <v>0</v>
      </c>
      <c r="Q30" s="49">
        <f>FE!P42</f>
        <v>0</v>
      </c>
      <c r="R30" s="49">
        <f>FE!Q42</f>
        <v>0</v>
      </c>
      <c r="S30" s="49">
        <f>FE!R42</f>
        <v>0</v>
      </c>
    </row>
    <row r="31" spans="3:19" ht="14" hidden="1" x14ac:dyDescent="0.3">
      <c r="C31" s="46" t="s">
        <v>159</v>
      </c>
      <c r="D31" s="49">
        <f>FE!D44</f>
        <v>0</v>
      </c>
      <c r="E31" s="49">
        <f>FE!E44</f>
        <v>0</v>
      </c>
      <c r="F31" s="49">
        <f>FE!F44</f>
        <v>0</v>
      </c>
      <c r="G31" s="49">
        <f>FE!G44</f>
        <v>0</v>
      </c>
      <c r="H31" s="49">
        <f>FE!H44</f>
        <v>0</v>
      </c>
      <c r="I31" s="49">
        <f>FE!I44</f>
        <v>0</v>
      </c>
      <c r="J31" s="49">
        <f>FE!J44</f>
        <v>0</v>
      </c>
      <c r="K31" s="89"/>
      <c r="L31" s="46" t="str">
        <f t="shared" si="6"/>
        <v xml:space="preserve">Dep. En Garantía                        </v>
      </c>
      <c r="M31" s="49">
        <f>FE!L44</f>
        <v>0</v>
      </c>
      <c r="N31" s="49">
        <f>FE!M44</f>
        <v>0</v>
      </c>
      <c r="O31" s="49">
        <f>FE!N44</f>
        <v>0</v>
      </c>
      <c r="P31" s="49">
        <f>FE!O44</f>
        <v>0</v>
      </c>
      <c r="Q31" s="49">
        <f>FE!P44</f>
        <v>0</v>
      </c>
      <c r="R31" s="49">
        <f>FE!Q44</f>
        <v>0</v>
      </c>
      <c r="S31" s="49">
        <f>FE!R44</f>
        <v>0</v>
      </c>
    </row>
    <row r="32" spans="3:19" ht="14" hidden="1" x14ac:dyDescent="0.3">
      <c r="C32" s="46" t="s">
        <v>98</v>
      </c>
      <c r="D32" s="49">
        <f>FE!D46</f>
        <v>0</v>
      </c>
      <c r="E32" s="49">
        <f>FE!E46</f>
        <v>0</v>
      </c>
      <c r="F32" s="49">
        <f>FE!F46</f>
        <v>0</v>
      </c>
      <c r="G32" s="49">
        <f>FE!G46</f>
        <v>0</v>
      </c>
      <c r="H32" s="49">
        <f>FE!H46</f>
        <v>0</v>
      </c>
      <c r="I32" s="49">
        <f>FE!I46</f>
        <v>0</v>
      </c>
      <c r="J32" s="49">
        <f>FE!J46</f>
        <v>0</v>
      </c>
      <c r="K32" s="89"/>
      <c r="L32" s="46" t="str">
        <f t="shared" si="6"/>
        <v xml:space="preserve">Gts. Instalación                        </v>
      </c>
      <c r="M32" s="49">
        <f>FE!L46</f>
        <v>0</v>
      </c>
      <c r="N32" s="49">
        <f>FE!M46</f>
        <v>0</v>
      </c>
      <c r="O32" s="49">
        <f>FE!N46</f>
        <v>0</v>
      </c>
      <c r="P32" s="49">
        <f>FE!O46</f>
        <v>0</v>
      </c>
      <c r="Q32" s="49">
        <f>FE!P46</f>
        <v>0</v>
      </c>
      <c r="R32" s="49">
        <f>FE!Q46</f>
        <v>0</v>
      </c>
      <c r="S32" s="49">
        <f>FE!R46</f>
        <v>0</v>
      </c>
    </row>
    <row r="33" spans="3:19" ht="14" hidden="1" x14ac:dyDescent="0.3">
      <c r="C33" s="46" t="s">
        <v>100</v>
      </c>
      <c r="D33" s="49">
        <f>FE!D48</f>
        <v>0</v>
      </c>
      <c r="E33" s="49">
        <f>FE!E48</f>
        <v>0</v>
      </c>
      <c r="F33" s="49">
        <f>FE!F48</f>
        <v>0</v>
      </c>
      <c r="G33" s="49">
        <f>FE!G48</f>
        <v>0</v>
      </c>
      <c r="H33" s="49">
        <f>FE!H48</f>
        <v>0</v>
      </c>
      <c r="I33" s="49">
        <f>FE!I48</f>
        <v>0</v>
      </c>
      <c r="J33" s="49">
        <f>FE!J48</f>
        <v>0</v>
      </c>
      <c r="K33" s="89"/>
      <c r="L33" s="46" t="str">
        <f t="shared" si="6"/>
        <v xml:space="preserve">Gts. Organización                       </v>
      </c>
      <c r="M33" s="49">
        <f>FE!L48</f>
        <v>0</v>
      </c>
      <c r="N33" s="49">
        <f>FE!M48</f>
        <v>0</v>
      </c>
      <c r="O33" s="49">
        <f>FE!N48</f>
        <v>0</v>
      </c>
      <c r="P33" s="49">
        <f>FE!O48</f>
        <v>0</v>
      </c>
      <c r="Q33" s="49">
        <f>FE!P48</f>
        <v>0</v>
      </c>
      <c r="R33" s="49">
        <f>FE!Q48</f>
        <v>0</v>
      </c>
      <c r="S33" s="49">
        <f>FE!R48</f>
        <v>0</v>
      </c>
    </row>
    <row r="34" spans="3:19" ht="14" hidden="1" x14ac:dyDescent="0.3">
      <c r="C34" s="46" t="s">
        <v>160</v>
      </c>
      <c r="D34" s="49">
        <f>FE!D50</f>
        <v>0</v>
      </c>
      <c r="E34" s="49">
        <f>FE!E50</f>
        <v>0</v>
      </c>
      <c r="F34" s="49">
        <f>FE!F50</f>
        <v>0</v>
      </c>
      <c r="G34" s="49">
        <f>FE!G50</f>
        <v>0</v>
      </c>
      <c r="H34" s="49">
        <f>FE!H50</f>
        <v>0</v>
      </c>
      <c r="I34" s="49">
        <f>FE!I50</f>
        <v>0</v>
      </c>
      <c r="J34" s="49">
        <f>FE!J50</f>
        <v>0</v>
      </c>
      <c r="K34" s="89"/>
      <c r="L34" s="46" t="str">
        <f t="shared" si="6"/>
        <v xml:space="preserve">Const. Terr. Arrendados                 </v>
      </c>
      <c r="M34" s="49">
        <f>FE!L50</f>
        <v>0</v>
      </c>
      <c r="N34" s="49">
        <f>FE!M50</f>
        <v>0</v>
      </c>
      <c r="O34" s="49">
        <f>FE!N50</f>
        <v>0</v>
      </c>
      <c r="P34" s="49">
        <f>FE!O50</f>
        <v>0</v>
      </c>
      <c r="Q34" s="49">
        <f>FE!P50</f>
        <v>0</v>
      </c>
      <c r="R34" s="49">
        <f>FE!Q50</f>
        <v>0</v>
      </c>
      <c r="S34" s="49">
        <f>FE!R50</f>
        <v>0</v>
      </c>
    </row>
    <row r="35" spans="3:19" ht="14" hidden="1" x14ac:dyDescent="0.3">
      <c r="C35" s="46" t="s">
        <v>25</v>
      </c>
      <c r="D35" s="49">
        <f>FE!D52</f>
        <v>0</v>
      </c>
      <c r="E35" s="49">
        <f>FE!E52</f>
        <v>0</v>
      </c>
      <c r="F35" s="49">
        <f>FE!F52</f>
        <v>0</v>
      </c>
      <c r="G35" s="49">
        <f>FE!G52</f>
        <v>-1.1999999999999999E-4</v>
      </c>
      <c r="H35" s="49">
        <f>FE!H52</f>
        <v>0</v>
      </c>
      <c r="I35" s="49">
        <f>FE!I52</f>
        <v>0</v>
      </c>
      <c r="J35" s="49">
        <f>FE!J52</f>
        <v>-1.1999999999999999E-4</v>
      </c>
      <c r="K35" s="89"/>
      <c r="L35" s="46" t="str">
        <f t="shared" si="6"/>
        <v xml:space="preserve">Inv. y Mejoras Inm. Arrend              </v>
      </c>
      <c r="M35" s="49">
        <f>FE!L52</f>
        <v>0</v>
      </c>
      <c r="N35" s="49">
        <f>FE!M52</f>
        <v>0</v>
      </c>
      <c r="O35" s="49">
        <f>FE!N52</f>
        <v>-30.431999999999999</v>
      </c>
      <c r="P35" s="49">
        <f>FE!O52</f>
        <v>-1.1999999999999999E-4</v>
      </c>
      <c r="Q35" s="49">
        <f>FE!P52</f>
        <v>0</v>
      </c>
      <c r="R35" s="49">
        <f>FE!Q52</f>
        <v>0</v>
      </c>
      <c r="S35" s="49">
        <f>FE!R52</f>
        <v>-30.432119999999998</v>
      </c>
    </row>
    <row r="36" spans="3:19" ht="14" hidden="1" x14ac:dyDescent="0.3">
      <c r="C36" s="46" t="s">
        <v>22</v>
      </c>
      <c r="D36" s="49">
        <f>FE!D54</f>
        <v>0</v>
      </c>
      <c r="E36" s="49">
        <f>FE!E54</f>
        <v>0</v>
      </c>
      <c r="F36" s="49">
        <f>FE!F54</f>
        <v>0</v>
      </c>
      <c r="G36" s="49">
        <f>FE!G54</f>
        <v>0</v>
      </c>
      <c r="H36" s="49">
        <f>FE!H54</f>
        <v>0</v>
      </c>
      <c r="I36" s="49">
        <f>FE!I54</f>
        <v>0</v>
      </c>
      <c r="J36" s="49">
        <f>FE!J54</f>
        <v>0</v>
      </c>
      <c r="K36" s="89"/>
      <c r="L36" s="46" t="str">
        <f t="shared" si="6"/>
        <v xml:space="preserve">Inversiones por realizar                </v>
      </c>
      <c r="M36" s="49">
        <f>FE!L54</f>
        <v>0</v>
      </c>
      <c r="N36" s="49">
        <f>FE!M54</f>
        <v>0</v>
      </c>
      <c r="O36" s="49">
        <f>FE!N54</f>
        <v>0</v>
      </c>
      <c r="P36" s="49">
        <f>FE!O54</f>
        <v>0</v>
      </c>
      <c r="Q36" s="49">
        <f>FE!P54</f>
        <v>0</v>
      </c>
      <c r="R36" s="49">
        <f>FE!Q54</f>
        <v>0</v>
      </c>
      <c r="S36" s="49">
        <f>FE!R54</f>
        <v>0</v>
      </c>
    </row>
    <row r="37" spans="3:19" ht="14" x14ac:dyDescent="0.3">
      <c r="C37" s="46" t="s">
        <v>23</v>
      </c>
      <c r="D37" s="49">
        <f>FE!D55</f>
        <v>0</v>
      </c>
      <c r="E37" s="49">
        <f>FE!E55</f>
        <v>0</v>
      </c>
      <c r="F37" s="49">
        <f>FE!F55</f>
        <v>0</v>
      </c>
      <c r="G37" s="49">
        <f>FE!G55</f>
        <v>0</v>
      </c>
      <c r="H37" s="49">
        <f>FE!H55</f>
        <v>0</v>
      </c>
      <c r="I37" s="49">
        <f>FE!I55</f>
        <v>0</v>
      </c>
      <c r="J37" s="49">
        <f>FE!J55</f>
        <v>0</v>
      </c>
      <c r="K37" s="89"/>
      <c r="L37" s="46" t="str">
        <f t="shared" si="6"/>
        <v xml:space="preserve">Inversiones en acciones                 </v>
      </c>
      <c r="M37" s="49">
        <f>FE!L55</f>
        <v>0</v>
      </c>
      <c r="N37" s="49">
        <f>FE!M55</f>
        <v>0</v>
      </c>
      <c r="O37" s="49">
        <f>FE!N55</f>
        <v>0</v>
      </c>
      <c r="P37" s="49">
        <f>FE!O55</f>
        <v>0</v>
      </c>
      <c r="Q37" s="49">
        <f>FE!P55</f>
        <v>0</v>
      </c>
      <c r="R37" s="49">
        <f>FE!Q55</f>
        <v>0</v>
      </c>
      <c r="S37" s="49">
        <f>FE!R55</f>
        <v>0</v>
      </c>
    </row>
    <row r="38" spans="3:19" ht="14" x14ac:dyDescent="0.3">
      <c r="C38" s="46" t="s">
        <v>2</v>
      </c>
      <c r="D38" s="54">
        <f>FE!D35+FE!D37+FE!D39+FE!D41+FE!D43+FE!D45+FE!D47+FE!D49+FE!D51+FE!D53</f>
        <v>0</v>
      </c>
      <c r="E38" s="54">
        <f>FE!E35+FE!E37+FE!E39+FE!E41+FE!E43+FE!E45+FE!E47+FE!E49+FE!E51+FE!E53</f>
        <v>1.4626400000000028</v>
      </c>
      <c r="F38" s="54">
        <f>FE!F35+FE!F37+FE!F39+FE!F41+FE!F43+FE!F45+FE!F47+FE!F49+FE!F51+FE!F53</f>
        <v>-17.030379999999997</v>
      </c>
      <c r="G38" s="54">
        <f>FE!G35+FE!G37+FE!G39+FE!G41+FE!G43+FE!G45+FE!G47+FE!G49+FE!G51+FE!G53</f>
        <v>9.2418800000000001</v>
      </c>
      <c r="H38" s="54">
        <f>FE!H35+FE!H37+FE!H39+FE!H41+FE!H43+FE!H45+FE!H47+FE!H49+FE!H51+FE!H53</f>
        <v>5.1190200000000008</v>
      </c>
      <c r="I38" s="54">
        <f>FE!I35+FE!I37+FE!I39+FE!I41+FE!I43+FE!I45+FE!I47+FE!I49+FE!I51+FE!I53</f>
        <v>21.002410000000001</v>
      </c>
      <c r="J38" s="54">
        <f>FE!J35+FE!J37+FE!J39+FE!J41+FE!J43+FE!J45+FE!J47+FE!J49+FE!J51+FE!J53</f>
        <v>19.795570000000005</v>
      </c>
      <c r="K38" s="89"/>
      <c r="L38" s="46" t="str">
        <f t="shared" si="6"/>
        <v>Dep. y Amtz.</v>
      </c>
      <c r="M38" s="54">
        <f>FE!L35+FE!L37+FE!L39+FE!L41+FE!L43+FE!L45+FE!L47+FE!L49+FE!L51+FE!L53</f>
        <v>6695.1612800000003</v>
      </c>
      <c r="N38" s="54">
        <f>FE!M35+FE!M37+FE!M39+FE!M41+FE!M43+FE!M45+FE!M47+FE!M49+FE!M51+FE!M53</f>
        <v>-38.447319999999991</v>
      </c>
      <c r="O38" s="54">
        <f>FE!N35+FE!N37+FE!N39+FE!N41+FE!N43+FE!N45+FE!N47+FE!N49+FE!N51+FE!N53</f>
        <v>-37.113680000000002</v>
      </c>
      <c r="P38" s="54">
        <f>FE!O35+FE!O37+FE!O39+FE!O41+FE!O43+FE!O45+FE!O47+FE!O49+FE!O51+FE!O53</f>
        <v>55.450680000000006</v>
      </c>
      <c r="Q38" s="54">
        <f>FE!P35+FE!P37+FE!P39+FE!P41+FE!P43+FE!P45+FE!P47+FE!P49+FE!P51+FE!P53</f>
        <v>69.133560000000003</v>
      </c>
      <c r="R38" s="54">
        <f>FE!Q35+FE!Q37+FE!Q39+FE!Q41+FE!Q43+FE!Q45+FE!Q47+FE!Q49+FE!Q51+FE!Q53</f>
        <v>126.01446</v>
      </c>
      <c r="S38" s="54">
        <f>FE!R35+FE!R37+FE!R39+FE!R41+FE!R43+FE!R45+FE!R47+FE!R49+FE!R51+FE!R53</f>
        <v>6870.1989800000001</v>
      </c>
    </row>
    <row r="39" spans="3:19" ht="14" x14ac:dyDescent="0.3">
      <c r="C39" s="47" t="s">
        <v>24</v>
      </c>
      <c r="D39" s="50">
        <f>SUM(D26:D38)-FE!D5</f>
        <v>0</v>
      </c>
      <c r="E39" s="50">
        <f>SUM(E26:E38)-FE!E5</f>
        <v>-0.40067999999999704</v>
      </c>
      <c r="F39" s="50">
        <f>SUM(F26:F38)-FE!F5</f>
        <v>-21.401789999999998</v>
      </c>
      <c r="G39" s="50">
        <f>SUM(G26:G38)-FE!G5</f>
        <v>0</v>
      </c>
      <c r="H39" s="50">
        <f>SUM(H26:H38)-FE!H5</f>
        <v>0</v>
      </c>
      <c r="I39" s="50">
        <f>SUM(I26:I38)-FE!I5</f>
        <v>-3.3249999999999993</v>
      </c>
      <c r="J39" s="50">
        <f>SUM(J26:J38)-FE!J5</f>
        <v>-25.127469999999995</v>
      </c>
      <c r="K39" s="89"/>
      <c r="L39" s="47" t="str">
        <f t="shared" si="6"/>
        <v xml:space="preserve">Total Inversiones                       </v>
      </c>
      <c r="M39" s="50">
        <f>SUM(M26:M38)-FE!L5</f>
        <v>6631.4374700000008</v>
      </c>
      <c r="N39" s="50">
        <f>SUM(N26:N38)-FE!M5</f>
        <v>-48.87095999999999</v>
      </c>
      <c r="O39" s="50">
        <f>SUM(O26:O38)-FE!N5</f>
        <v>-94.702439999999996</v>
      </c>
      <c r="P39" s="50">
        <f>SUM(P26:P38)-FE!O5</f>
        <v>-0.98999999999998778</v>
      </c>
      <c r="Q39" s="50">
        <f>SUM(Q26:Q38)-FE!P5</f>
        <v>-5.8082899999999995</v>
      </c>
      <c r="R39" s="50">
        <f>SUM(R26:R38)-FE!Q5</f>
        <v>-21.824750000000009</v>
      </c>
      <c r="S39" s="50">
        <f>SUM(S26:S38)-FE!R5</f>
        <v>6459.2410299999992</v>
      </c>
    </row>
    <row r="40" spans="3:19" ht="14" x14ac:dyDescent="0.3">
      <c r="C40" s="46"/>
      <c r="D40" s="57"/>
      <c r="E40" s="57"/>
      <c r="F40" s="57"/>
      <c r="G40" s="57"/>
      <c r="H40" s="57"/>
      <c r="I40" s="57"/>
      <c r="J40" s="58"/>
      <c r="K40" s="51"/>
      <c r="L40" s="46"/>
      <c r="M40" s="57"/>
      <c r="N40" s="57"/>
      <c r="O40" s="57"/>
      <c r="P40" s="57"/>
      <c r="Q40" s="57"/>
      <c r="R40" s="57"/>
      <c r="S40" s="57"/>
    </row>
    <row r="41" spans="3:19" ht="14" x14ac:dyDescent="0.3">
      <c r="C41" s="47" t="s">
        <v>161</v>
      </c>
      <c r="D41" s="59">
        <f>D4+D14+D23+D39</f>
        <v>14.085739999999998</v>
      </c>
      <c r="E41" s="59">
        <f t="shared" ref="E41:J41" si="7">+E4+E14+E23+E39</f>
        <v>-26.086209999999998</v>
      </c>
      <c r="F41" s="59">
        <f t="shared" si="7"/>
        <v>-138.05051999999998</v>
      </c>
      <c r="G41" s="59">
        <f t="shared" si="7"/>
        <v>20.41554</v>
      </c>
      <c r="H41" s="59">
        <f>+H4+H14+H23+H39</f>
        <v>-19.722929999999998</v>
      </c>
      <c r="I41" s="59">
        <f t="shared" si="7"/>
        <v>29.84893999999996</v>
      </c>
      <c r="J41" s="50">
        <f t="shared" si="7"/>
        <v>-119.50944000000007</v>
      </c>
      <c r="K41" s="89"/>
      <c r="L41" s="47" t="str">
        <f>C41</f>
        <v xml:space="preserve">Flujo Neto                              </v>
      </c>
      <c r="M41" s="59">
        <f t="shared" ref="M41:S41" si="8">+M4+M14+M23+M39</f>
        <v>-163.52489999999943</v>
      </c>
      <c r="N41" s="59">
        <f t="shared" si="8"/>
        <v>-46.28289000000003</v>
      </c>
      <c r="O41" s="59">
        <f t="shared" si="8"/>
        <v>27.513929999999988</v>
      </c>
      <c r="P41" s="59">
        <f t="shared" si="8"/>
        <v>-0.13385999999996301</v>
      </c>
      <c r="Q41" s="59">
        <f>+Q4+Q14+Q23+Q39</f>
        <v>-54.728459999999998</v>
      </c>
      <c r="R41" s="59">
        <f t="shared" si="8"/>
        <v>-16.710180000000051</v>
      </c>
      <c r="S41" s="59">
        <f t="shared" si="8"/>
        <v>-253.86636000000181</v>
      </c>
    </row>
    <row r="42" spans="3:19" ht="14" x14ac:dyDescent="0.3">
      <c r="C42" s="7" t="s">
        <v>162</v>
      </c>
      <c r="D42" s="59">
        <f>FE!D59</f>
        <v>7.7508699999999999</v>
      </c>
      <c r="E42" s="59">
        <f>FE!E59</f>
        <v>28.06513</v>
      </c>
      <c r="F42" s="59">
        <f>FE!F59</f>
        <v>107.91239</v>
      </c>
      <c r="G42" s="59">
        <f>FE!G59</f>
        <v>4.8167</v>
      </c>
      <c r="H42" s="59">
        <f>FE!H59</f>
        <v>-21.08812</v>
      </c>
      <c r="I42" s="59">
        <f>FE!I59</f>
        <v>26.907799999999998</v>
      </c>
      <c r="J42" s="50">
        <f>FE!J59</f>
        <v>154.36476999999999</v>
      </c>
      <c r="L42" s="7" t="str">
        <f>C42</f>
        <v>S.Ini</v>
      </c>
      <c r="M42" s="59">
        <f>FE!L59</f>
        <v>185.36151000000001</v>
      </c>
      <c r="N42" s="59">
        <f>FE!M59</f>
        <v>48.261809999999997</v>
      </c>
      <c r="O42" s="59">
        <f>FE!N59</f>
        <v>-57.652059999999999</v>
      </c>
      <c r="P42" s="59">
        <f>FE!O59</f>
        <v>25.366099999999999</v>
      </c>
      <c r="Q42" s="59">
        <f>FE!P59</f>
        <v>13.91741</v>
      </c>
      <c r="R42" s="59">
        <f>FE!Q59</f>
        <v>73.466920000000002</v>
      </c>
      <c r="S42" s="59">
        <f>FE!R59</f>
        <v>288.72168999999997</v>
      </c>
    </row>
    <row r="43" spans="3:19" ht="14" x14ac:dyDescent="0.3">
      <c r="C43" s="7" t="s">
        <v>163</v>
      </c>
      <c r="D43" s="59">
        <f>SUM(D41:D42)</f>
        <v>21.836609999999997</v>
      </c>
      <c r="E43" s="59">
        <f t="shared" ref="E43:J43" si="9">+E41+E42</f>
        <v>1.9789200000000022</v>
      </c>
      <c r="F43" s="59">
        <f t="shared" si="9"/>
        <v>-30.138129999999975</v>
      </c>
      <c r="G43" s="59">
        <f t="shared" si="9"/>
        <v>25.232240000000001</v>
      </c>
      <c r="H43" s="59">
        <f>+H41+H42</f>
        <v>-40.811049999999994</v>
      </c>
      <c r="I43" s="59">
        <f t="shared" si="9"/>
        <v>56.756739999999958</v>
      </c>
      <c r="J43" s="59">
        <f t="shared" si="9"/>
        <v>34.855329999999924</v>
      </c>
      <c r="L43" s="7" t="str">
        <f>C43</f>
        <v>S. F.</v>
      </c>
      <c r="M43" s="59">
        <f t="shared" ref="M43:S43" si="10">+M41+M42</f>
        <v>21.836610000000576</v>
      </c>
      <c r="N43" s="59">
        <f t="shared" si="10"/>
        <v>1.9789199999999667</v>
      </c>
      <c r="O43" s="59">
        <f t="shared" si="10"/>
        <v>-30.138130000000011</v>
      </c>
      <c r="P43" s="59">
        <f t="shared" si="10"/>
        <v>25.232240000000036</v>
      </c>
      <c r="Q43" s="59">
        <f>+Q41+Q42</f>
        <v>-40.811049999999994</v>
      </c>
      <c r="R43" s="59">
        <f t="shared" si="10"/>
        <v>56.756739999999951</v>
      </c>
      <c r="S43" s="59">
        <f t="shared" si="10"/>
        <v>34.855329999998162</v>
      </c>
    </row>
    <row r="47" spans="3:19" x14ac:dyDescent="0.25">
      <c r="C47" s="77"/>
    </row>
    <row r="48" spans="3:19" x14ac:dyDescent="0.25">
      <c r="C48" s="77"/>
    </row>
    <row r="49" spans="3:3" x14ac:dyDescent="0.25">
      <c r="C49" s="77"/>
    </row>
    <row r="50" spans="3:3" x14ac:dyDescent="0.25">
      <c r="C50" s="77"/>
    </row>
    <row r="51" spans="3:3" x14ac:dyDescent="0.25">
      <c r="C51" s="77"/>
    </row>
  </sheetData>
  <phoneticPr fontId="0" type="noConversion"/>
  <printOptions horizontalCentered="1"/>
  <pageMargins left="0.25" right="0.23" top="0.45" bottom="0.98425196850393704" header="0" footer="0"/>
  <pageSetup scale="65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Hoja3">
    <tabColor rgb="FF00B0F0"/>
  </sheetPr>
  <dimension ref="A1:I47"/>
  <sheetViews>
    <sheetView showGridLines="0" topLeftCell="A11" zoomScale="70" zoomScaleNormal="70" workbookViewId="0">
      <pane activePane="bottomRight" state="frozen"/>
      <selection activeCell="L41" sqref="L41"/>
    </sheetView>
  </sheetViews>
  <sheetFormatPr baseColWidth="10" defaultColWidth="11.453125" defaultRowHeight="12.5" x14ac:dyDescent="0.25"/>
  <cols>
    <col min="1" max="1" width="15.54296875" style="220" customWidth="1"/>
    <col min="2" max="2" width="9.08984375" style="220" bestFit="1" customWidth="1"/>
    <col min="3" max="3" width="12.453125" style="220" customWidth="1"/>
    <col min="4" max="7" width="9.54296875" style="220" bestFit="1" customWidth="1"/>
    <col min="8" max="8" width="12" style="220" customWidth="1"/>
    <col min="9" max="9" width="10.453125" style="220" bestFit="1" customWidth="1"/>
    <col min="10" max="10" width="5.54296875" style="220" customWidth="1"/>
    <col min="11" max="11" width="2" style="220" customWidth="1"/>
    <col min="12" max="22" width="11.453125" style="220"/>
    <col min="23" max="23" width="8.90625" style="220" customWidth="1"/>
    <col min="24" max="16384" width="11.453125" style="220"/>
  </cols>
  <sheetData>
    <row r="1" spans="1:9" ht="13" x14ac:dyDescent="0.3">
      <c r="C1" s="225"/>
    </row>
    <row r="2" spans="1:9" ht="13" x14ac:dyDescent="0.3">
      <c r="A2" s="222" t="s">
        <v>334</v>
      </c>
    </row>
    <row r="3" spans="1:9" ht="15.75" customHeight="1" x14ac:dyDescent="0.3">
      <c r="A3" s="263" t="str">
        <f>PROPER(TEXT(MES_CIERRE,"MMMM "))&amp;YEAR(MES_CIERRE)</f>
        <v>Junio 2019</v>
      </c>
      <c r="C3" s="223"/>
      <c r="D3" s="223"/>
      <c r="E3" s="223"/>
      <c r="F3" s="223"/>
      <c r="G3" s="223"/>
      <c r="H3" s="223"/>
      <c r="I3" s="223"/>
    </row>
    <row r="4" spans="1:9" ht="27" customHeight="1" x14ac:dyDescent="0.3">
      <c r="B4" s="225" t="s">
        <v>331</v>
      </c>
      <c r="C4" s="225" t="s">
        <v>121</v>
      </c>
      <c r="D4" s="225" t="s">
        <v>120</v>
      </c>
      <c r="E4" s="225" t="s">
        <v>119</v>
      </c>
      <c r="F4" s="225" t="s">
        <v>432</v>
      </c>
      <c r="G4" s="225" t="s">
        <v>433</v>
      </c>
      <c r="H4" s="225" t="s">
        <v>434</v>
      </c>
      <c r="I4" s="225"/>
    </row>
    <row r="5" spans="1:9" x14ac:dyDescent="0.25">
      <c r="A5" s="220" t="s">
        <v>413</v>
      </c>
      <c r="B5" s="234">
        <f>ER!$D$10+ER!$D$11</f>
        <v>0.30265800678713128</v>
      </c>
      <c r="C5" s="234" t="e">
        <f>ER!$D$45+ER!$D$46</f>
        <v>#VALUE!</v>
      </c>
      <c r="D5" s="234">
        <f>ER!$D$80+ER!$D$81</f>
        <v>0.32686393299690059</v>
      </c>
      <c r="E5" s="234">
        <f>ER!$D$115+ER!$D$116</f>
        <v>0.32292637823631842</v>
      </c>
      <c r="F5" s="234">
        <f>ER!$D$150+ER!$D$151</f>
        <v>0.35273030737028666</v>
      </c>
      <c r="G5" s="234">
        <f>ER!$D$188+ER!$D$189</f>
        <v>0.33204506055828864</v>
      </c>
      <c r="H5" s="234">
        <f>ER!D224+ER!D225</f>
        <v>0</v>
      </c>
      <c r="I5" s="235"/>
    </row>
    <row r="6" spans="1:9" x14ac:dyDescent="0.25">
      <c r="A6" s="220" t="s">
        <v>414</v>
      </c>
      <c r="B6" s="234">
        <f>ER!$F$10+ER!$F$11</f>
        <v>0.32751925460730003</v>
      </c>
      <c r="C6" s="234" t="e">
        <f>ER!$F$45+ER!$F$46</f>
        <v>#VALUE!</v>
      </c>
      <c r="D6" s="234">
        <f>ER!$F$80+ER!$F$81</f>
        <v>0.35550160842374473</v>
      </c>
      <c r="E6" s="234">
        <f>ER!$F$115+ER!$F$116</f>
        <v>0.35399958680014276</v>
      </c>
      <c r="F6" s="234">
        <f>ER!$F$150+ER!$F$151</f>
        <v>0.35400182710620443</v>
      </c>
      <c r="G6" s="234">
        <f>ER!$F$188+ER!$F$189</f>
        <v>0.34100058190716342</v>
      </c>
      <c r="H6" s="234">
        <f>ER!F224+ER!F225</f>
        <v>0</v>
      </c>
      <c r="I6" s="235"/>
    </row>
    <row r="7" spans="1:9" x14ac:dyDescent="0.25">
      <c r="A7" s="220" t="s">
        <v>333</v>
      </c>
      <c r="B7" s="236">
        <f>ER!$H$10+ER!$H$11</f>
        <v>0.32568466634963267</v>
      </c>
      <c r="C7" s="236" t="e">
        <f>ER!$H$45+ER!$H$46</f>
        <v>#VALUE!</v>
      </c>
      <c r="D7" s="236">
        <f>ER!$H$80+ER!$H$81</f>
        <v>0.35778934042922533</v>
      </c>
      <c r="E7" s="236">
        <f>ER!$H$115+ER!$H$116</f>
        <v>0.35255198126847348</v>
      </c>
      <c r="F7" s="236">
        <f>ER!$H$150+ER!$H$151</f>
        <v>0.35319558345205176</v>
      </c>
      <c r="G7" s="236">
        <f>ER!$H$188+ER!$H$189</f>
        <v>0.33895277481457248</v>
      </c>
      <c r="H7" s="236">
        <f>ER!H224+ER!H225</f>
        <v>0</v>
      </c>
      <c r="I7" s="235"/>
    </row>
    <row r="8" spans="1:9" x14ac:dyDescent="0.25">
      <c r="B8" s="383">
        <f>(ER!$C$10+ER!$C$11)/1000</f>
        <v>0.47218195000000002</v>
      </c>
      <c r="C8" s="383">
        <f>(ER!$C$45+ER!$C$46)/1000</f>
        <v>0</v>
      </c>
      <c r="D8" s="383">
        <f>(ER!$C$80+ER!$C$81)/1000</f>
        <v>9.5113589999999998E-2</v>
      </c>
      <c r="E8" s="383">
        <f>(ER!$C$115+ER!$C$116)/1000</f>
        <v>0.19933366</v>
      </c>
      <c r="F8" s="383">
        <f>(ER!$C$150+ER!$C$151)/1000</f>
        <v>7.7319210000000013E-2</v>
      </c>
      <c r="G8" s="383">
        <f>(ER!$C$188+ER!$C$189)/1000</f>
        <v>0.10041549000000001</v>
      </c>
      <c r="H8" s="383">
        <f>(ER!C224+ER!C225)/1000</f>
        <v>0</v>
      </c>
      <c r="I8" s="235"/>
    </row>
    <row r="9" spans="1:9" x14ac:dyDescent="0.25">
      <c r="B9" s="383">
        <f>(ER!$E$10+ER!$E$11)/1000</f>
        <v>0.5575</v>
      </c>
      <c r="C9" s="383">
        <f>(ER!$E$45+ER!$E$46)/1000</f>
        <v>0</v>
      </c>
      <c r="D9" s="383">
        <f>(ER!$E$80+ER!$E$81)/1000</f>
        <v>0.10675499999999999</v>
      </c>
      <c r="E9" s="383">
        <f>(ER!$E$115+ER!$E$116)/1000</f>
        <v>0.24502399999999999</v>
      </c>
      <c r="F9" s="383">
        <f>(ER!$E$150+ER!$E$151)/1000</f>
        <v>9.1450000000000004E-2</v>
      </c>
      <c r="G9" s="383">
        <f>(ER!$E$188+ER!$E$189)/1000</f>
        <v>0.114271</v>
      </c>
      <c r="H9" s="383">
        <f>(ER!E224+ER!E225)/1000</f>
        <v>0</v>
      </c>
      <c r="I9" s="235"/>
    </row>
    <row r="10" spans="1:9" x14ac:dyDescent="0.25">
      <c r="B10" s="383">
        <f>(ER!$G$10+ER!$G$11)/1000</f>
        <v>0.53765417999999998</v>
      </c>
      <c r="C10" s="383">
        <f>(ER!$G$45+ER!$G$46)/1000</f>
        <v>0</v>
      </c>
      <c r="D10" s="383">
        <f>(ER!$G$80+ER!$G$81)/1000</f>
        <v>0.10538475</v>
      </c>
      <c r="E10" s="383">
        <f>(ER!$G$115+ER!$G$116)/1000</f>
        <v>0.23177471999999999</v>
      </c>
      <c r="F10" s="383">
        <f>(ER!$G$150+ER!$G$151)/1000</f>
        <v>8.9033910000000008E-2</v>
      </c>
      <c r="G10" s="383">
        <f>(ER!$G$188+ER!$G$189)/1000</f>
        <v>0.11146080000000001</v>
      </c>
      <c r="H10" s="383">
        <f>(ER!G224+ER!G225)/1000</f>
        <v>0</v>
      </c>
      <c r="I10" s="235"/>
    </row>
    <row r="11" spans="1:9" x14ac:dyDescent="0.25">
      <c r="B11" s="227"/>
      <c r="C11" s="227"/>
      <c r="D11" s="227"/>
      <c r="E11" s="227"/>
      <c r="F11" s="227"/>
      <c r="G11" s="227"/>
      <c r="H11" s="227"/>
      <c r="I11" s="187"/>
    </row>
    <row r="12" spans="1:9" x14ac:dyDescent="0.25">
      <c r="B12" s="188"/>
      <c r="C12" s="188"/>
      <c r="D12" s="188"/>
      <c r="E12" s="188"/>
      <c r="F12" s="188"/>
      <c r="G12" s="188"/>
      <c r="H12" s="188"/>
      <c r="I12" s="187"/>
    </row>
    <row r="13" spans="1:9" x14ac:dyDescent="0.25">
      <c r="B13" s="384"/>
      <c r="C13" s="384"/>
      <c r="D13" s="384"/>
      <c r="E13" s="384"/>
      <c r="F13" s="384"/>
      <c r="G13" s="384"/>
      <c r="H13" s="384"/>
    </row>
    <row r="14" spans="1:9" x14ac:dyDescent="0.25">
      <c r="B14" s="384"/>
      <c r="C14" s="384"/>
      <c r="D14" s="384"/>
      <c r="E14" s="384"/>
      <c r="F14" s="384"/>
      <c r="G14" s="384"/>
      <c r="H14" s="384"/>
      <c r="I14" s="235"/>
    </row>
    <row r="15" spans="1:9" x14ac:dyDescent="0.25">
      <c r="B15" s="384"/>
      <c r="C15" s="384"/>
      <c r="D15" s="384"/>
      <c r="E15" s="384"/>
      <c r="F15" s="384"/>
      <c r="G15" s="384"/>
      <c r="H15" s="384"/>
      <c r="I15" s="235"/>
    </row>
    <row r="16" spans="1:9" x14ac:dyDescent="0.25">
      <c r="B16" s="384"/>
      <c r="C16" s="384"/>
      <c r="D16" s="384"/>
      <c r="E16" s="384"/>
      <c r="F16" s="384"/>
      <c r="G16" s="384"/>
      <c r="H16" s="384"/>
    </row>
    <row r="17" spans="1:9" x14ac:dyDescent="0.25">
      <c r="B17" s="384"/>
      <c r="C17" s="384"/>
      <c r="D17" s="384"/>
      <c r="E17" s="384"/>
      <c r="F17" s="384"/>
      <c r="G17" s="384"/>
      <c r="H17" s="384"/>
      <c r="I17" s="235"/>
    </row>
    <row r="18" spans="1:9" ht="15" customHeight="1" x14ac:dyDescent="0.25">
      <c r="B18" s="384"/>
      <c r="C18" s="384"/>
      <c r="D18" s="384"/>
      <c r="E18" s="384"/>
      <c r="F18" s="384"/>
      <c r="G18" s="384"/>
      <c r="H18" s="384"/>
      <c r="I18" s="235"/>
    </row>
    <row r="19" spans="1:9" x14ac:dyDescent="0.25">
      <c r="B19" s="228"/>
    </row>
    <row r="20" spans="1:9" ht="13" x14ac:dyDescent="0.3">
      <c r="I20" s="223"/>
    </row>
    <row r="21" spans="1:9" ht="13" x14ac:dyDescent="0.3">
      <c r="B21" s="235"/>
      <c r="C21" s="235"/>
      <c r="D21" s="235"/>
      <c r="E21" s="235"/>
      <c r="F21" s="235"/>
      <c r="G21" s="235"/>
      <c r="H21" s="235"/>
      <c r="I21" s="225"/>
    </row>
    <row r="22" spans="1:9" x14ac:dyDescent="0.25">
      <c r="I22" s="235"/>
    </row>
    <row r="23" spans="1:9" x14ac:dyDescent="0.25">
      <c r="B23" s="235"/>
      <c r="C23" s="235"/>
      <c r="D23" s="235"/>
      <c r="E23" s="235"/>
      <c r="F23" s="235"/>
      <c r="G23" s="235"/>
      <c r="H23" s="235"/>
      <c r="I23" s="235"/>
    </row>
    <row r="24" spans="1:9" x14ac:dyDescent="0.25">
      <c r="A24" s="220" t="str">
        <f>PROPER(TEXT(MES_CIERRE,"MMMM "))&amp;YEAR(MES_CIERRE)</f>
        <v>Junio 2019</v>
      </c>
      <c r="B24" s="235"/>
      <c r="C24" s="235"/>
      <c r="D24" s="235"/>
      <c r="E24" s="235"/>
      <c r="F24" s="235"/>
      <c r="G24" s="235"/>
      <c r="H24" s="235"/>
      <c r="I24" s="235"/>
    </row>
    <row r="25" spans="1:9" ht="13" x14ac:dyDescent="0.3">
      <c r="A25" s="222" t="s">
        <v>332</v>
      </c>
      <c r="I25" s="235"/>
    </row>
    <row r="26" spans="1:9" ht="13" x14ac:dyDescent="0.3">
      <c r="B26" s="223"/>
      <c r="C26" s="223"/>
      <c r="D26" s="223"/>
      <c r="E26" s="223"/>
      <c r="F26" s="223"/>
      <c r="G26" s="223"/>
      <c r="H26" s="223"/>
      <c r="I26" s="235"/>
    </row>
    <row r="27" spans="1:9" ht="13" x14ac:dyDescent="0.3">
      <c r="A27" s="225"/>
      <c r="B27" s="225" t="s">
        <v>331</v>
      </c>
      <c r="C27" s="225" t="s">
        <v>121</v>
      </c>
      <c r="D27" s="225" t="s">
        <v>120</v>
      </c>
      <c r="E27" s="225" t="s">
        <v>119</v>
      </c>
      <c r="F27" s="225" t="s">
        <v>432</v>
      </c>
      <c r="G27" s="225" t="s">
        <v>433</v>
      </c>
      <c r="H27" s="225" t="s">
        <v>434</v>
      </c>
      <c r="I27" s="235"/>
    </row>
    <row r="28" spans="1:9" x14ac:dyDescent="0.25">
      <c r="A28" s="220" t="s">
        <v>415</v>
      </c>
      <c r="B28" s="234">
        <f>ER!$D$17</f>
        <v>0.66299596371339187</v>
      </c>
      <c r="C28" s="234" t="str">
        <f>ER!$D$52</f>
        <v>N.D.</v>
      </c>
      <c r="D28" s="234">
        <f>ER!$D$87</f>
        <v>0.69223618005574306</v>
      </c>
      <c r="E28" s="234">
        <f>ER!$D$122</f>
        <v>0.64116657859377146</v>
      </c>
      <c r="F28" s="234">
        <f>ER!$D$157</f>
        <v>0.79715500848851517</v>
      </c>
      <c r="G28" s="234">
        <f>ER!$D$195</f>
        <v>0.69719119654184103</v>
      </c>
      <c r="H28" s="234">
        <f>ER!$D$231</f>
        <v>0.32719970054995151</v>
      </c>
      <c r="I28" s="235"/>
    </row>
    <row r="29" spans="1:9" x14ac:dyDescent="0.25">
      <c r="A29" s="220" t="s">
        <v>416</v>
      </c>
      <c r="B29" s="234">
        <f>ER!$F$17</f>
        <v>0.65689183346159952</v>
      </c>
      <c r="C29" s="234" t="str">
        <f>ER!$F$52</f>
        <v>N.D.</v>
      </c>
      <c r="D29" s="234">
        <f>ER!$F$87</f>
        <v>0.71866237753668072</v>
      </c>
      <c r="E29" s="234">
        <f>ER!$F$122</f>
        <v>0.62644710247211999</v>
      </c>
      <c r="F29" s="234">
        <f>ER!$F$157</f>
        <v>0.75538067293250544</v>
      </c>
      <c r="G29" s="234">
        <f>ER!$F$195</f>
        <v>0.69561480729920466</v>
      </c>
      <c r="H29" s="234">
        <f>ER!$F$231</f>
        <v>0.27128116938950991</v>
      </c>
      <c r="I29" s="187"/>
    </row>
    <row r="30" spans="1:9" x14ac:dyDescent="0.25">
      <c r="A30" s="220" t="s">
        <v>330</v>
      </c>
      <c r="B30" s="236">
        <f>ER!$H$17</f>
        <v>0.69190185996997244</v>
      </c>
      <c r="C30" s="236" t="str">
        <f>ER!$H$52</f>
        <v>N.D.</v>
      </c>
      <c r="D30" s="236">
        <f>ER!$H$87</f>
        <v>0.73951675764171565</v>
      </c>
      <c r="E30" s="236">
        <f>ER!$H$122</f>
        <v>0.6485702541536652</v>
      </c>
      <c r="F30" s="236">
        <f>ER!$H$157</f>
        <v>0.78792863596564033</v>
      </c>
      <c r="G30" s="236">
        <f>ER!$H$195</f>
        <v>0.73785168188674122</v>
      </c>
      <c r="H30" s="236">
        <f>ER!$H$231</f>
        <v>0.4053194295063306</v>
      </c>
    </row>
    <row r="31" spans="1:9" x14ac:dyDescent="0.25">
      <c r="B31" s="383">
        <f>(ER!$C$17)/1000</f>
        <v>1.0343513800000002</v>
      </c>
      <c r="C31" s="383">
        <f>(ER!$C$52)/1000</f>
        <v>8.9507099999999989E-3</v>
      </c>
      <c r="D31" s="383">
        <f>(ER!$C$87)/1000</f>
        <v>0.20143264999999999</v>
      </c>
      <c r="E31" s="383">
        <f>(ER!$C$122)/1000</f>
        <v>0.39577467000000005</v>
      </c>
      <c r="F31" s="383">
        <f>(ER!$C$157)/1000</f>
        <v>0.17473801999999999</v>
      </c>
      <c r="G31" s="383">
        <f>(ER!$C$195)/1000</f>
        <v>0.21084125000000001</v>
      </c>
      <c r="H31" s="383">
        <f>(ER!$C$231)/1000</f>
        <v>4.2614079999999999E-2</v>
      </c>
      <c r="I31" s="235"/>
    </row>
    <row r="32" spans="1:9" x14ac:dyDescent="0.25">
      <c r="B32" s="383">
        <f>(ER!$E$17)/1000</f>
        <v>1.11815471</v>
      </c>
      <c r="C32" s="383">
        <f>(ER!$E$52)/1000</f>
        <v>8.9507099999999989E-3</v>
      </c>
      <c r="D32" s="383">
        <f>(ER!$E$87)/1000</f>
        <v>0.21581</v>
      </c>
      <c r="E32" s="383">
        <f>(ER!$E$122)/1000</f>
        <v>0.43360100000000007</v>
      </c>
      <c r="F32" s="383">
        <f>(ER!$E$157)/1000</f>
        <v>0.19513899999999998</v>
      </c>
      <c r="G32" s="383">
        <f>(ER!$E$195)/1000</f>
        <v>0.23310399999999998</v>
      </c>
      <c r="H32" s="383">
        <f>(ER!$E$231)/1000</f>
        <v>3.1550000000000002E-2</v>
      </c>
      <c r="I32" s="235"/>
    </row>
    <row r="33" spans="1:9" x14ac:dyDescent="0.25">
      <c r="B33" s="385">
        <f>(ER!$G$17)/1000</f>
        <v>1.1422211899999999</v>
      </c>
      <c r="C33" s="385">
        <f>(ER!$G$52)/1000</f>
        <v>8.9507099999999989E-3</v>
      </c>
      <c r="D33" s="385">
        <f>(ER!$G$87)/1000</f>
        <v>0.21782031999999998</v>
      </c>
      <c r="E33" s="385">
        <f>(ER!$G$122)/1000</f>
        <v>0.42638305000000004</v>
      </c>
      <c r="F33" s="385">
        <f>(ER!$G$157)/1000</f>
        <v>0.19862187000000003</v>
      </c>
      <c r="G33" s="385">
        <f>(ER!$G$195)/1000</f>
        <v>0.24263420999999999</v>
      </c>
      <c r="H33" s="385">
        <f>(ER!$G$231)/1000</f>
        <v>4.7811030000000004E-2</v>
      </c>
      <c r="I33" s="235"/>
    </row>
    <row r="34" spans="1:9" x14ac:dyDescent="0.25">
      <c r="B34" s="227"/>
      <c r="C34" s="227"/>
      <c r="D34" s="227"/>
      <c r="E34" s="227"/>
      <c r="F34" s="227"/>
      <c r="G34" s="227"/>
      <c r="H34" s="227"/>
      <c r="I34" s="235"/>
    </row>
    <row r="35" spans="1:9" x14ac:dyDescent="0.25">
      <c r="B35" s="188"/>
      <c r="C35" s="188"/>
      <c r="D35" s="188"/>
      <c r="E35" s="188"/>
      <c r="F35" s="188"/>
      <c r="G35" s="188"/>
      <c r="H35" s="188"/>
      <c r="I35" s="235"/>
    </row>
    <row r="36" spans="1:9" x14ac:dyDescent="0.25">
      <c r="I36" s="235"/>
    </row>
    <row r="37" spans="1:9" x14ac:dyDescent="0.25">
      <c r="B37" s="235"/>
      <c r="C37" s="235"/>
      <c r="D37" s="235"/>
      <c r="E37" s="235"/>
      <c r="F37" s="235"/>
      <c r="G37" s="235"/>
      <c r="H37" s="235"/>
      <c r="I37" s="235"/>
    </row>
    <row r="38" spans="1:9" x14ac:dyDescent="0.25">
      <c r="B38" s="235"/>
      <c r="C38" s="235"/>
      <c r="D38" s="235"/>
      <c r="E38" s="235"/>
      <c r="F38" s="235"/>
      <c r="G38" s="235"/>
      <c r="H38" s="235"/>
      <c r="I38" s="235"/>
    </row>
    <row r="39" spans="1:9" x14ac:dyDescent="0.25">
      <c r="B39" s="235"/>
      <c r="C39" s="235"/>
      <c r="D39" s="235"/>
      <c r="E39" s="235"/>
      <c r="F39" s="235"/>
      <c r="G39" s="235"/>
      <c r="H39" s="235"/>
      <c r="I39" s="235"/>
    </row>
    <row r="40" spans="1:9" ht="13" x14ac:dyDescent="0.3">
      <c r="A40" s="222"/>
      <c r="B40" s="237"/>
      <c r="C40" s="235"/>
      <c r="D40" s="235"/>
      <c r="E40" s="235"/>
      <c r="F40" s="235"/>
      <c r="G40" s="235"/>
      <c r="H40" s="235"/>
      <c r="I40" s="235"/>
    </row>
    <row r="41" spans="1:9" x14ac:dyDescent="0.25">
      <c r="B41" s="235"/>
      <c r="C41" s="235"/>
      <c r="D41" s="235"/>
      <c r="E41" s="235"/>
      <c r="F41" s="235"/>
      <c r="G41" s="235"/>
      <c r="H41" s="235"/>
      <c r="I41" s="235"/>
    </row>
    <row r="42" spans="1:9" ht="13" x14ac:dyDescent="0.3">
      <c r="A42" s="222"/>
      <c r="B42" s="237"/>
      <c r="C42" s="235"/>
      <c r="D42" s="235"/>
      <c r="E42" s="235"/>
      <c r="F42" s="235"/>
      <c r="G42" s="235"/>
      <c r="H42" s="235"/>
    </row>
    <row r="43" spans="1:9" x14ac:dyDescent="0.25">
      <c r="B43" s="235"/>
      <c r="C43" s="235"/>
      <c r="D43" s="235"/>
      <c r="E43" s="235"/>
      <c r="F43" s="235"/>
      <c r="G43" s="235"/>
      <c r="H43" s="235"/>
    </row>
    <row r="44" spans="1:9" ht="13" x14ac:dyDescent="0.3">
      <c r="A44" s="222"/>
      <c r="B44" s="237"/>
      <c r="C44" s="235"/>
      <c r="D44" s="235"/>
      <c r="E44" s="235"/>
      <c r="F44" s="235"/>
      <c r="G44" s="235"/>
      <c r="H44" s="235"/>
    </row>
    <row r="45" spans="1:9" x14ac:dyDescent="0.25">
      <c r="B45" s="235"/>
      <c r="C45" s="235"/>
      <c r="D45" s="235"/>
      <c r="E45" s="235"/>
      <c r="F45" s="235"/>
      <c r="G45" s="235"/>
      <c r="H45" s="235"/>
    </row>
    <row r="46" spans="1:9" ht="13" x14ac:dyDescent="0.3">
      <c r="A46" s="222"/>
      <c r="B46" s="237"/>
      <c r="C46" s="235"/>
      <c r="D46" s="235"/>
      <c r="E46" s="235"/>
      <c r="F46" s="235"/>
      <c r="G46" s="235"/>
      <c r="H46" s="235"/>
    </row>
    <row r="47" spans="1:9" x14ac:dyDescent="0.25">
      <c r="B47" s="235"/>
      <c r="C47" s="235"/>
      <c r="D47" s="235"/>
      <c r="E47" s="235"/>
      <c r="F47" s="235"/>
      <c r="G47" s="235"/>
      <c r="H47" s="235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>
    <tabColor rgb="FF00B0F0"/>
  </sheetPr>
  <dimension ref="A2:Q120"/>
  <sheetViews>
    <sheetView showGridLines="0" tabSelected="1" topLeftCell="A18" zoomScale="70" zoomScaleNormal="70" workbookViewId="0">
      <selection activeCell="A31" sqref="A31"/>
    </sheetView>
  </sheetViews>
  <sheetFormatPr baseColWidth="10" defaultColWidth="11.453125" defaultRowHeight="12.5" x14ac:dyDescent="0.25"/>
  <cols>
    <col min="1" max="1" width="11.6328125" style="220" customWidth="1"/>
    <col min="2" max="13" width="6.7265625" style="220" customWidth="1"/>
    <col min="14" max="14" width="9" style="220" customWidth="1"/>
    <col min="15" max="15" width="10.453125" bestFit="1" customWidth="1"/>
    <col min="16" max="16" width="9.54296875" bestFit="1" customWidth="1"/>
    <col min="17" max="17" width="7" customWidth="1"/>
    <col min="18" max="16384" width="11.453125" style="220"/>
  </cols>
  <sheetData>
    <row r="2" spans="1:14" ht="13" x14ac:dyDescent="0.3">
      <c r="A2" s="222" t="s">
        <v>345</v>
      </c>
    </row>
    <row r="3" spans="1:14" ht="13" x14ac:dyDescent="0.3">
      <c r="A3" s="262" t="s">
        <v>346</v>
      </c>
      <c r="C3" s="189"/>
      <c r="D3" s="225"/>
      <c r="I3" s="220" t="s">
        <v>181</v>
      </c>
    </row>
    <row r="4" spans="1:14" ht="13" x14ac:dyDescent="0.3">
      <c r="A4" s="222"/>
      <c r="C4" s="189"/>
    </row>
    <row r="5" spans="1:14" ht="15.75" customHeight="1" x14ac:dyDescent="0.3">
      <c r="A5" s="222" t="s">
        <v>344</v>
      </c>
      <c r="C5" s="224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</row>
    <row r="6" spans="1:14" ht="15" customHeight="1" x14ac:dyDescent="0.3">
      <c r="A6" s="225"/>
      <c r="B6" s="225" t="s">
        <v>85</v>
      </c>
      <c r="C6" s="225" t="s">
        <v>86</v>
      </c>
      <c r="D6" s="225" t="s">
        <v>87</v>
      </c>
      <c r="E6" s="225" t="s">
        <v>88</v>
      </c>
      <c r="F6" s="225" t="s">
        <v>89</v>
      </c>
      <c r="G6" s="225" t="s">
        <v>90</v>
      </c>
      <c r="H6" s="225" t="s">
        <v>91</v>
      </c>
      <c r="I6" s="225" t="s">
        <v>92</v>
      </c>
      <c r="J6" s="225" t="s">
        <v>93</v>
      </c>
      <c r="K6" s="225" t="s">
        <v>94</v>
      </c>
      <c r="L6" s="225" t="s">
        <v>95</v>
      </c>
      <c r="M6" s="225" t="s">
        <v>96</v>
      </c>
      <c r="N6" s="225" t="s">
        <v>339</v>
      </c>
    </row>
    <row r="7" spans="1:14" x14ac:dyDescent="0.25">
      <c r="A7" s="233" t="str">
        <f>"Vtas. "&amp;RIGHT(YEAR(MES_CIERRE),2)</f>
        <v>Vtas. 19</v>
      </c>
      <c r="B7" s="226">
        <f t="shared" ref="B7:M7" si="0">B20+B33+B46+B59+B72+B85+B111</f>
        <v>3206.1209999999992</v>
      </c>
      <c r="C7" s="226">
        <f t="shared" si="0"/>
        <v>3211.2429999999999</v>
      </c>
      <c r="D7" s="226">
        <f t="shared" si="0"/>
        <v>3584.7779999999998</v>
      </c>
      <c r="E7" s="226">
        <f t="shared" si="0"/>
        <v>2397.9750000000004</v>
      </c>
      <c r="F7" s="226">
        <f t="shared" si="0"/>
        <v>1650.9629999999997</v>
      </c>
      <c r="G7" s="226">
        <f t="shared" si="0"/>
        <v>1560.11716</v>
      </c>
      <c r="H7" s="226">
        <f t="shared" si="0"/>
        <v>0</v>
      </c>
      <c r="I7" s="226">
        <f t="shared" si="0"/>
        <v>0</v>
      </c>
      <c r="J7" s="226">
        <f t="shared" si="0"/>
        <v>0</v>
      </c>
      <c r="K7" s="226">
        <f t="shared" si="0"/>
        <v>0</v>
      </c>
      <c r="L7" s="226">
        <f>L20+L33+L46+L59+L72+L85+L111</f>
        <v>0</v>
      </c>
      <c r="M7" s="226">
        <f t="shared" si="0"/>
        <v>0</v>
      </c>
      <c r="N7" s="226">
        <f t="shared" ref="N7:N12" si="1">N20+N33+N46+N59+N72+N85</f>
        <v>15611.197159999998</v>
      </c>
    </row>
    <row r="8" spans="1:14" x14ac:dyDescent="0.25">
      <c r="A8" s="233" t="str">
        <f>"Vtas. P. "&amp;RIGHT(YEAR(MES_CIERRE),2)</f>
        <v>Vtas. P. 19</v>
      </c>
      <c r="B8" s="218">
        <f t="shared" ref="B8:M8" si="2">B21+B34+B47+B60+B73+B86+B112</f>
        <v>3265.4009999999998</v>
      </c>
      <c r="C8" s="218">
        <f t="shared" si="2"/>
        <v>3194.8710000000001</v>
      </c>
      <c r="D8" s="218">
        <f t="shared" si="2"/>
        <v>3786.6410000000001</v>
      </c>
      <c r="E8" s="218">
        <f t="shared" si="2"/>
        <v>3456.51</v>
      </c>
      <c r="F8" s="218">
        <f t="shared" si="2"/>
        <v>1749.1970000000001</v>
      </c>
      <c r="G8" s="218">
        <f t="shared" si="2"/>
        <v>1702.1899999999998</v>
      </c>
      <c r="H8" s="218">
        <f t="shared" si="2"/>
        <v>1702.1899999999998</v>
      </c>
      <c r="I8" s="218">
        <f t="shared" si="2"/>
        <v>3640.1078793500001</v>
      </c>
      <c r="J8" s="218">
        <f t="shared" si="2"/>
        <v>3343.8643950000005</v>
      </c>
      <c r="K8" s="218">
        <f t="shared" si="2"/>
        <v>3479.5006606890001</v>
      </c>
      <c r="L8" s="218">
        <f t="shared" si="2"/>
        <v>3299.7456491498383</v>
      </c>
      <c r="M8" s="218">
        <f t="shared" si="2"/>
        <v>3479.4791457233464</v>
      </c>
      <c r="N8" s="218">
        <f t="shared" si="1"/>
        <v>36099.697729912179</v>
      </c>
    </row>
    <row r="9" spans="1:14" x14ac:dyDescent="0.25">
      <c r="A9" s="233" t="str">
        <f>"Vtas. "&amp;RIGHT(YEAR(MES_CIERRE)-1,2)</f>
        <v>Vtas. 18</v>
      </c>
      <c r="B9" s="218">
        <f t="shared" ref="B9:M9" si="3">B22+B35+B48+B61+B74+B87+B113</f>
        <v>3178.36</v>
      </c>
      <c r="C9" s="218">
        <f t="shared" si="3"/>
        <v>3128.6740000000004</v>
      </c>
      <c r="D9" s="218">
        <f t="shared" si="3"/>
        <v>3756.1959999999999</v>
      </c>
      <c r="E9" s="218">
        <f t="shared" si="3"/>
        <v>3357.0819999999994</v>
      </c>
      <c r="F9" s="218">
        <f t="shared" si="3"/>
        <v>1676.7920000000001</v>
      </c>
      <c r="G9" s="218">
        <f t="shared" si="3"/>
        <v>1650.8427799999999</v>
      </c>
      <c r="H9" s="218">
        <f t="shared" si="3"/>
        <v>1650.8427799999999</v>
      </c>
      <c r="I9" s="218">
        <f t="shared" si="3"/>
        <v>3512.7522899999999</v>
      </c>
      <c r="J9" s="218">
        <f t="shared" si="3"/>
        <v>3240.3201499999996</v>
      </c>
      <c r="K9" s="218">
        <f t="shared" si="3"/>
        <v>3342.05</v>
      </c>
      <c r="L9" s="218">
        <f t="shared" si="3"/>
        <v>3198.1239999999998</v>
      </c>
      <c r="M9" s="218">
        <f t="shared" si="3"/>
        <v>3407.6059999999993</v>
      </c>
      <c r="N9" s="218">
        <f t="shared" si="1"/>
        <v>35099.642</v>
      </c>
    </row>
    <row r="10" spans="1:14" x14ac:dyDescent="0.25">
      <c r="A10" s="233" t="str">
        <f>"UAFIR FL. "&amp;RIGHT(YEAR(MES_CIERRE),2)</f>
        <v>UAFIR FL. 19</v>
      </c>
      <c r="B10" s="218">
        <f t="shared" ref="B10:M10" si="4">B23+B36+B49+B62+B75+B88+B114</f>
        <v>21.338999999999782</v>
      </c>
      <c r="C10" s="218">
        <f t="shared" si="4"/>
        <v>191.29499999999985</v>
      </c>
      <c r="D10" s="218">
        <f t="shared" si="4"/>
        <v>267.38599999999991</v>
      </c>
      <c r="E10" s="218">
        <f t="shared" si="4"/>
        <v>87.509</v>
      </c>
      <c r="F10" s="218">
        <f t="shared" si="4"/>
        <v>95.239999999999938</v>
      </c>
      <c r="G10" s="218">
        <f t="shared" si="4"/>
        <v>93.899649999999966</v>
      </c>
      <c r="H10" s="218">
        <f t="shared" si="4"/>
        <v>0</v>
      </c>
      <c r="I10" s="218">
        <f t="shared" si="4"/>
        <v>0</v>
      </c>
      <c r="J10" s="218">
        <f t="shared" si="4"/>
        <v>0</v>
      </c>
      <c r="K10" s="218">
        <f t="shared" si="4"/>
        <v>0</v>
      </c>
      <c r="L10" s="218">
        <f t="shared" si="4"/>
        <v>0</v>
      </c>
      <c r="M10" s="218">
        <f t="shared" si="4"/>
        <v>0</v>
      </c>
      <c r="N10" s="218">
        <f t="shared" si="1"/>
        <v>756.66864999999939</v>
      </c>
    </row>
    <row r="11" spans="1:14" x14ac:dyDescent="0.25">
      <c r="A11" s="233" t="str">
        <f>"UAFIR FL. P. "&amp;RIGHT(YEAR(MES_CIERRE),2)</f>
        <v>UAFIR FL. P. 19</v>
      </c>
      <c r="B11" s="218">
        <f t="shared" ref="B11:M11" si="5">B24+B37+B50+B63+B76+B89+B115</f>
        <v>-42.789999999999949</v>
      </c>
      <c r="C11" s="218">
        <f t="shared" si="5"/>
        <v>7.1450000000001062</v>
      </c>
      <c r="D11" s="218">
        <f t="shared" si="5"/>
        <v>211.21300000000014</v>
      </c>
      <c r="E11" s="218">
        <f t="shared" si="5"/>
        <v>101.55899999999984</v>
      </c>
      <c r="F11" s="218">
        <f t="shared" si="5"/>
        <v>63.732999999999961</v>
      </c>
      <c r="G11" s="218">
        <f t="shared" si="5"/>
        <v>74.439289999999957</v>
      </c>
      <c r="H11" s="218">
        <f t="shared" si="5"/>
        <v>0</v>
      </c>
      <c r="I11" s="218">
        <f t="shared" si="5"/>
        <v>0</v>
      </c>
      <c r="J11" s="218">
        <f t="shared" si="5"/>
        <v>0</v>
      </c>
      <c r="K11" s="218">
        <f t="shared" si="5"/>
        <v>0</v>
      </c>
      <c r="L11" s="218">
        <f t="shared" si="5"/>
        <v>0</v>
      </c>
      <c r="M11" s="218">
        <f t="shared" si="5"/>
        <v>0</v>
      </c>
      <c r="N11" s="218">
        <f t="shared" si="1"/>
        <v>415.29929000000016</v>
      </c>
    </row>
    <row r="12" spans="1:14" x14ac:dyDescent="0.25">
      <c r="A12" s="233" t="str">
        <f>"S. Deuda "&amp;RIGHT(YEAR(MES_CIERRE),2)</f>
        <v>S. Deuda 19</v>
      </c>
      <c r="B12" s="219">
        <f t="shared" ref="B12:M12" si="6">B25+B38+B51+B64+B77+B90+B116</f>
        <v>148.12299999999999</v>
      </c>
      <c r="C12" s="219">
        <f t="shared" si="6"/>
        <v>154.67574999999999</v>
      </c>
      <c r="D12" s="219">
        <f t="shared" si="6"/>
        <v>154.99124</v>
      </c>
      <c r="E12" s="219">
        <f t="shared" si="6"/>
        <v>128.30806000000001</v>
      </c>
      <c r="F12" s="219">
        <f t="shared" si="6"/>
        <v>93.409000000000006</v>
      </c>
      <c r="G12" s="219">
        <f t="shared" si="6"/>
        <v>96.461160000000007</v>
      </c>
      <c r="H12" s="219">
        <f t="shared" si="6"/>
        <v>0</v>
      </c>
      <c r="I12" s="219">
        <f t="shared" si="6"/>
        <v>0</v>
      </c>
      <c r="J12" s="219">
        <f t="shared" si="6"/>
        <v>0</v>
      </c>
      <c r="K12" s="219">
        <f t="shared" si="6"/>
        <v>0</v>
      </c>
      <c r="L12" s="219">
        <f t="shared" si="6"/>
        <v>0</v>
      </c>
      <c r="M12" s="219">
        <f t="shared" si="6"/>
        <v>0</v>
      </c>
      <c r="N12" s="219">
        <f t="shared" si="1"/>
        <v>775.96821</v>
      </c>
    </row>
    <row r="13" spans="1:14" x14ac:dyDescent="0.25">
      <c r="A13" s="233" t="s">
        <v>338</v>
      </c>
      <c r="B13" s="227">
        <f t="shared" ref="B13:K13" si="7">IFERROR(B10/B7,0)</f>
        <v>6.6557063816368089E-3</v>
      </c>
      <c r="C13" s="227">
        <f t="shared" si="7"/>
        <v>5.9570390655580986E-2</v>
      </c>
      <c r="D13" s="227">
        <f t="shared" si="7"/>
        <v>7.4589277216050742E-2</v>
      </c>
      <c r="E13" s="227">
        <f t="shared" si="7"/>
        <v>3.6492874195936151E-2</v>
      </c>
      <c r="F13" s="227">
        <f t="shared" si="7"/>
        <v>5.7687543573054001E-2</v>
      </c>
      <c r="G13" s="227">
        <f t="shared" si="7"/>
        <v>6.018756309301794E-2</v>
      </c>
      <c r="H13" s="227">
        <f t="shared" si="7"/>
        <v>0</v>
      </c>
      <c r="I13" s="227">
        <f t="shared" si="7"/>
        <v>0</v>
      </c>
      <c r="J13" s="227">
        <f t="shared" si="7"/>
        <v>0</v>
      </c>
      <c r="K13" s="227">
        <f t="shared" si="7"/>
        <v>0</v>
      </c>
      <c r="L13" s="227">
        <f>IFERROR(L10/L7,0)</f>
        <v>0</v>
      </c>
      <c r="M13" s="227">
        <f>IFERROR(M10/M7,0)</f>
        <v>0</v>
      </c>
      <c r="N13" s="227">
        <f>IFERROR(N10/N7,0)</f>
        <v>4.8469610770068547E-2</v>
      </c>
    </row>
    <row r="14" spans="1:14" x14ac:dyDescent="0.25">
      <c r="A14" s="233" t="s">
        <v>337</v>
      </c>
      <c r="B14" s="188">
        <f t="shared" ref="B14:N14" si="8">B11/B8</f>
        <v>-1.3104056745251181E-2</v>
      </c>
      <c r="C14" s="188">
        <f t="shared" si="8"/>
        <v>2.236397025106837E-3</v>
      </c>
      <c r="D14" s="188">
        <f t="shared" si="8"/>
        <v>5.5778459061738395E-2</v>
      </c>
      <c r="E14" s="188">
        <f t="shared" si="8"/>
        <v>2.9381948844354518E-2</v>
      </c>
      <c r="F14" s="188">
        <f t="shared" si="8"/>
        <v>3.643557586709785E-2</v>
      </c>
      <c r="G14" s="188">
        <f t="shared" si="8"/>
        <v>4.3731481209500683E-2</v>
      </c>
      <c r="H14" s="188">
        <f t="shared" si="8"/>
        <v>0</v>
      </c>
      <c r="I14" s="188">
        <f t="shared" si="8"/>
        <v>0</v>
      </c>
      <c r="J14" s="188">
        <f t="shared" si="8"/>
        <v>0</v>
      </c>
      <c r="K14" s="188">
        <f t="shared" si="8"/>
        <v>0</v>
      </c>
      <c r="L14" s="188">
        <f t="shared" si="8"/>
        <v>0</v>
      </c>
      <c r="M14" s="188">
        <f t="shared" si="8"/>
        <v>0</v>
      </c>
      <c r="N14" s="188">
        <f t="shared" si="8"/>
        <v>1.1504231783522207E-2</v>
      </c>
    </row>
    <row r="15" spans="1:14" ht="13" x14ac:dyDescent="0.3">
      <c r="A15" s="222"/>
      <c r="B15" s="228"/>
    </row>
    <row r="16" spans="1:14" x14ac:dyDescent="0.25">
      <c r="B16" s="221"/>
      <c r="C16" s="221"/>
      <c r="D16" s="221"/>
      <c r="E16" s="221"/>
      <c r="F16" s="221"/>
      <c r="G16" s="221"/>
      <c r="H16" s="221"/>
      <c r="I16" s="221"/>
      <c r="J16" s="221"/>
      <c r="K16" s="221"/>
      <c r="L16" s="221"/>
      <c r="M16" s="221"/>
      <c r="N16" s="221"/>
    </row>
    <row r="17" spans="1:14" x14ac:dyDescent="0.25">
      <c r="B17" s="221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221"/>
    </row>
    <row r="18" spans="1:14" ht="13" x14ac:dyDescent="0.3">
      <c r="A18" s="222" t="s">
        <v>343</v>
      </c>
    </row>
    <row r="19" spans="1:14" ht="13" x14ac:dyDescent="0.3">
      <c r="B19" s="225" t="s">
        <v>85</v>
      </c>
      <c r="C19" s="225" t="s">
        <v>86</v>
      </c>
      <c r="D19" s="225" t="s">
        <v>87</v>
      </c>
      <c r="E19" s="225" t="s">
        <v>88</v>
      </c>
      <c r="F19" s="225" t="s">
        <v>89</v>
      </c>
      <c r="G19" s="225" t="s">
        <v>90</v>
      </c>
      <c r="H19" s="225" t="s">
        <v>91</v>
      </c>
      <c r="I19" s="225" t="s">
        <v>92</v>
      </c>
      <c r="J19" s="225" t="s">
        <v>93</v>
      </c>
      <c r="K19" s="225" t="s">
        <v>94</v>
      </c>
      <c r="L19" s="225" t="s">
        <v>95</v>
      </c>
      <c r="M19" s="225" t="s">
        <v>96</v>
      </c>
      <c r="N19" s="225" t="s">
        <v>339</v>
      </c>
    </row>
    <row r="20" spans="1:14" x14ac:dyDescent="0.25">
      <c r="A20" s="232" t="str">
        <f>"Vtas. "&amp;RIGHT(YEAR(MES_CIERRE),2)</f>
        <v>Vtas. 19</v>
      </c>
      <c r="B20" s="226">
        <v>1750.636</v>
      </c>
      <c r="C20" s="226">
        <v>1696.8789999999999</v>
      </c>
      <c r="D20" s="226">
        <v>1885.366</v>
      </c>
      <c r="E20" s="226">
        <v>862.14</v>
      </c>
      <c r="F20" s="226">
        <v>0</v>
      </c>
      <c r="G20" s="226">
        <v>0</v>
      </c>
      <c r="H20" s="226"/>
      <c r="I20" s="226"/>
      <c r="J20" s="226"/>
      <c r="K20" s="226"/>
      <c r="L20" s="226"/>
      <c r="M20" s="226"/>
      <c r="N20" s="226">
        <f t="shared" ref="N20:N25" si="9">SUM(B20:M20)</f>
        <v>6195.0209999999997</v>
      </c>
    </row>
    <row r="21" spans="1:14" x14ac:dyDescent="0.25">
      <c r="A21" s="232" t="str">
        <f>"Vtas. P. "&amp;RIGHT(YEAR(MES_CIERRE),2)</f>
        <v>Vtas. P. 19</v>
      </c>
      <c r="B21" s="218">
        <v>1685.348</v>
      </c>
      <c r="C21" s="218">
        <v>1630.4770000000001</v>
      </c>
      <c r="D21" s="218">
        <v>1976.4090000000001</v>
      </c>
      <c r="E21" s="218">
        <v>1801.87</v>
      </c>
      <c r="F21" s="218">
        <v>0</v>
      </c>
      <c r="G21" s="218">
        <v>0</v>
      </c>
      <c r="H21" s="218">
        <v>0</v>
      </c>
      <c r="I21" s="218">
        <v>1940.7899893499998</v>
      </c>
      <c r="J21" s="218">
        <v>1721.684205</v>
      </c>
      <c r="K21" s="218">
        <v>1841.4538251200001</v>
      </c>
      <c r="L21" s="218">
        <v>1716.7765254710121</v>
      </c>
      <c r="M21" s="218">
        <v>1798.9841949016704</v>
      </c>
      <c r="N21" s="218">
        <f t="shared" si="9"/>
        <v>16113.792739842682</v>
      </c>
    </row>
    <row r="22" spans="1:14" x14ac:dyDescent="0.25">
      <c r="A22" s="232" t="str">
        <f>"Vtas. "&amp;RIGHT(YEAR(MES_CIERRE)-1,2)</f>
        <v>Vtas. 18</v>
      </c>
      <c r="B22" s="226">
        <v>1645.085</v>
      </c>
      <c r="C22" s="226">
        <v>1592.0060000000001</v>
      </c>
      <c r="D22" s="226">
        <v>1974.1569999999999</v>
      </c>
      <c r="E22" s="226">
        <v>1744.587</v>
      </c>
      <c r="F22" s="226">
        <v>0</v>
      </c>
      <c r="G22" s="226">
        <v>0</v>
      </c>
      <c r="H22" s="226">
        <v>0</v>
      </c>
      <c r="I22" s="226">
        <v>1885.1558099999997</v>
      </c>
      <c r="J22" s="226">
        <v>1660.3848199999998</v>
      </c>
      <c r="K22" s="226">
        <v>1768.558</v>
      </c>
      <c r="L22" s="226">
        <v>1681.1880000000001</v>
      </c>
      <c r="M22" s="226">
        <v>1786.28</v>
      </c>
      <c r="N22" s="226">
        <f>SUM(B22:M22)</f>
        <v>15737.40163</v>
      </c>
    </row>
    <row r="23" spans="1:14" x14ac:dyDescent="0.25">
      <c r="A23" s="232" t="str">
        <f>"UAFIR FL. "&amp;RIGHT(YEAR(MES_CIERRE),2)</f>
        <v>UAFIR FL. 19</v>
      </c>
      <c r="B23" s="218">
        <v>44.685999999999858</v>
      </c>
      <c r="C23" s="218">
        <v>77.590999999999838</v>
      </c>
      <c r="D23" s="218">
        <v>107.12899999999985</v>
      </c>
      <c r="E23" s="218">
        <v>-3.3320000000000558</v>
      </c>
      <c r="F23" s="218">
        <v>-20.979000000000003</v>
      </c>
      <c r="G23" s="218">
        <v>-8.9507099999999991</v>
      </c>
      <c r="H23" s="218"/>
      <c r="I23" s="218"/>
      <c r="J23" s="218"/>
      <c r="K23" s="218"/>
      <c r="L23" s="218"/>
      <c r="M23" s="218"/>
      <c r="N23" s="218">
        <f t="shared" si="9"/>
        <v>196.1442899999995</v>
      </c>
    </row>
    <row r="24" spans="1:14" x14ac:dyDescent="0.25">
      <c r="A24" s="232" t="str">
        <f>"UAFIR FL. P. "&amp;RIGHT(YEAR(MES_CIERRE),2)</f>
        <v>UAFIR FL. P. 19</v>
      </c>
      <c r="B24" s="218">
        <v>-49.666999999999931</v>
      </c>
      <c r="C24" s="218">
        <v>-20.815999999999931</v>
      </c>
      <c r="D24" s="218">
        <v>87.116000000000199</v>
      </c>
      <c r="E24" s="218">
        <v>45.581999999999866</v>
      </c>
      <c r="F24" s="218">
        <v>-20.979000000000003</v>
      </c>
      <c r="G24" s="218">
        <v>-8.9507099999999991</v>
      </c>
      <c r="H24" s="218"/>
      <c r="I24" s="218"/>
      <c r="J24" s="218"/>
      <c r="K24" s="218"/>
      <c r="L24" s="218"/>
      <c r="M24" s="218"/>
      <c r="N24" s="218">
        <f t="shared" si="9"/>
        <v>32.285290000000202</v>
      </c>
    </row>
    <row r="25" spans="1:14" x14ac:dyDescent="0.25">
      <c r="A25" s="232" t="str">
        <f>"S. Deuda "&amp;RIGHT(YEAR(MES_CIERRE),2)</f>
        <v>S. Deuda 19</v>
      </c>
      <c r="B25" s="219">
        <v>57.123999999999995</v>
      </c>
      <c r="C25" s="219">
        <v>57.779730000000001</v>
      </c>
      <c r="D25" s="219">
        <v>57.253509999999999</v>
      </c>
      <c r="E25" s="219">
        <v>28.731999999999999</v>
      </c>
      <c r="F25" s="219">
        <v>0</v>
      </c>
      <c r="G25" s="219">
        <v>0</v>
      </c>
      <c r="H25" s="219"/>
      <c r="I25" s="219"/>
      <c r="J25" s="219"/>
      <c r="K25" s="219"/>
      <c r="L25" s="219"/>
      <c r="M25" s="219"/>
      <c r="N25" s="219">
        <f t="shared" si="9"/>
        <v>200.88924</v>
      </c>
    </row>
    <row r="26" spans="1:14" x14ac:dyDescent="0.25">
      <c r="A26" s="232" t="s">
        <v>338</v>
      </c>
      <c r="B26" s="227">
        <f>IFERROR(B23/B20,0)</f>
        <v>2.5525580417630998E-2</v>
      </c>
      <c r="C26" s="227">
        <f t="shared" ref="C26:N26" si="10">IFERROR(C23/C20,0)</f>
        <v>4.5725711733128789E-2</v>
      </c>
      <c r="D26" s="227">
        <f t="shared" si="10"/>
        <v>5.6821328060440171E-2</v>
      </c>
      <c r="E26" s="227">
        <f t="shared" si="10"/>
        <v>-3.8648015403531396E-3</v>
      </c>
      <c r="F26" s="227">
        <f t="shared" si="10"/>
        <v>0</v>
      </c>
      <c r="G26" s="227">
        <f t="shared" si="10"/>
        <v>0</v>
      </c>
      <c r="H26" s="227">
        <f t="shared" si="10"/>
        <v>0</v>
      </c>
      <c r="I26" s="227">
        <f t="shared" si="10"/>
        <v>0</v>
      </c>
      <c r="J26" s="227">
        <f t="shared" si="10"/>
        <v>0</v>
      </c>
      <c r="K26" s="227">
        <f>IFERROR(K23/K20,0)</f>
        <v>0</v>
      </c>
      <c r="L26" s="227">
        <f t="shared" si="10"/>
        <v>0</v>
      </c>
      <c r="M26" s="227">
        <f t="shared" si="10"/>
        <v>0</v>
      </c>
      <c r="N26" s="227">
        <f t="shared" si="10"/>
        <v>3.1661602115634395E-2</v>
      </c>
    </row>
    <row r="27" spans="1:14" x14ac:dyDescent="0.25">
      <c r="A27" s="232" t="s">
        <v>337</v>
      </c>
      <c r="B27" s="188">
        <f t="shared" ref="B27:N27" si="11">B24/B21</f>
        <v>-2.9469878031124688E-2</v>
      </c>
      <c r="C27" s="188">
        <f t="shared" si="11"/>
        <v>-1.2766816091241967E-2</v>
      </c>
      <c r="D27" s="188">
        <f t="shared" si="11"/>
        <v>4.4077921118553999E-2</v>
      </c>
      <c r="E27" s="188">
        <f t="shared" si="11"/>
        <v>2.5297052506562553E-2</v>
      </c>
      <c r="F27" s="188" t="e">
        <f t="shared" si="11"/>
        <v>#DIV/0!</v>
      </c>
      <c r="G27" s="188" t="e">
        <f t="shared" si="11"/>
        <v>#DIV/0!</v>
      </c>
      <c r="H27" s="188" t="e">
        <f t="shared" si="11"/>
        <v>#DIV/0!</v>
      </c>
      <c r="I27" s="188">
        <f t="shared" si="11"/>
        <v>0</v>
      </c>
      <c r="J27" s="188">
        <f t="shared" si="11"/>
        <v>0</v>
      </c>
      <c r="K27" s="188">
        <f>K24/K21</f>
        <v>0</v>
      </c>
      <c r="L27" s="188">
        <f t="shared" si="11"/>
        <v>0</v>
      </c>
      <c r="M27" s="188">
        <f t="shared" si="11"/>
        <v>0</v>
      </c>
      <c r="N27" s="188">
        <f t="shared" si="11"/>
        <v>2.0035810638281428E-3</v>
      </c>
    </row>
    <row r="29" spans="1:14" x14ac:dyDescent="0.25">
      <c r="B29" s="221"/>
      <c r="C29" s="221"/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</row>
    <row r="30" spans="1:14" ht="13" x14ac:dyDescent="0.3">
      <c r="A30" s="222"/>
      <c r="B30" s="229"/>
      <c r="C30" s="221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</row>
    <row r="31" spans="1:14" ht="13" x14ac:dyDescent="0.3">
      <c r="A31" s="222" t="s">
        <v>342</v>
      </c>
      <c r="B31" s="223"/>
      <c r="C31" s="224"/>
      <c r="D31" s="223"/>
      <c r="E31" s="223"/>
      <c r="F31" s="223"/>
      <c r="G31" s="223"/>
      <c r="H31" s="223"/>
      <c r="I31" s="223"/>
      <c r="J31" s="223"/>
      <c r="K31" s="223"/>
      <c r="L31" s="223"/>
      <c r="M31" s="223"/>
      <c r="N31" s="223"/>
    </row>
    <row r="32" spans="1:14" ht="13" x14ac:dyDescent="0.3">
      <c r="B32" s="225" t="s">
        <v>85</v>
      </c>
      <c r="C32" s="225" t="s">
        <v>86</v>
      </c>
      <c r="D32" s="225" t="s">
        <v>87</v>
      </c>
      <c r="E32" s="225" t="s">
        <v>88</v>
      </c>
      <c r="F32" s="225" t="s">
        <v>89</v>
      </c>
      <c r="G32" s="225" t="s">
        <v>90</v>
      </c>
      <c r="H32" s="225" t="s">
        <v>91</v>
      </c>
      <c r="I32" s="225" t="s">
        <v>92</v>
      </c>
      <c r="J32" s="225" t="s">
        <v>93</v>
      </c>
      <c r="K32" s="225" t="s">
        <v>94</v>
      </c>
      <c r="L32" s="225" t="s">
        <v>95</v>
      </c>
      <c r="M32" s="225" t="s">
        <v>96</v>
      </c>
      <c r="N32" s="225" t="s">
        <v>339</v>
      </c>
    </row>
    <row r="33" spans="1:14" x14ac:dyDescent="0.25">
      <c r="A33" s="232" t="str">
        <f>"Vtas. "&amp;RIGHT(YEAR(MES_CIERRE),2)</f>
        <v>Vtas. 19</v>
      </c>
      <c r="B33" s="226">
        <v>579.04999999999995</v>
      </c>
      <c r="C33" s="226">
        <v>581.85400000000004</v>
      </c>
      <c r="D33" s="226">
        <v>655.04700000000003</v>
      </c>
      <c r="E33" s="226">
        <v>611.44500000000005</v>
      </c>
      <c r="F33" s="226">
        <v>637.29499999999996</v>
      </c>
      <c r="G33" s="226">
        <v>617.27277000000004</v>
      </c>
      <c r="H33" s="226"/>
      <c r="I33" s="226"/>
      <c r="J33" s="226"/>
      <c r="K33" s="226"/>
      <c r="L33" s="226"/>
      <c r="M33" s="226"/>
      <c r="N33" s="226">
        <f t="shared" ref="N33:N38" si="12">SUM(B33:M33)</f>
        <v>3681.9637700000003</v>
      </c>
    </row>
    <row r="34" spans="1:14" x14ac:dyDescent="0.25">
      <c r="A34" s="232" t="str">
        <f>"Vtas. P. "&amp;RIGHT(YEAR(MES_CIERRE),2)</f>
        <v>Vtas. P. 19</v>
      </c>
      <c r="B34" s="218">
        <v>604.61400000000003</v>
      </c>
      <c r="C34" s="218">
        <v>609.41300000000001</v>
      </c>
      <c r="D34" s="218">
        <v>723.60299999999995</v>
      </c>
      <c r="E34" s="218">
        <v>660.66899999999998</v>
      </c>
      <c r="F34" s="218">
        <v>694.25199999999995</v>
      </c>
      <c r="G34" s="218">
        <v>692.15899999999999</v>
      </c>
      <c r="H34" s="218">
        <v>692.15899999999999</v>
      </c>
      <c r="I34" s="218">
        <v>696.92245000000003</v>
      </c>
      <c r="J34" s="218">
        <v>646.8626999999999</v>
      </c>
      <c r="K34" s="218">
        <v>651.31947776449988</v>
      </c>
      <c r="L34" s="218">
        <v>614.8623300304746</v>
      </c>
      <c r="M34" s="218">
        <v>619.55943033352776</v>
      </c>
      <c r="N34" s="218">
        <f t="shared" si="12"/>
        <v>7906.3953881285006</v>
      </c>
    </row>
    <row r="35" spans="1:14" x14ac:dyDescent="0.25">
      <c r="A35" s="232" t="str">
        <f>"Vtas. "&amp;RIGHT(YEAR(MES_CIERRE)-1,2)</f>
        <v>Vtas. 18</v>
      </c>
      <c r="B35" s="226">
        <v>575.39300000000003</v>
      </c>
      <c r="C35" s="226">
        <v>592.32500000000005</v>
      </c>
      <c r="D35" s="226">
        <v>704.00900000000001</v>
      </c>
      <c r="E35" s="226">
        <v>634.43899999999996</v>
      </c>
      <c r="F35" s="226">
        <v>658.94100000000003</v>
      </c>
      <c r="G35" s="226">
        <v>657.41998999999998</v>
      </c>
      <c r="H35" s="226">
        <v>657.41998999999998</v>
      </c>
      <c r="I35" s="226">
        <v>664.33663000000001</v>
      </c>
      <c r="J35" s="226">
        <v>617.20121000000006</v>
      </c>
      <c r="K35" s="226">
        <v>615.48400000000004</v>
      </c>
      <c r="L35" s="226">
        <v>589.61800000000005</v>
      </c>
      <c r="M35" s="226">
        <v>619.06700000000001</v>
      </c>
      <c r="N35" s="218">
        <f t="shared" si="12"/>
        <v>7585.6538200000005</v>
      </c>
    </row>
    <row r="36" spans="1:14" x14ac:dyDescent="0.25">
      <c r="A36" s="232" t="str">
        <f>"UAFIR FL. "&amp;RIGHT(YEAR(MES_CIERRE),2)</f>
        <v>UAFIR FL. 19</v>
      </c>
      <c r="B36" s="218">
        <v>-43.849000000000068</v>
      </c>
      <c r="C36" s="218">
        <v>-3.8289999999999731</v>
      </c>
      <c r="D36" s="218">
        <v>36.03900000000008</v>
      </c>
      <c r="E36" s="218">
        <v>26.434000000000061</v>
      </c>
      <c r="F36" s="218">
        <v>4.4179999999999273</v>
      </c>
      <c r="G36" s="218">
        <v>25.253749999999958</v>
      </c>
      <c r="H36" s="218"/>
      <c r="I36" s="218"/>
      <c r="J36" s="218"/>
      <c r="K36" s="218"/>
      <c r="L36" s="218"/>
      <c r="M36" s="218"/>
      <c r="N36" s="218">
        <f t="shared" si="12"/>
        <v>44.46674999999999</v>
      </c>
    </row>
    <row r="37" spans="1:14" x14ac:dyDescent="0.25">
      <c r="A37" s="232" t="str">
        <f>"UAFIR FL. P. "&amp;RIGHT(YEAR(MES_CIERRE),2)</f>
        <v>UAFIR FL. P. 19</v>
      </c>
      <c r="B37" s="218">
        <v>-22.359000000000002</v>
      </c>
      <c r="C37" s="218">
        <v>-12.242999999999959</v>
      </c>
      <c r="D37" s="218">
        <v>33.280999999999928</v>
      </c>
      <c r="E37" s="218">
        <v>7.4079999999999364</v>
      </c>
      <c r="F37" s="218">
        <v>17.565999999999953</v>
      </c>
      <c r="G37" s="218">
        <v>16.371999999999936</v>
      </c>
      <c r="H37" s="218"/>
      <c r="I37" s="218"/>
      <c r="J37" s="218"/>
      <c r="K37" s="218"/>
      <c r="L37" s="218"/>
      <c r="M37" s="218"/>
      <c r="N37" s="218">
        <f t="shared" si="12"/>
        <v>40.024999999999793</v>
      </c>
    </row>
    <row r="38" spans="1:14" x14ac:dyDescent="0.25">
      <c r="A38" s="232" t="str">
        <f>"S. Deuda "&amp;RIGHT(YEAR(MES_CIERRE),2)</f>
        <v>S. Deuda 19</v>
      </c>
      <c r="B38" s="219">
        <v>34.11</v>
      </c>
      <c r="C38" s="219">
        <v>34.000300000000003</v>
      </c>
      <c r="D38" s="219">
        <v>33.999639999999999</v>
      </c>
      <c r="E38" s="219">
        <v>34.000389999999996</v>
      </c>
      <c r="F38" s="219">
        <v>32.109000000000002</v>
      </c>
      <c r="G38" s="219">
        <v>0</v>
      </c>
      <c r="H38" s="219"/>
      <c r="I38" s="219"/>
      <c r="J38" s="219"/>
      <c r="K38" s="219"/>
      <c r="L38" s="219"/>
      <c r="M38" s="219"/>
      <c r="N38" s="219">
        <f t="shared" si="12"/>
        <v>168.21932999999999</v>
      </c>
    </row>
    <row r="39" spans="1:14" x14ac:dyDescent="0.25">
      <c r="A39" s="232" t="s">
        <v>338</v>
      </c>
      <c r="B39" s="227">
        <f>IFERROR(B36/B33,0)</f>
        <v>-7.5725757706588501E-2</v>
      </c>
      <c r="C39" s="227">
        <f t="shared" ref="C39:N39" si="13">IFERROR(C36/C33,0)</f>
        <v>-6.5806886263563933E-3</v>
      </c>
      <c r="D39" s="227">
        <f t="shared" si="13"/>
        <v>5.5017426230484341E-2</v>
      </c>
      <c r="E39" s="227">
        <f t="shared" si="13"/>
        <v>4.3232015962188029E-2</v>
      </c>
      <c r="F39" s="227">
        <f t="shared" si="13"/>
        <v>6.9324253289291893E-3</v>
      </c>
      <c r="G39" s="227">
        <f t="shared" si="13"/>
        <v>4.0911816019358761E-2</v>
      </c>
      <c r="H39" s="227">
        <f t="shared" si="13"/>
        <v>0</v>
      </c>
      <c r="I39" s="227">
        <f t="shared" si="13"/>
        <v>0</v>
      </c>
      <c r="J39" s="227">
        <f t="shared" si="13"/>
        <v>0</v>
      </c>
      <c r="K39" s="227">
        <f t="shared" si="13"/>
        <v>0</v>
      </c>
      <c r="L39" s="227">
        <f t="shared" si="13"/>
        <v>0</v>
      </c>
      <c r="M39" s="227">
        <f t="shared" si="13"/>
        <v>0</v>
      </c>
      <c r="N39" s="227">
        <f t="shared" si="13"/>
        <v>1.2076911337995046E-2</v>
      </c>
    </row>
    <row r="40" spans="1:14" x14ac:dyDescent="0.25">
      <c r="A40" s="232" t="s">
        <v>337</v>
      </c>
      <c r="B40" s="188">
        <f>IFERROR(B37/B34,0)</f>
        <v>-3.6980619039585591E-2</v>
      </c>
      <c r="C40" s="188">
        <f t="shared" ref="C40:N40" si="14">IFERROR(C37/C34,0)</f>
        <v>-2.0089824142248292E-2</v>
      </c>
      <c r="D40" s="188">
        <f t="shared" si="14"/>
        <v>4.5993452210673434E-2</v>
      </c>
      <c r="E40" s="188">
        <f t="shared" si="14"/>
        <v>1.1212876644734257E-2</v>
      </c>
      <c r="F40" s="188">
        <f t="shared" si="14"/>
        <v>2.5302051704568302E-2</v>
      </c>
      <c r="G40" s="188">
        <f t="shared" si="14"/>
        <v>2.3653524695915154E-2</v>
      </c>
      <c r="H40" s="188">
        <f t="shared" si="14"/>
        <v>0</v>
      </c>
      <c r="I40" s="188">
        <f t="shared" si="14"/>
        <v>0</v>
      </c>
      <c r="J40" s="188">
        <f t="shared" si="14"/>
        <v>0</v>
      </c>
      <c r="K40" s="188">
        <f t="shared" si="14"/>
        <v>0</v>
      </c>
      <c r="L40" s="188">
        <f t="shared" si="14"/>
        <v>0</v>
      </c>
      <c r="M40" s="188">
        <f t="shared" si="14"/>
        <v>0</v>
      </c>
      <c r="N40" s="188">
        <f t="shared" si="14"/>
        <v>5.0623575011309917E-3</v>
      </c>
    </row>
    <row r="42" spans="1:14" x14ac:dyDescent="0.25">
      <c r="B42" s="221"/>
      <c r="C42" s="221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</row>
    <row r="43" spans="1:14" x14ac:dyDescent="0.25">
      <c r="I43" s="220" t="s">
        <v>181</v>
      </c>
    </row>
    <row r="44" spans="1:14" ht="13" x14ac:dyDescent="0.3">
      <c r="A44" s="222" t="s">
        <v>341</v>
      </c>
      <c r="B44" s="223"/>
      <c r="C44" s="224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</row>
    <row r="45" spans="1:14" ht="13" x14ac:dyDescent="0.3">
      <c r="B45" s="225" t="s">
        <v>85</v>
      </c>
      <c r="C45" s="225" t="s">
        <v>86</v>
      </c>
      <c r="D45" s="225" t="s">
        <v>87</v>
      </c>
      <c r="E45" s="225" t="s">
        <v>88</v>
      </c>
      <c r="F45" s="225" t="s">
        <v>89</v>
      </c>
      <c r="G45" s="225" t="s">
        <v>90</v>
      </c>
      <c r="H45" s="225" t="s">
        <v>91</v>
      </c>
      <c r="I45" s="225" t="s">
        <v>92</v>
      </c>
      <c r="J45" s="225" t="s">
        <v>93</v>
      </c>
      <c r="K45" s="225" t="s">
        <v>94</v>
      </c>
      <c r="L45" s="225" t="s">
        <v>95</v>
      </c>
      <c r="M45" s="225" t="s">
        <v>96</v>
      </c>
      <c r="N45" s="225" t="s">
        <v>339</v>
      </c>
    </row>
    <row r="46" spans="1:14" x14ac:dyDescent="0.25">
      <c r="A46" s="232" t="str">
        <f>"Vtas. "&amp;RIGHT(YEAR(MES_CIERRE),2)</f>
        <v>Vtas. 19</v>
      </c>
      <c r="B46" s="226">
        <v>272.04000000000002</v>
      </c>
      <c r="C46" s="226">
        <v>289.18099999999998</v>
      </c>
      <c r="D46" s="226">
        <v>323.149</v>
      </c>
      <c r="E46" s="226">
        <v>298.74099999999999</v>
      </c>
      <c r="F46" s="226">
        <v>306.56400000000002</v>
      </c>
      <c r="G46" s="226">
        <v>290.98833000000002</v>
      </c>
      <c r="H46" s="226"/>
      <c r="I46" s="226"/>
      <c r="J46" s="226"/>
      <c r="K46" s="226"/>
      <c r="L46" s="226"/>
      <c r="M46" s="226"/>
      <c r="N46" s="226">
        <f t="shared" ref="N46:N51" si="15">SUM(B46:M46)</f>
        <v>1780.6633299999999</v>
      </c>
    </row>
    <row r="47" spans="1:14" x14ac:dyDescent="0.25">
      <c r="A47" s="232" t="str">
        <f>"Vtas. P. "&amp;RIGHT(YEAR(MES_CIERRE),2)</f>
        <v>Vtas. P. 19</v>
      </c>
      <c r="B47" s="218">
        <v>285.48500000000001</v>
      </c>
      <c r="C47" s="218">
        <v>288.41399999999999</v>
      </c>
      <c r="D47" s="218">
        <v>334.673</v>
      </c>
      <c r="E47" s="218">
        <v>305.74599999999998</v>
      </c>
      <c r="F47" s="218">
        <v>321.726</v>
      </c>
      <c r="G47" s="218">
        <v>300.29399999999998</v>
      </c>
      <c r="H47" s="218">
        <v>300.29399999999998</v>
      </c>
      <c r="I47" s="218">
        <v>315.12936000000002</v>
      </c>
      <c r="J47" s="218">
        <v>292.81928000000005</v>
      </c>
      <c r="K47" s="218">
        <v>302.01518948149999</v>
      </c>
      <c r="L47" s="218">
        <v>288.58757056849453</v>
      </c>
      <c r="M47" s="218">
        <v>302.86672025903079</v>
      </c>
      <c r="N47" s="218">
        <f t="shared" si="15"/>
        <v>3638.0501203090248</v>
      </c>
    </row>
    <row r="48" spans="1:14" x14ac:dyDescent="0.25">
      <c r="A48" s="232" t="str">
        <f>"Vtas. "&amp;RIGHT(YEAR(MES_CIERRE)-1,2)</f>
        <v>Vtas. 18</v>
      </c>
      <c r="B48" s="226">
        <v>274.04000000000002</v>
      </c>
      <c r="C48" s="226">
        <v>280.08999999999997</v>
      </c>
      <c r="D48" s="226">
        <v>328.03899999999999</v>
      </c>
      <c r="E48" s="226">
        <v>294.45999999999998</v>
      </c>
      <c r="F48" s="226">
        <v>308.786</v>
      </c>
      <c r="G48" s="226">
        <v>294.54413</v>
      </c>
      <c r="H48" s="226">
        <v>294.54413</v>
      </c>
      <c r="I48" s="226">
        <v>302.59249999999997</v>
      </c>
      <c r="J48" s="226">
        <v>282.31452000000002</v>
      </c>
      <c r="K48" s="226">
        <v>287.55599999999998</v>
      </c>
      <c r="L48" s="226">
        <v>284.49599999999998</v>
      </c>
      <c r="M48" s="226">
        <v>321.27199999999999</v>
      </c>
      <c r="N48" s="218">
        <f t="shared" si="15"/>
        <v>3552.7342800000001</v>
      </c>
    </row>
    <row r="49" spans="1:14" x14ac:dyDescent="0.25">
      <c r="A49" s="232" t="str">
        <f>"UAFIR FL. "&amp;RIGHT(YEAR(MES_CIERRE),2)</f>
        <v>UAFIR FL. 19</v>
      </c>
      <c r="B49" s="218">
        <v>-23.789999999999992</v>
      </c>
      <c r="C49" s="218">
        <v>1.4149999999999641</v>
      </c>
      <c r="D49" s="218">
        <v>10.959000000000003</v>
      </c>
      <c r="E49" s="218">
        <v>-1.3190000000000164</v>
      </c>
      <c r="F49" s="218">
        <v>4.0260000000000113</v>
      </c>
      <c r="G49" s="218">
        <v>-3.6945899999999643</v>
      </c>
      <c r="H49" s="218"/>
      <c r="I49" s="218"/>
      <c r="J49" s="218"/>
      <c r="K49" s="218"/>
      <c r="L49" s="218"/>
      <c r="M49" s="218"/>
      <c r="N49" s="218">
        <f t="shared" si="15"/>
        <v>-12.403589999999996</v>
      </c>
    </row>
    <row r="50" spans="1:14" x14ac:dyDescent="0.25">
      <c r="A50" s="232" t="str">
        <f>"UAFIR FL. P. "&amp;RIGHT(YEAR(MES_CIERRE),2)</f>
        <v>UAFIR FL. P. 19</v>
      </c>
      <c r="B50" s="218">
        <v>-30.515000000000015</v>
      </c>
      <c r="C50" s="218">
        <v>-25.974000000000046</v>
      </c>
      <c r="D50" s="218">
        <v>-5.7930000000000064</v>
      </c>
      <c r="E50" s="218">
        <v>-24.534999999999997</v>
      </c>
      <c r="F50" s="218">
        <v>-17.27600000000001</v>
      </c>
      <c r="G50" s="218">
        <v>-22.271000000000015</v>
      </c>
      <c r="H50" s="218"/>
      <c r="I50" s="218"/>
      <c r="J50" s="218"/>
      <c r="K50" s="218"/>
      <c r="L50" s="218"/>
      <c r="M50" s="218"/>
      <c r="N50" s="218">
        <f t="shared" si="15"/>
        <v>-126.36400000000009</v>
      </c>
    </row>
    <row r="51" spans="1:14" x14ac:dyDescent="0.25">
      <c r="A51" s="232" t="str">
        <f>"S. Deuda "&amp;RIGHT(YEAR(MES_CIERRE),2)</f>
        <v>S. Deuda 19</v>
      </c>
      <c r="B51" s="219">
        <v>1.5</v>
      </c>
      <c r="C51" s="219">
        <v>1.49973</v>
      </c>
      <c r="D51" s="219">
        <v>1.5004400000000002</v>
      </c>
      <c r="E51" s="219">
        <v>1.5003200000000001</v>
      </c>
      <c r="F51" s="219">
        <v>1.103</v>
      </c>
      <c r="G51" s="219">
        <v>0</v>
      </c>
      <c r="H51" s="219"/>
      <c r="I51" s="219"/>
      <c r="J51" s="219"/>
      <c r="K51" s="219"/>
      <c r="L51" s="219"/>
      <c r="M51" s="219"/>
      <c r="N51" s="219">
        <f t="shared" si="15"/>
        <v>7.1034900000000007</v>
      </c>
    </row>
    <row r="52" spans="1:14" x14ac:dyDescent="0.25">
      <c r="A52" s="232" t="s">
        <v>338</v>
      </c>
      <c r="B52" s="227">
        <f>IFERROR(B49/B46,0)</f>
        <v>-8.745037494486102E-2</v>
      </c>
      <c r="C52" s="227">
        <f t="shared" ref="C52:N52" si="16">IFERROR(C49/C46,0)</f>
        <v>4.8931292166496561E-3</v>
      </c>
      <c r="D52" s="227">
        <f t="shared" si="16"/>
        <v>3.391314842379213E-2</v>
      </c>
      <c r="E52" s="227">
        <f t="shared" si="16"/>
        <v>-4.415195771588153E-3</v>
      </c>
      <c r="F52" s="227">
        <f t="shared" si="16"/>
        <v>1.3132657454887108E-2</v>
      </c>
      <c r="G52" s="227">
        <f t="shared" si="16"/>
        <v>-1.2696694743737538E-2</v>
      </c>
      <c r="H52" s="227">
        <f t="shared" si="16"/>
        <v>0</v>
      </c>
      <c r="I52" s="227">
        <f t="shared" si="16"/>
        <v>0</v>
      </c>
      <c r="J52" s="227">
        <f t="shared" si="16"/>
        <v>0</v>
      </c>
      <c r="K52" s="227">
        <f t="shared" si="16"/>
        <v>0</v>
      </c>
      <c r="L52" s="227">
        <f t="shared" si="16"/>
        <v>0</v>
      </c>
      <c r="M52" s="227">
        <f t="shared" si="16"/>
        <v>0</v>
      </c>
      <c r="N52" s="227">
        <f t="shared" si="16"/>
        <v>-6.9657131648799648E-3</v>
      </c>
    </row>
    <row r="53" spans="1:14" x14ac:dyDescent="0.25">
      <c r="A53" s="232" t="s">
        <v>337</v>
      </c>
      <c r="B53" s="188">
        <f>IFERROR(B50/B47,0)</f>
        <v>-0.10688827784296903</v>
      </c>
      <c r="C53" s="188">
        <f t="shared" ref="C53:N53" si="17">IFERROR(C50/C47,0)</f>
        <v>-9.0058041565250116E-2</v>
      </c>
      <c r="D53" s="188">
        <f t="shared" si="17"/>
        <v>-1.7309433387216796E-2</v>
      </c>
      <c r="E53" s="188">
        <f t="shared" si="17"/>
        <v>-8.0246348276019952E-2</v>
      </c>
      <c r="F53" s="188">
        <f t="shared" si="17"/>
        <v>-5.3697867129172058E-2</v>
      </c>
      <c r="G53" s="188">
        <f t="shared" si="17"/>
        <v>-7.4163985960425505E-2</v>
      </c>
      <c r="H53" s="188">
        <f t="shared" si="17"/>
        <v>0</v>
      </c>
      <c r="I53" s="188">
        <f t="shared" si="17"/>
        <v>0</v>
      </c>
      <c r="J53" s="188">
        <f t="shared" si="17"/>
        <v>0</v>
      </c>
      <c r="K53" s="188">
        <f t="shared" si="17"/>
        <v>0</v>
      </c>
      <c r="L53" s="188">
        <f t="shared" si="17"/>
        <v>0</v>
      </c>
      <c r="M53" s="188">
        <f t="shared" si="17"/>
        <v>0</v>
      </c>
      <c r="N53" s="188">
        <f t="shared" si="17"/>
        <v>-3.4733990962517697E-2</v>
      </c>
    </row>
    <row r="55" spans="1:14" x14ac:dyDescent="0.25">
      <c r="B55" s="221"/>
      <c r="C55" s="221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</row>
    <row r="57" spans="1:14" ht="13" x14ac:dyDescent="0.3">
      <c r="A57" s="222" t="s">
        <v>329</v>
      </c>
      <c r="B57" s="223"/>
      <c r="C57" s="224"/>
      <c r="D57" s="223"/>
      <c r="E57" s="223"/>
      <c r="F57" s="223"/>
      <c r="G57" s="223"/>
      <c r="H57" s="223"/>
      <c r="I57" s="223"/>
      <c r="J57" s="223"/>
      <c r="K57" s="223"/>
      <c r="L57" s="223"/>
      <c r="M57" s="223"/>
      <c r="N57" s="223"/>
    </row>
    <row r="58" spans="1:14" ht="13" x14ac:dyDescent="0.3">
      <c r="B58" s="225" t="s">
        <v>85</v>
      </c>
      <c r="C58" s="225" t="s">
        <v>86</v>
      </c>
      <c r="D58" s="225" t="s">
        <v>87</v>
      </c>
      <c r="E58" s="225" t="s">
        <v>88</v>
      </c>
      <c r="F58" s="225" t="s">
        <v>89</v>
      </c>
      <c r="G58" s="225" t="s">
        <v>90</v>
      </c>
      <c r="H58" s="225" t="s">
        <v>91</v>
      </c>
      <c r="I58" s="225" t="s">
        <v>92</v>
      </c>
      <c r="J58" s="225" t="s">
        <v>93</v>
      </c>
      <c r="K58" s="225" t="s">
        <v>94</v>
      </c>
      <c r="L58" s="225" t="s">
        <v>95</v>
      </c>
      <c r="M58" s="225" t="s">
        <v>96</v>
      </c>
      <c r="N58" s="225" t="s">
        <v>339</v>
      </c>
    </row>
    <row r="59" spans="1:14" x14ac:dyDescent="0.25">
      <c r="A59" s="232" t="str">
        <f>"Vtas. "&amp;RIGHT(YEAR(MES_CIERRE),2)</f>
        <v>Vtas. 19</v>
      </c>
      <c r="B59" s="226">
        <v>219.16900000000001</v>
      </c>
      <c r="C59" s="226">
        <v>235.47900000000001</v>
      </c>
      <c r="D59" s="226">
        <v>262.63299999999998</v>
      </c>
      <c r="E59" s="226">
        <v>226.75200000000001</v>
      </c>
      <c r="F59" s="226">
        <v>244.696</v>
      </c>
      <c r="G59" s="226">
        <v>219.20205999999999</v>
      </c>
      <c r="H59" s="226"/>
      <c r="I59" s="226"/>
      <c r="J59" s="226"/>
      <c r="K59" s="226"/>
      <c r="L59" s="226"/>
      <c r="M59" s="226"/>
      <c r="N59" s="226">
        <f t="shared" ref="N59:N64" si="18">SUM(B59:M59)</f>
        <v>1407.9310599999999</v>
      </c>
    </row>
    <row r="60" spans="1:14" x14ac:dyDescent="0.25">
      <c r="A60" s="232" t="str">
        <f>"Vtas. P. "&amp;RIGHT(YEAR(MES_CIERRE),2)</f>
        <v>Vtas. P. 19</v>
      </c>
      <c r="B60" s="218">
        <v>252.70099999999999</v>
      </c>
      <c r="C60" s="218">
        <v>232.50700000000001</v>
      </c>
      <c r="D60" s="218">
        <v>269.31700000000001</v>
      </c>
      <c r="E60" s="218">
        <v>243.25200000000001</v>
      </c>
      <c r="F60" s="218">
        <v>261.27100000000002</v>
      </c>
      <c r="G60" s="218">
        <v>258.33199999999999</v>
      </c>
      <c r="H60" s="218">
        <v>258.33199999999999</v>
      </c>
      <c r="I60" s="218">
        <v>239.48118000000002</v>
      </c>
      <c r="J60" s="218">
        <v>244.56113999999999</v>
      </c>
      <c r="K60" s="218">
        <v>255.20118934999996</v>
      </c>
      <c r="L60" s="218">
        <v>245.30999223243094</v>
      </c>
      <c r="M60" s="218">
        <v>288.31237809831987</v>
      </c>
      <c r="N60" s="218">
        <f t="shared" si="18"/>
        <v>3048.5778796807508</v>
      </c>
    </row>
    <row r="61" spans="1:14" x14ac:dyDescent="0.25">
      <c r="A61" s="232" t="str">
        <f>"Vtas. "&amp;RIGHT(YEAR(MES_CIERRE)-1,2)</f>
        <v>Vtas. 18</v>
      </c>
      <c r="B61" s="226">
        <v>250.25800000000001</v>
      </c>
      <c r="C61" s="226">
        <v>231.84800000000001</v>
      </c>
      <c r="D61" s="226">
        <v>263.733</v>
      </c>
      <c r="E61" s="226">
        <v>240.624</v>
      </c>
      <c r="F61" s="226">
        <v>247.77500000000001</v>
      </c>
      <c r="G61" s="226">
        <v>252.08104</v>
      </c>
      <c r="H61" s="226">
        <v>252.08104</v>
      </c>
      <c r="I61" s="226">
        <v>226.47732000000002</v>
      </c>
      <c r="J61" s="226">
        <v>243.88057999999995</v>
      </c>
      <c r="K61" s="226">
        <v>245.50700000000001</v>
      </c>
      <c r="L61" s="226">
        <v>230.303</v>
      </c>
      <c r="M61" s="226">
        <v>250.977</v>
      </c>
      <c r="N61" s="218">
        <f t="shared" si="18"/>
        <v>2935.5449799999997</v>
      </c>
    </row>
    <row r="62" spans="1:14" x14ac:dyDescent="0.25">
      <c r="A62" s="232" t="str">
        <f>"UAFIR FL. "&amp;RIGHT(YEAR(MES_CIERRE),2)</f>
        <v>UAFIR FL. 19</v>
      </c>
      <c r="B62" s="218">
        <v>-26.658000000000005</v>
      </c>
      <c r="C62" s="218">
        <v>-4.1419999999999568</v>
      </c>
      <c r="D62" s="218">
        <v>-8.3409999999999975</v>
      </c>
      <c r="E62" s="218">
        <v>-19.453999999999969</v>
      </c>
      <c r="F62" s="218">
        <v>-16.554999999999996</v>
      </c>
      <c r="G62" s="218">
        <v>-23.613410000000044</v>
      </c>
      <c r="H62" s="218"/>
      <c r="I62" s="218"/>
      <c r="J62" s="218"/>
      <c r="K62" s="218"/>
      <c r="L62" s="218"/>
      <c r="M62" s="218"/>
      <c r="N62" s="218">
        <f t="shared" si="18"/>
        <v>-98.763409999999965</v>
      </c>
    </row>
    <row r="63" spans="1:14" x14ac:dyDescent="0.25">
      <c r="A63" s="232" t="str">
        <f>"UAFIR FL. P. "&amp;RIGHT(YEAR(MES_CIERRE),2)</f>
        <v>UAFIR FL. P. 19</v>
      </c>
      <c r="B63" s="218">
        <v>-30.951000000000011</v>
      </c>
      <c r="C63" s="218">
        <v>-30.818999999999978</v>
      </c>
      <c r="D63" s="218">
        <v>-16.432999999999982</v>
      </c>
      <c r="E63" s="218">
        <v>-27.24199999999998</v>
      </c>
      <c r="F63" s="218">
        <v>-20.578999999999997</v>
      </c>
      <c r="G63" s="218">
        <v>-19.014999999999976</v>
      </c>
      <c r="H63" s="218"/>
      <c r="I63" s="218"/>
      <c r="J63" s="218"/>
      <c r="K63" s="218"/>
      <c r="L63" s="218"/>
      <c r="M63" s="218"/>
      <c r="N63" s="218">
        <f t="shared" si="18"/>
        <v>-145.03899999999993</v>
      </c>
    </row>
    <row r="64" spans="1:14" x14ac:dyDescent="0.25">
      <c r="A64" s="232" t="str">
        <f>"S. Deuda "&amp;RIGHT(YEAR(MES_CIERRE),2)</f>
        <v>S. Deuda 19</v>
      </c>
      <c r="B64" s="219">
        <v>0</v>
      </c>
      <c r="C64" s="219">
        <v>0</v>
      </c>
      <c r="D64" s="219">
        <v>0</v>
      </c>
      <c r="E64" s="219">
        <v>0</v>
      </c>
      <c r="F64" s="219">
        <v>0</v>
      </c>
      <c r="G64" s="219">
        <v>0</v>
      </c>
      <c r="H64" s="219"/>
      <c r="I64" s="219"/>
      <c r="J64" s="219"/>
      <c r="K64" s="219"/>
      <c r="L64" s="219"/>
      <c r="M64" s="219"/>
      <c r="N64" s="219">
        <f t="shared" si="18"/>
        <v>0</v>
      </c>
    </row>
    <row r="65" spans="1:14" x14ac:dyDescent="0.25">
      <c r="A65" s="232" t="s">
        <v>338</v>
      </c>
      <c r="B65" s="227">
        <f>IFERROR(B62/B59,0)</f>
        <v>-0.12163216513284271</v>
      </c>
      <c r="C65" s="227">
        <f t="shared" ref="C65:N65" si="19">IFERROR(C62/C59,0)</f>
        <v>-1.7589678909796444E-2</v>
      </c>
      <c r="D65" s="227">
        <f t="shared" si="19"/>
        <v>-3.1759146794195697E-2</v>
      </c>
      <c r="E65" s="227">
        <f t="shared" si="19"/>
        <v>-8.5794171605983488E-2</v>
      </c>
      <c r="F65" s="227">
        <f t="shared" si="19"/>
        <v>-6.7655376467126535E-2</v>
      </c>
      <c r="G65" s="227">
        <f t="shared" si="19"/>
        <v>-0.10772439821049148</v>
      </c>
      <c r="H65" s="227">
        <f t="shared" si="19"/>
        <v>0</v>
      </c>
      <c r="I65" s="227">
        <f t="shared" si="19"/>
        <v>0</v>
      </c>
      <c r="J65" s="227">
        <f t="shared" si="19"/>
        <v>0</v>
      </c>
      <c r="K65" s="227">
        <f t="shared" si="19"/>
        <v>0</v>
      </c>
      <c r="L65" s="227">
        <f t="shared" si="19"/>
        <v>0</v>
      </c>
      <c r="M65" s="227">
        <f t="shared" si="19"/>
        <v>0</v>
      </c>
      <c r="N65" s="227">
        <f t="shared" si="19"/>
        <v>-7.0147901986053196E-2</v>
      </c>
    </row>
    <row r="66" spans="1:14" x14ac:dyDescent="0.25">
      <c r="A66" s="232" t="s">
        <v>337</v>
      </c>
      <c r="B66" s="188">
        <f>IFERROR(B63/B60,0)</f>
        <v>-0.12248071831927856</v>
      </c>
      <c r="C66" s="188">
        <f t="shared" ref="C66:N66" si="20">IFERROR(C63/C60,0)</f>
        <v>-0.13255084793146002</v>
      </c>
      <c r="D66" s="188">
        <f t="shared" si="20"/>
        <v>-6.1017314168804723E-2</v>
      </c>
      <c r="E66" s="188">
        <f t="shared" si="20"/>
        <v>-0.11199085721802896</v>
      </c>
      <c r="F66" s="188">
        <f t="shared" si="20"/>
        <v>-7.8764960519919908E-2</v>
      </c>
      <c r="G66" s="188">
        <f t="shared" si="20"/>
        <v>-7.3606831519130334E-2</v>
      </c>
      <c r="H66" s="188">
        <f t="shared" si="20"/>
        <v>0</v>
      </c>
      <c r="I66" s="188">
        <f t="shared" si="20"/>
        <v>0</v>
      </c>
      <c r="J66" s="188">
        <f t="shared" si="20"/>
        <v>0</v>
      </c>
      <c r="K66" s="188">
        <f t="shared" si="20"/>
        <v>0</v>
      </c>
      <c r="L66" s="188">
        <f t="shared" si="20"/>
        <v>0</v>
      </c>
      <c r="M66" s="188">
        <f t="shared" si="20"/>
        <v>0</v>
      </c>
      <c r="N66" s="188">
        <f t="shared" si="20"/>
        <v>-4.7575953682111122E-2</v>
      </c>
    </row>
    <row r="67" spans="1:14" x14ac:dyDescent="0.25"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</row>
    <row r="68" spans="1:14" ht="13" x14ac:dyDescent="0.3">
      <c r="B68" s="222"/>
    </row>
    <row r="70" spans="1:14" ht="13" x14ac:dyDescent="0.3">
      <c r="A70" s="222" t="s">
        <v>340</v>
      </c>
      <c r="B70" s="223"/>
      <c r="C70" s="224"/>
      <c r="D70" s="223"/>
      <c r="E70" s="223"/>
      <c r="F70" s="223"/>
      <c r="G70" s="223"/>
      <c r="H70" s="223"/>
      <c r="I70" s="223"/>
      <c r="J70" s="223"/>
      <c r="K70" s="223"/>
      <c r="L70" s="223"/>
      <c r="M70" s="223"/>
      <c r="N70" s="223"/>
    </row>
    <row r="71" spans="1:14" ht="13" x14ac:dyDescent="0.3">
      <c r="B71" s="225" t="s">
        <v>85</v>
      </c>
      <c r="C71" s="225" t="s">
        <v>86</v>
      </c>
      <c r="D71" s="225" t="s">
        <v>87</v>
      </c>
      <c r="E71" s="225" t="s">
        <v>88</v>
      </c>
      <c r="F71" s="225" t="s">
        <v>89</v>
      </c>
      <c r="G71" s="225" t="s">
        <v>90</v>
      </c>
      <c r="H71" s="225" t="s">
        <v>91</v>
      </c>
      <c r="I71" s="225" t="s">
        <v>92</v>
      </c>
      <c r="J71" s="225" t="s">
        <v>93</v>
      </c>
      <c r="K71" s="225" t="s">
        <v>94</v>
      </c>
      <c r="L71" s="225" t="s">
        <v>95</v>
      </c>
      <c r="M71" s="225" t="s">
        <v>96</v>
      </c>
      <c r="N71" s="225" t="s">
        <v>339</v>
      </c>
    </row>
    <row r="72" spans="1:14" x14ac:dyDescent="0.25">
      <c r="A72" s="232" t="str">
        <f>"Vtas. "&amp;RIGHT(YEAR(MES_CIERRE),2)</f>
        <v>Vtas. 19</v>
      </c>
      <c r="B72" s="226">
        <v>117.024</v>
      </c>
      <c r="C72" s="226">
        <v>117.779</v>
      </c>
      <c r="D72" s="226">
        <v>120.762</v>
      </c>
      <c r="E72" s="226">
        <v>106.95399999999999</v>
      </c>
      <c r="F72" s="226">
        <v>130.239</v>
      </c>
      <c r="G72" s="226">
        <v>130.23875000000001</v>
      </c>
      <c r="H72" s="226"/>
      <c r="I72" s="226"/>
      <c r="J72" s="226"/>
      <c r="K72" s="226"/>
      <c r="L72" s="226"/>
      <c r="M72" s="226"/>
      <c r="N72" s="226">
        <f t="shared" ref="N72:N77" si="21">SUM(B72:M72)</f>
        <v>722.99675000000002</v>
      </c>
    </row>
    <row r="73" spans="1:14" x14ac:dyDescent="0.25">
      <c r="A73" s="232" t="str">
        <f>"Vtas. P. "&amp;RIGHT(YEAR(MES_CIERRE),2)</f>
        <v>Vtas. P. 19</v>
      </c>
      <c r="B73" s="218">
        <v>116.2</v>
      </c>
      <c r="C73" s="218">
        <v>116.2</v>
      </c>
      <c r="D73" s="218">
        <v>116.2</v>
      </c>
      <c r="E73" s="218">
        <v>116.3</v>
      </c>
      <c r="F73" s="218">
        <v>116.3</v>
      </c>
      <c r="G73" s="218">
        <v>116.3</v>
      </c>
      <c r="H73" s="218">
        <v>116.3</v>
      </c>
      <c r="I73" s="218">
        <v>116.3</v>
      </c>
      <c r="J73" s="218">
        <v>116.3</v>
      </c>
      <c r="K73" s="218">
        <v>116.3</v>
      </c>
      <c r="L73" s="218">
        <v>116.4</v>
      </c>
      <c r="M73" s="218">
        <v>116.5</v>
      </c>
      <c r="N73" s="218">
        <f t="shared" si="21"/>
        <v>1395.6</v>
      </c>
    </row>
    <row r="74" spans="1:14" x14ac:dyDescent="0.25">
      <c r="A74" s="232" t="str">
        <f>"Vtas. "&amp;RIGHT(YEAR(MES_CIERRE)-1,2)</f>
        <v>Vtas. 18</v>
      </c>
      <c r="B74" s="226">
        <v>118.318</v>
      </c>
      <c r="C74" s="226">
        <v>117.3</v>
      </c>
      <c r="D74" s="226">
        <v>125.39</v>
      </c>
      <c r="E74" s="226">
        <v>120.908</v>
      </c>
      <c r="F74" s="226">
        <v>122.98399999999999</v>
      </c>
      <c r="G74" s="226">
        <v>117.95889</v>
      </c>
      <c r="H74" s="226">
        <v>117.95889</v>
      </c>
      <c r="I74" s="226">
        <v>118.9162</v>
      </c>
      <c r="J74" s="226">
        <v>115.99403</v>
      </c>
      <c r="K74" s="226">
        <v>117.947</v>
      </c>
      <c r="L74" s="226">
        <v>116.265</v>
      </c>
      <c r="M74" s="226">
        <v>116.84099999999999</v>
      </c>
      <c r="N74" s="218">
        <f t="shared" si="21"/>
        <v>1426.7810099999999</v>
      </c>
    </row>
    <row r="75" spans="1:14" x14ac:dyDescent="0.25">
      <c r="A75" s="232" t="str">
        <f>"UAFIR FL. "&amp;RIGHT(YEAR(MES_CIERRE),2)</f>
        <v>UAFIR FL. 19</v>
      </c>
      <c r="B75" s="218">
        <v>102.36999999999999</v>
      </c>
      <c r="C75" s="218">
        <v>111.02499999999999</v>
      </c>
      <c r="D75" s="218">
        <v>113.518</v>
      </c>
      <c r="E75" s="218">
        <v>96.382999999999996</v>
      </c>
      <c r="F75" s="218">
        <v>123.932</v>
      </c>
      <c r="G75" s="218">
        <v>108.62708000000001</v>
      </c>
      <c r="H75" s="218"/>
      <c r="I75" s="218"/>
      <c r="J75" s="218"/>
      <c r="K75" s="218"/>
      <c r="L75" s="218"/>
      <c r="M75" s="218"/>
      <c r="N75" s="218">
        <f t="shared" si="21"/>
        <v>655.85507999999993</v>
      </c>
    </row>
    <row r="76" spans="1:14" x14ac:dyDescent="0.25">
      <c r="A76" s="232" t="str">
        <f>"UAFIR FL. P. "&amp;RIGHT(YEAR(MES_CIERRE),2)</f>
        <v>UAFIR FL. P. 19</v>
      </c>
      <c r="B76" s="218">
        <v>109.64400000000001</v>
      </c>
      <c r="C76" s="218">
        <v>105.75</v>
      </c>
      <c r="D76" s="218">
        <v>105.75</v>
      </c>
      <c r="E76" s="218">
        <v>105.85</v>
      </c>
      <c r="F76" s="218">
        <v>105.85</v>
      </c>
      <c r="G76" s="218">
        <v>105.85</v>
      </c>
      <c r="H76" s="218"/>
      <c r="I76" s="218"/>
      <c r="J76" s="218"/>
      <c r="K76" s="218"/>
      <c r="L76" s="218"/>
      <c r="M76" s="218"/>
      <c r="N76" s="218">
        <f t="shared" si="21"/>
        <v>638.69400000000007</v>
      </c>
    </row>
    <row r="77" spans="1:14" x14ac:dyDescent="0.25">
      <c r="A77" s="232" t="str">
        <f>"S. Deuda "&amp;RIGHT(YEAR(MES_CIERRE),2)</f>
        <v>S. Deuda 19</v>
      </c>
      <c r="B77" s="219">
        <v>55.388999999999996</v>
      </c>
      <c r="C77" s="219">
        <v>61.395989999999998</v>
      </c>
      <c r="D77" s="219">
        <v>62.237650000000002</v>
      </c>
      <c r="E77" s="219">
        <v>64.07535</v>
      </c>
      <c r="F77" s="219">
        <v>60.197000000000003</v>
      </c>
      <c r="G77" s="219">
        <v>96.461160000000007</v>
      </c>
      <c r="H77" s="219"/>
      <c r="I77" s="219"/>
      <c r="J77" s="219"/>
      <c r="K77" s="219"/>
      <c r="L77" s="219"/>
      <c r="M77" s="219"/>
      <c r="N77" s="219">
        <f t="shared" si="21"/>
        <v>399.75614999999999</v>
      </c>
    </row>
    <row r="78" spans="1:14" x14ac:dyDescent="0.25">
      <c r="A78" s="232" t="s">
        <v>338</v>
      </c>
      <c r="B78" s="227">
        <f>IFERROR(B75/B72,0)</f>
        <v>0.87477782335247467</v>
      </c>
      <c r="C78" s="227">
        <f t="shared" ref="C78:N78" si="22">IFERROR(C75/C72,0)</f>
        <v>0.94265531206751618</v>
      </c>
      <c r="D78" s="227">
        <f t="shared" si="22"/>
        <v>0.94001424289097568</v>
      </c>
      <c r="E78" s="227">
        <f t="shared" si="22"/>
        <v>0.90116311685397466</v>
      </c>
      <c r="F78" s="227">
        <f t="shared" si="22"/>
        <v>0.9515736453750413</v>
      </c>
      <c r="G78" s="227">
        <f t="shared" si="22"/>
        <v>0.83406113771822898</v>
      </c>
      <c r="H78" s="227">
        <f t="shared" si="22"/>
        <v>0</v>
      </c>
      <c r="I78" s="227">
        <f t="shared" si="22"/>
        <v>0</v>
      </c>
      <c r="J78" s="227">
        <f t="shared" si="22"/>
        <v>0</v>
      </c>
      <c r="K78" s="227">
        <f t="shared" si="22"/>
        <v>0</v>
      </c>
      <c r="L78" s="227">
        <f t="shared" si="22"/>
        <v>0</v>
      </c>
      <c r="M78" s="227">
        <f t="shared" si="22"/>
        <v>0</v>
      </c>
      <c r="N78" s="227">
        <f t="shared" si="22"/>
        <v>0.90713420219385488</v>
      </c>
    </row>
    <row r="79" spans="1:14" x14ac:dyDescent="0.25">
      <c r="A79" s="232" t="s">
        <v>337</v>
      </c>
      <c r="B79" s="188">
        <f>IFERROR(B76/B73,0)</f>
        <v>0.94358003442340799</v>
      </c>
      <c r="C79" s="188">
        <f t="shared" ref="C79:N79" si="23">IFERROR(C76/C73,0)</f>
        <v>0.91006884681583478</v>
      </c>
      <c r="D79" s="188">
        <f t="shared" si="23"/>
        <v>0.91006884681583478</v>
      </c>
      <c r="E79" s="188">
        <f t="shared" si="23"/>
        <v>0.91014617368873596</v>
      </c>
      <c r="F79" s="188">
        <f t="shared" si="23"/>
        <v>0.91014617368873596</v>
      </c>
      <c r="G79" s="188">
        <f t="shared" si="23"/>
        <v>0.91014617368873596</v>
      </c>
      <c r="H79" s="188">
        <f t="shared" si="23"/>
        <v>0</v>
      </c>
      <c r="I79" s="188">
        <f t="shared" si="23"/>
        <v>0</v>
      </c>
      <c r="J79" s="188">
        <f t="shared" si="23"/>
        <v>0</v>
      </c>
      <c r="K79" s="188">
        <f t="shared" si="23"/>
        <v>0</v>
      </c>
      <c r="L79" s="188">
        <f t="shared" si="23"/>
        <v>0</v>
      </c>
      <c r="M79" s="188">
        <f t="shared" si="23"/>
        <v>0</v>
      </c>
      <c r="N79" s="188">
        <f t="shared" si="23"/>
        <v>0.45764832330180577</v>
      </c>
    </row>
    <row r="81" spans="1:14" x14ac:dyDescent="0.25">
      <c r="B81" s="221"/>
      <c r="C81" s="221"/>
      <c r="D81" s="221"/>
      <c r="E81" s="221"/>
      <c r="F81" s="221"/>
      <c r="G81" s="221"/>
      <c r="H81" s="221"/>
      <c r="I81" s="221"/>
      <c r="J81" s="221"/>
      <c r="K81" s="221"/>
      <c r="L81" s="221"/>
      <c r="M81" s="221"/>
      <c r="N81" s="221"/>
    </row>
    <row r="82" spans="1:14" x14ac:dyDescent="0.25">
      <c r="B82" s="221"/>
      <c r="C82" s="221"/>
      <c r="D82" s="221"/>
      <c r="E82" s="221"/>
      <c r="F82" s="221"/>
      <c r="G82" s="221"/>
      <c r="H82" s="221"/>
      <c r="I82" s="221"/>
      <c r="J82" s="221"/>
      <c r="K82" s="221"/>
      <c r="L82" s="221"/>
      <c r="M82" s="221"/>
      <c r="N82" s="221"/>
    </row>
    <row r="83" spans="1:14" ht="13" x14ac:dyDescent="0.3">
      <c r="A83" s="222" t="s">
        <v>328</v>
      </c>
      <c r="B83" s="223"/>
      <c r="C83" s="224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</row>
    <row r="84" spans="1:14" ht="13" x14ac:dyDescent="0.3">
      <c r="B84" s="225" t="s">
        <v>85</v>
      </c>
      <c r="C84" s="225" t="s">
        <v>86</v>
      </c>
      <c r="D84" s="225" t="s">
        <v>87</v>
      </c>
      <c r="E84" s="225" t="s">
        <v>88</v>
      </c>
      <c r="F84" s="225" t="s">
        <v>89</v>
      </c>
      <c r="G84" s="225" t="s">
        <v>90</v>
      </c>
      <c r="H84" s="225" t="s">
        <v>91</v>
      </c>
      <c r="I84" s="225" t="s">
        <v>92</v>
      </c>
      <c r="J84" s="225" t="s">
        <v>93</v>
      </c>
      <c r="K84" s="225" t="s">
        <v>94</v>
      </c>
      <c r="L84" s="225" t="s">
        <v>95</v>
      </c>
      <c r="M84" s="225" t="s">
        <v>96</v>
      </c>
      <c r="N84" s="225" t="s">
        <v>339</v>
      </c>
    </row>
    <row r="85" spans="1:14" x14ac:dyDescent="0.25">
      <c r="A85" s="232" t="str">
        <f>"Vtas. "&amp;RIGHT(YEAR(MES_CIERRE),2)</f>
        <v>Vtas. 19</v>
      </c>
      <c r="B85" s="226">
        <v>268.202</v>
      </c>
      <c r="C85" s="226">
        <v>290.07100000000003</v>
      </c>
      <c r="D85" s="226">
        <v>337.82100000000003</v>
      </c>
      <c r="E85" s="226">
        <v>291.94299999999998</v>
      </c>
      <c r="F85" s="226">
        <v>332.16899999999998</v>
      </c>
      <c r="G85" s="226">
        <v>302.41525000000001</v>
      </c>
      <c r="H85" s="226"/>
      <c r="I85" s="226"/>
      <c r="J85" s="226"/>
      <c r="K85" s="226"/>
      <c r="L85" s="226"/>
      <c r="M85" s="226"/>
      <c r="N85" s="226">
        <f t="shared" ref="N85:N90" si="24">SUM(B85:M85)</f>
        <v>1822.6212500000001</v>
      </c>
    </row>
    <row r="86" spans="1:14" x14ac:dyDescent="0.25">
      <c r="A86" s="232" t="str">
        <f>"Vtas. P. "&amp;RIGHT(YEAR(MES_CIERRE),2)</f>
        <v>Vtas. P. 19</v>
      </c>
      <c r="B86" s="218">
        <v>321.053</v>
      </c>
      <c r="C86" s="218">
        <v>317.86</v>
      </c>
      <c r="D86" s="218">
        <v>366.43900000000002</v>
      </c>
      <c r="E86" s="218">
        <v>328.673</v>
      </c>
      <c r="F86" s="218">
        <v>355.64800000000002</v>
      </c>
      <c r="G86" s="218">
        <v>335.10500000000002</v>
      </c>
      <c r="H86" s="218">
        <v>335.10500000000002</v>
      </c>
      <c r="I86" s="218">
        <v>331.48489999999998</v>
      </c>
      <c r="J86" s="218">
        <v>321.63706999999999</v>
      </c>
      <c r="K86" s="218">
        <v>313.21097897300007</v>
      </c>
      <c r="L86" s="218">
        <v>317.80923084742659</v>
      </c>
      <c r="M86" s="218">
        <v>353.25642213079726</v>
      </c>
      <c r="N86" s="218">
        <f t="shared" si="24"/>
        <v>3997.2816019512238</v>
      </c>
    </row>
    <row r="87" spans="1:14" x14ac:dyDescent="0.25">
      <c r="A87" s="232" t="str">
        <f>"Vtas. "&amp;RIGHT(YEAR(MES_CIERRE)-1,2)</f>
        <v>Vtas. 18</v>
      </c>
      <c r="B87" s="226">
        <v>315.26600000000002</v>
      </c>
      <c r="C87" s="226">
        <v>315.10500000000002</v>
      </c>
      <c r="D87" s="226">
        <v>360.86799999999999</v>
      </c>
      <c r="E87" s="226">
        <v>322.06400000000002</v>
      </c>
      <c r="F87" s="226">
        <v>338.30599999999998</v>
      </c>
      <c r="G87" s="226">
        <v>328.83873</v>
      </c>
      <c r="H87" s="226">
        <v>328.83873</v>
      </c>
      <c r="I87" s="226">
        <v>315.27382999999998</v>
      </c>
      <c r="J87" s="226">
        <v>320.54498999999998</v>
      </c>
      <c r="K87" s="226">
        <v>306.99799999999999</v>
      </c>
      <c r="L87" s="226">
        <v>296.25400000000002</v>
      </c>
      <c r="M87" s="226">
        <v>313.16899999999998</v>
      </c>
      <c r="N87" s="218">
        <f t="shared" si="24"/>
        <v>3861.52628</v>
      </c>
    </row>
    <row r="88" spans="1:14" x14ac:dyDescent="0.25">
      <c r="A88" s="232" t="str">
        <f>"UAFIR FL. "&amp;RIGHT(YEAR(MES_CIERRE),2)</f>
        <v>UAFIR FL. 19</v>
      </c>
      <c r="B88" s="218">
        <v>-31.420000000000005</v>
      </c>
      <c r="C88" s="218">
        <v>9.2349999999999959</v>
      </c>
      <c r="D88" s="218">
        <v>8.0820000000000043</v>
      </c>
      <c r="E88" s="218">
        <v>-11.203000000000021</v>
      </c>
      <c r="F88" s="218">
        <v>0.39799999999999613</v>
      </c>
      <c r="G88" s="218">
        <v>-3.7224699999999924</v>
      </c>
      <c r="H88" s="218"/>
      <c r="I88" s="218"/>
      <c r="J88" s="218"/>
      <c r="K88" s="218"/>
      <c r="L88" s="218"/>
      <c r="M88" s="218"/>
      <c r="N88" s="218">
        <f t="shared" si="24"/>
        <v>-28.630470000000024</v>
      </c>
    </row>
    <row r="89" spans="1:14" x14ac:dyDescent="0.25">
      <c r="A89" s="232" t="str">
        <f>"UAFIR FL. P. "&amp;RIGHT(YEAR(MES_CIERRE),2)</f>
        <v>UAFIR FL. P. 19</v>
      </c>
      <c r="B89" s="218">
        <v>-18.941999999999997</v>
      </c>
      <c r="C89" s="218">
        <v>-8.7529999999999752</v>
      </c>
      <c r="D89" s="218">
        <v>7.2919999999999838</v>
      </c>
      <c r="E89" s="218">
        <v>-5.50399999999998</v>
      </c>
      <c r="F89" s="218">
        <v>-0.84899999999997888</v>
      </c>
      <c r="G89" s="218">
        <v>2.4540000000000184</v>
      </c>
      <c r="H89" s="218"/>
      <c r="I89" s="218"/>
      <c r="J89" s="218"/>
      <c r="K89" s="218"/>
      <c r="L89" s="218"/>
      <c r="M89" s="218"/>
      <c r="N89" s="218">
        <f t="shared" si="24"/>
        <v>-24.301999999999929</v>
      </c>
    </row>
    <row r="90" spans="1:14" x14ac:dyDescent="0.25">
      <c r="A90" s="232" t="str">
        <f>"S. Deuda "&amp;RIGHT(YEAR(MES_CIERRE),2)</f>
        <v>S. Deuda 19</v>
      </c>
      <c r="B90" s="219">
        <v>0</v>
      </c>
      <c r="C90" s="219">
        <v>0</v>
      </c>
      <c r="D90" s="219">
        <v>0</v>
      </c>
      <c r="E90" s="219">
        <v>0</v>
      </c>
      <c r="F90" s="219">
        <v>0</v>
      </c>
      <c r="G90" s="219">
        <v>0</v>
      </c>
      <c r="H90" s="219"/>
      <c r="I90" s="219"/>
      <c r="J90" s="219"/>
      <c r="K90" s="219"/>
      <c r="L90" s="219"/>
      <c r="M90" s="219"/>
      <c r="N90" s="219">
        <f t="shared" si="24"/>
        <v>0</v>
      </c>
    </row>
    <row r="91" spans="1:14" x14ac:dyDescent="0.25">
      <c r="A91" s="232" t="s">
        <v>338</v>
      </c>
      <c r="B91" s="227">
        <f>IFERROR(B88/B85,0)</f>
        <v>-0.11715050596192424</v>
      </c>
      <c r="C91" s="227">
        <f t="shared" ref="C91:N91" si="25">IFERROR(C88/C85,0)</f>
        <v>3.1837033002264946E-2</v>
      </c>
      <c r="D91" s="227">
        <f t="shared" si="25"/>
        <v>2.392391236779242E-2</v>
      </c>
      <c r="E91" s="227">
        <f t="shared" si="25"/>
        <v>-3.8373929157404084E-2</v>
      </c>
      <c r="F91" s="227">
        <f t="shared" si="25"/>
        <v>1.1981852611170703E-3</v>
      </c>
      <c r="G91" s="227">
        <f t="shared" si="25"/>
        <v>-1.2309134542652833E-2</v>
      </c>
      <c r="H91" s="227">
        <f t="shared" si="25"/>
        <v>0</v>
      </c>
      <c r="I91" s="227">
        <f t="shared" si="25"/>
        <v>0</v>
      </c>
      <c r="J91" s="227">
        <f t="shared" si="25"/>
        <v>0</v>
      </c>
      <c r="K91" s="227">
        <f t="shared" si="25"/>
        <v>0</v>
      </c>
      <c r="L91" s="227">
        <f t="shared" si="25"/>
        <v>0</v>
      </c>
      <c r="M91" s="227">
        <f t="shared" si="25"/>
        <v>0</v>
      </c>
      <c r="N91" s="227">
        <f t="shared" si="25"/>
        <v>-1.5708403487559482E-2</v>
      </c>
    </row>
    <row r="92" spans="1:14" x14ac:dyDescent="0.25">
      <c r="A92" s="232" t="s">
        <v>337</v>
      </c>
      <c r="B92" s="188">
        <f>IFERROR(B89/B86,0)</f>
        <v>-5.8999604426683436E-2</v>
      </c>
      <c r="C92" s="188">
        <f t="shared" ref="C92:N92" si="26">IFERROR(C89/C86,0)</f>
        <v>-2.7537280563770136E-2</v>
      </c>
      <c r="D92" s="188">
        <f t="shared" si="26"/>
        <v>1.9899628587568417E-2</v>
      </c>
      <c r="E92" s="188">
        <f t="shared" si="26"/>
        <v>-1.6746127610116984E-2</v>
      </c>
      <c r="F92" s="188">
        <f t="shared" si="26"/>
        <v>-2.3871918301241082E-3</v>
      </c>
      <c r="G92" s="188">
        <f t="shared" si="26"/>
        <v>7.3230778412736851E-3</v>
      </c>
      <c r="H92" s="188">
        <f t="shared" si="26"/>
        <v>0</v>
      </c>
      <c r="I92" s="188">
        <f t="shared" si="26"/>
        <v>0</v>
      </c>
      <c r="J92" s="188">
        <f t="shared" si="26"/>
        <v>0</v>
      </c>
      <c r="K92" s="188">
        <f t="shared" si="26"/>
        <v>0</v>
      </c>
      <c r="L92" s="188">
        <f t="shared" si="26"/>
        <v>0</v>
      </c>
      <c r="M92" s="188">
        <f t="shared" si="26"/>
        <v>0</v>
      </c>
      <c r="N92" s="188">
        <f t="shared" si="26"/>
        <v>-6.0796317147476442E-3</v>
      </c>
    </row>
    <row r="94" spans="1:14" x14ac:dyDescent="0.25"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</row>
    <row r="108" spans="1:14" ht="13" x14ac:dyDescent="0.3">
      <c r="A108" s="222"/>
    </row>
    <row r="109" spans="1:14" ht="13" x14ac:dyDescent="0.3">
      <c r="B109" s="223"/>
      <c r="C109" s="224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</row>
    <row r="110" spans="1:14" ht="13" x14ac:dyDescent="0.3">
      <c r="A110" s="230"/>
      <c r="B110" s="223"/>
      <c r="C110" s="224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</row>
    <row r="111" spans="1:14" ht="13" x14ac:dyDescent="0.3">
      <c r="B111" s="223"/>
      <c r="C111" s="224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</row>
    <row r="112" spans="1:14" ht="13" x14ac:dyDescent="0.3">
      <c r="B112" s="223"/>
      <c r="C112" s="224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</row>
    <row r="113" spans="2:14" ht="13" x14ac:dyDescent="0.3">
      <c r="B113" s="223"/>
      <c r="C113" s="224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</row>
    <row r="114" spans="2:14" ht="13" x14ac:dyDescent="0.3">
      <c r="B114" s="223"/>
      <c r="C114" s="224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</row>
    <row r="115" spans="2:14" ht="13" x14ac:dyDescent="0.3">
      <c r="B115" s="223"/>
      <c r="C115" s="224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</row>
    <row r="116" spans="2:14" ht="13" x14ac:dyDescent="0.3">
      <c r="B116" s="223"/>
      <c r="C116" s="224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</row>
    <row r="117" spans="2:14" ht="13" x14ac:dyDescent="0.3">
      <c r="B117" s="223"/>
      <c r="C117" s="224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</row>
    <row r="118" spans="2:14" ht="13" x14ac:dyDescent="0.3">
      <c r="B118" s="223"/>
      <c r="C118" s="224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</row>
    <row r="119" spans="2:14" ht="13" x14ac:dyDescent="0.3">
      <c r="B119" s="223"/>
      <c r="C119" s="224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</row>
    <row r="120" spans="2:14" x14ac:dyDescent="0.25">
      <c r="J120" s="231"/>
      <c r="K120" s="231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B210"/>
  <sheetViews>
    <sheetView showGridLines="0" topLeftCell="A5" workbookViewId="0">
      <pane xSplit="2" ySplit="4" topLeftCell="O9" activePane="bottomRight" state="frozen"/>
      <selection activeCell="P25" sqref="P25"/>
      <selection pane="topRight" activeCell="P25" sqref="P25"/>
      <selection pane="bottomLeft" activeCell="P25" sqref="P25"/>
      <selection pane="bottomRight" activeCell="U19" sqref="U19"/>
    </sheetView>
  </sheetViews>
  <sheetFormatPr baseColWidth="10" defaultColWidth="9.1796875" defaultRowHeight="12.5" x14ac:dyDescent="0.25"/>
  <cols>
    <col min="1" max="1" width="5" customWidth="1"/>
    <col min="2" max="2" width="23.1796875" style="1" customWidth="1"/>
    <col min="3" max="3" width="12.54296875" style="1" customWidth="1"/>
    <col min="4" max="4" width="12.81640625" style="22" customWidth="1"/>
    <col min="5" max="5" width="12.1796875" style="1" customWidth="1"/>
    <col min="6" max="6" width="12.1796875" style="22" customWidth="1"/>
    <col min="7" max="7" width="11.54296875" style="1" customWidth="1"/>
    <col min="8" max="8" width="11.6328125" style="22" customWidth="1"/>
    <col min="9" max="9" width="12.08984375" style="1" customWidth="1"/>
    <col min="10" max="10" width="11.36328125" style="22" customWidth="1"/>
    <col min="11" max="11" width="11.6328125" style="1" customWidth="1"/>
    <col min="12" max="12" width="11.6328125" style="22" customWidth="1"/>
    <col min="13" max="13" width="11.54296875" style="1" customWidth="1"/>
    <col min="14" max="14" width="10.7265625" style="22" customWidth="1"/>
    <col min="15" max="15" width="11" style="1" customWidth="1"/>
    <col min="16" max="16" width="9.26953125" style="22" customWidth="1"/>
    <col min="17" max="17" width="9.26953125" style="1" customWidth="1"/>
    <col min="18" max="18" width="10" style="22" customWidth="1"/>
    <col min="19" max="19" width="10.81640625" style="1" customWidth="1"/>
    <col min="20" max="20" width="9" style="22" customWidth="1"/>
    <col min="21" max="21" width="8.7265625" style="1" customWidth="1"/>
    <col min="22" max="22" width="8.453125" style="22" customWidth="1"/>
    <col min="23" max="23" width="10" style="1" customWidth="1"/>
    <col min="24" max="24" width="8.453125" style="22" bestFit="1" customWidth="1"/>
    <col min="25" max="25" width="10" style="1" customWidth="1"/>
    <col min="26" max="26" width="8.453125" style="22" bestFit="1" customWidth="1"/>
    <col min="27" max="27" width="10" style="1" customWidth="1"/>
    <col min="28" max="28" width="8.453125" style="22" bestFit="1" customWidth="1"/>
  </cols>
  <sheetData>
    <row r="1" spans="1:28" hidden="1" x14ac:dyDescent="0.25">
      <c r="C1" s="2"/>
      <c r="D1" s="21"/>
      <c r="E1" s="2"/>
      <c r="F1" s="21"/>
      <c r="G1" s="2"/>
      <c r="H1" s="21"/>
      <c r="I1" s="2"/>
      <c r="J1" s="21"/>
      <c r="K1" s="2"/>
      <c r="L1" s="21"/>
      <c r="M1" s="2"/>
      <c r="N1" s="21"/>
      <c r="O1" s="2"/>
      <c r="P1" s="21"/>
      <c r="Q1" s="2"/>
      <c r="R1" s="21"/>
      <c r="S1" s="2"/>
      <c r="T1" s="21"/>
      <c r="U1" s="2"/>
      <c r="V1" s="21"/>
      <c r="W1" s="2"/>
      <c r="X1" s="21"/>
      <c r="Y1" s="2"/>
      <c r="Z1" s="21"/>
      <c r="AA1" s="2"/>
      <c r="AB1" s="21"/>
    </row>
    <row r="2" spans="1:28" hidden="1" x14ac:dyDescent="0.25"/>
    <row r="3" spans="1:28" hidden="1" x14ac:dyDescent="0.25">
      <c r="D3" s="22" t="s">
        <v>19</v>
      </c>
      <c r="F3" s="22" t="s">
        <v>19</v>
      </c>
      <c r="H3" s="22" t="s">
        <v>19</v>
      </c>
      <c r="J3" s="22" t="s">
        <v>19</v>
      </c>
      <c r="L3" s="22" t="s">
        <v>19</v>
      </c>
      <c r="N3" s="22" t="s">
        <v>19</v>
      </c>
      <c r="P3" s="22" t="s">
        <v>19</v>
      </c>
      <c r="R3" s="22" t="s">
        <v>19</v>
      </c>
      <c r="T3" s="22" t="s">
        <v>19</v>
      </c>
      <c r="V3" s="22" t="s">
        <v>19</v>
      </c>
      <c r="X3" s="22" t="s">
        <v>19</v>
      </c>
      <c r="Z3" s="22" t="s">
        <v>19</v>
      </c>
      <c r="AB3" s="22" t="s">
        <v>19</v>
      </c>
    </row>
    <row r="4" spans="1:28" hidden="1" x14ac:dyDescent="0.25"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5" spans="1:28" x14ac:dyDescent="0.25"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</row>
    <row r="6" spans="1:28" x14ac:dyDescent="0.25"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ht="13" x14ac:dyDescent="0.3">
      <c r="A7" s="111" t="s">
        <v>217</v>
      </c>
      <c r="C7" s="8"/>
      <c r="D7" s="23"/>
      <c r="E7" s="8"/>
      <c r="F7" s="23"/>
      <c r="G7" s="8"/>
      <c r="H7" s="23"/>
      <c r="I7" s="8"/>
      <c r="J7" s="23"/>
      <c r="K7" s="8"/>
      <c r="L7" s="23"/>
      <c r="M7" s="8"/>
      <c r="N7" s="23"/>
      <c r="O7" s="8"/>
      <c r="P7" s="23"/>
      <c r="Q7" s="8"/>
      <c r="R7" s="23"/>
      <c r="S7" s="8"/>
      <c r="T7" s="23"/>
      <c r="U7" s="8"/>
      <c r="V7" s="23"/>
      <c r="W7" s="8"/>
      <c r="X7" s="23"/>
      <c r="Y7" s="8"/>
      <c r="Z7" s="23"/>
      <c r="AA7" s="8"/>
      <c r="AB7" s="23"/>
    </row>
    <row r="8" spans="1:28" ht="13" x14ac:dyDescent="0.3">
      <c r="C8" s="112" t="s">
        <v>195</v>
      </c>
      <c r="D8" s="115"/>
      <c r="E8" s="112" t="s">
        <v>197</v>
      </c>
      <c r="F8" s="115"/>
      <c r="G8" s="112" t="s">
        <v>198</v>
      </c>
      <c r="H8" s="115"/>
      <c r="I8" s="112" t="s">
        <v>199</v>
      </c>
      <c r="J8" s="115"/>
      <c r="K8" s="112" t="s">
        <v>200</v>
      </c>
      <c r="L8" s="115"/>
      <c r="M8" s="112" t="s">
        <v>201</v>
      </c>
      <c r="N8" s="115"/>
      <c r="O8" s="112" t="s">
        <v>202</v>
      </c>
      <c r="P8" s="115"/>
      <c r="Q8" s="112" t="s">
        <v>203</v>
      </c>
      <c r="R8" s="115"/>
      <c r="S8" s="112" t="s">
        <v>204</v>
      </c>
      <c r="T8" s="115"/>
      <c r="U8" s="112" t="s">
        <v>205</v>
      </c>
      <c r="V8" s="115"/>
      <c r="W8" s="112" t="s">
        <v>206</v>
      </c>
      <c r="X8" s="115"/>
      <c r="Y8" s="112" t="s">
        <v>207</v>
      </c>
      <c r="Z8" s="115"/>
      <c r="AA8" s="112" t="s">
        <v>210</v>
      </c>
      <c r="AB8" s="115"/>
    </row>
    <row r="9" spans="1:28" x14ac:dyDescent="0.25">
      <c r="A9" t="s">
        <v>183</v>
      </c>
      <c r="B9" s="9" t="s">
        <v>38</v>
      </c>
      <c r="C9" s="4">
        <v>1638.7337299999999</v>
      </c>
      <c r="D9" s="25">
        <v>1</v>
      </c>
      <c r="E9" s="4">
        <v>1565.67192</v>
      </c>
      <c r="F9" s="25">
        <v>1</v>
      </c>
      <c r="G9" s="4">
        <v>1836.1255100000001</v>
      </c>
      <c r="H9" s="25">
        <v>1</v>
      </c>
      <c r="I9" s="4">
        <v>1724.57185</v>
      </c>
      <c r="J9" s="25">
        <v>1</v>
      </c>
      <c r="K9" s="4">
        <v>1718.6472900000001</v>
      </c>
      <c r="L9" s="25">
        <v>1</v>
      </c>
      <c r="M9" s="4">
        <v>1716.0926899999999</v>
      </c>
      <c r="N9" s="25">
        <v>1</v>
      </c>
      <c r="O9" s="4">
        <v>1804.4756599999998</v>
      </c>
      <c r="P9" s="25">
        <v>1</v>
      </c>
      <c r="Q9" s="4">
        <v>1849.3165100000001</v>
      </c>
      <c r="R9" s="25">
        <v>1</v>
      </c>
      <c r="S9" s="4">
        <v>1668.55205</v>
      </c>
      <c r="T9" s="25">
        <v>1</v>
      </c>
      <c r="U9" s="4">
        <v>1766.9594500000001</v>
      </c>
      <c r="V9" s="25">
        <v>1</v>
      </c>
      <c r="W9" s="4">
        <v>1582.4606199999998</v>
      </c>
      <c r="X9" s="25">
        <v>1</v>
      </c>
      <c r="Y9" s="4">
        <v>1758.5431599999999</v>
      </c>
      <c r="Z9" s="25">
        <v>1</v>
      </c>
      <c r="AA9" s="4">
        <v>20630.150440000001</v>
      </c>
      <c r="AB9" s="25">
        <v>1</v>
      </c>
    </row>
    <row r="10" spans="1:28" ht="13" x14ac:dyDescent="0.3">
      <c r="B10" s="9" t="s">
        <v>39</v>
      </c>
      <c r="C10" s="5">
        <v>998.88265999999999</v>
      </c>
      <c r="D10" s="26">
        <v>0.60954543237478853</v>
      </c>
      <c r="E10" s="5">
        <v>933.71216000000004</v>
      </c>
      <c r="F10" s="26">
        <v>0.59636514398239959</v>
      </c>
      <c r="G10" s="5">
        <v>1096.05072</v>
      </c>
      <c r="H10" s="26">
        <v>0.59693670940828003</v>
      </c>
      <c r="I10" s="5">
        <v>1037.7121</v>
      </c>
      <c r="J10" s="26">
        <v>0.60172158092456396</v>
      </c>
      <c r="K10" s="5">
        <v>1070.1388899999999</v>
      </c>
      <c r="L10" s="26">
        <v>0.62266347273616562</v>
      </c>
      <c r="M10" s="5">
        <v>1051.77178</v>
      </c>
      <c r="N10" s="26">
        <v>0.61288751250376816</v>
      </c>
      <c r="O10" s="5">
        <v>1144.9732099999999</v>
      </c>
      <c r="P10" s="26">
        <v>0.634518511599098</v>
      </c>
      <c r="Q10" s="5">
        <v>1179.1083100000001</v>
      </c>
      <c r="R10" s="26">
        <v>0.63759140397227076</v>
      </c>
      <c r="S10" s="5">
        <v>1055.59483</v>
      </c>
      <c r="T10" s="26">
        <v>0.63264123525544202</v>
      </c>
      <c r="U10" s="5">
        <v>1121.0513600000002</v>
      </c>
      <c r="V10" s="26">
        <v>0.63445222809159552</v>
      </c>
      <c r="W10" s="5">
        <v>1027.1770200000001</v>
      </c>
      <c r="X10" s="26">
        <v>0.66388524591786791</v>
      </c>
      <c r="Y10" s="5">
        <v>1097.8535900000002</v>
      </c>
      <c r="Z10" s="26">
        <v>0.62429721087994239</v>
      </c>
      <c r="AA10" s="4">
        <v>12814.02663</v>
      </c>
      <c r="AB10" s="25">
        <v>0.62113103184913077</v>
      </c>
    </row>
    <row r="11" spans="1:28" ht="13" x14ac:dyDescent="0.3">
      <c r="B11" s="9" t="s">
        <v>219</v>
      </c>
      <c r="C11" s="39"/>
      <c r="D11" s="33"/>
      <c r="E11" s="39"/>
      <c r="F11" s="33"/>
      <c r="G11" s="39"/>
      <c r="H11" s="33"/>
      <c r="I11" s="39"/>
      <c r="J11" s="33"/>
      <c r="K11" s="39"/>
      <c r="L11" s="33"/>
      <c r="M11" s="39"/>
      <c r="N11" s="33"/>
      <c r="O11" s="39"/>
      <c r="P11" s="33"/>
      <c r="Q11" s="39"/>
      <c r="R11" s="33"/>
      <c r="S11" s="39"/>
      <c r="T11" s="33"/>
      <c r="U11" s="39"/>
      <c r="V11" s="33"/>
      <c r="W11" s="39"/>
      <c r="X11" s="33"/>
      <c r="Y11" s="39"/>
      <c r="Z11" s="33"/>
      <c r="AA11" s="4"/>
      <c r="AB11" s="25"/>
    </row>
    <row r="12" spans="1:28" ht="13" x14ac:dyDescent="0.3">
      <c r="B12" s="9" t="s">
        <v>40</v>
      </c>
      <c r="C12" s="6">
        <v>639.85106999999994</v>
      </c>
      <c r="D12" s="27">
        <v>0.39045456762521141</v>
      </c>
      <c r="E12" s="6">
        <v>631.95975999999985</v>
      </c>
      <c r="F12" s="27">
        <v>0.4036348560176003</v>
      </c>
      <c r="G12" s="6">
        <v>740.07479000000001</v>
      </c>
      <c r="H12" s="27">
        <v>0.40306329059171991</v>
      </c>
      <c r="I12" s="6">
        <v>686.85975000000008</v>
      </c>
      <c r="J12" s="27">
        <v>0.39827841907543604</v>
      </c>
      <c r="K12" s="6">
        <v>648.50840000000017</v>
      </c>
      <c r="L12" s="27">
        <v>0.37733652726383443</v>
      </c>
      <c r="M12" s="6">
        <v>664.32090999999991</v>
      </c>
      <c r="N12" s="27">
        <v>0.38711248749623189</v>
      </c>
      <c r="O12" s="6">
        <v>659.50244999999995</v>
      </c>
      <c r="P12" s="27">
        <v>0.365481488400902</v>
      </c>
      <c r="Q12" s="6">
        <v>670.20819999999992</v>
      </c>
      <c r="R12" s="27">
        <v>0.36240859602772912</v>
      </c>
      <c r="S12" s="6">
        <v>612.95722000000001</v>
      </c>
      <c r="T12" s="27">
        <v>0.36735876474455803</v>
      </c>
      <c r="U12" s="6">
        <v>645.9080899999999</v>
      </c>
      <c r="V12" s="27">
        <v>0.36554777190840448</v>
      </c>
      <c r="W12" s="6">
        <v>555.28359999999986</v>
      </c>
      <c r="X12" s="27">
        <v>0.33611475408213204</v>
      </c>
      <c r="Y12" s="6">
        <v>660.68956999999978</v>
      </c>
      <c r="Z12" s="27">
        <v>0.37570278912005767</v>
      </c>
      <c r="AA12" s="5">
        <v>7816.1238099999991</v>
      </c>
      <c r="AB12" s="26">
        <v>0.37886896815086912</v>
      </c>
    </row>
    <row r="13" spans="1:28" x14ac:dyDescent="0.25">
      <c r="B13" s="9"/>
      <c r="C13" s="3"/>
      <c r="D13" s="24"/>
      <c r="E13" s="3"/>
      <c r="F13" s="24"/>
      <c r="G13" s="3"/>
      <c r="H13" s="24"/>
      <c r="I13" s="3"/>
      <c r="J13" s="24"/>
      <c r="K13" s="3"/>
      <c r="L13" s="24"/>
      <c r="M13" s="3"/>
      <c r="N13" s="24"/>
      <c r="O13" s="3"/>
      <c r="P13" s="24"/>
      <c r="Q13" s="3"/>
      <c r="R13" s="24"/>
      <c r="S13" s="3"/>
      <c r="T13" s="24"/>
      <c r="U13" s="3"/>
      <c r="V13" s="24"/>
      <c r="W13" s="3"/>
      <c r="X13" s="24"/>
      <c r="Y13" s="3"/>
      <c r="Z13" s="24"/>
      <c r="AA13" s="6"/>
      <c r="AB13" s="27"/>
    </row>
    <row r="14" spans="1:28" x14ac:dyDescent="0.25">
      <c r="B14" s="9" t="s">
        <v>41</v>
      </c>
      <c r="C14" s="4">
        <v>484.66699000000006</v>
      </c>
      <c r="D14" s="25">
        <v>0.29575701111613789</v>
      </c>
      <c r="E14" s="4">
        <v>491.77108999999996</v>
      </c>
      <c r="F14" s="25">
        <v>0.31409587392996097</v>
      </c>
      <c r="G14" s="4">
        <v>519.07234000000005</v>
      </c>
      <c r="H14" s="25">
        <v>0.28269981391413707</v>
      </c>
      <c r="I14" s="4">
        <v>516.32470999999998</v>
      </c>
      <c r="J14" s="25">
        <v>0.29939298266987252</v>
      </c>
      <c r="K14" s="4">
        <v>526.05830000000003</v>
      </c>
      <c r="L14" s="25">
        <v>0.30608857504438852</v>
      </c>
      <c r="M14" s="4">
        <v>538.38823000000002</v>
      </c>
      <c r="N14" s="25">
        <v>0.31372910865321618</v>
      </c>
      <c r="O14" s="4">
        <v>513.42374000000007</v>
      </c>
      <c r="P14" s="25">
        <v>0.28452793871434107</v>
      </c>
      <c r="Q14" s="4">
        <v>543.83127999999999</v>
      </c>
      <c r="R14" s="25">
        <v>0.29407149996189669</v>
      </c>
      <c r="S14" s="4">
        <v>531.94149000000004</v>
      </c>
      <c r="T14" s="25">
        <v>0.31880425306480553</v>
      </c>
      <c r="U14" s="4">
        <v>538.08951000000002</v>
      </c>
      <c r="V14" s="25">
        <v>0.30452849950801081</v>
      </c>
      <c r="W14" s="4">
        <v>515.00738000000001</v>
      </c>
      <c r="X14" s="25">
        <v>0.29996038552709958</v>
      </c>
      <c r="Y14" s="4">
        <v>507.96814000000006</v>
      </c>
      <c r="Z14" s="25">
        <v>0.28885736304589765</v>
      </c>
      <c r="AA14" s="3">
        <v>6226.5432000000001</v>
      </c>
      <c r="AB14" s="24">
        <v>0.30181763424891433</v>
      </c>
    </row>
    <row r="15" spans="1:28" x14ac:dyDescent="0.25">
      <c r="B15" s="9" t="s">
        <v>42</v>
      </c>
      <c r="C15" s="4">
        <v>114.43526</v>
      </c>
      <c r="D15" s="25">
        <v>6.9831515581240886E-2</v>
      </c>
      <c r="E15" s="4">
        <v>112.20878999999999</v>
      </c>
      <c r="F15" s="25">
        <v>7.1668137217406308E-2</v>
      </c>
      <c r="G15" s="4">
        <v>121.70894</v>
      </c>
      <c r="H15" s="25">
        <v>6.6285741000352422E-2</v>
      </c>
      <c r="I15" s="4">
        <v>104.79961999999999</v>
      </c>
      <c r="J15" s="25">
        <v>6.0768485812870011E-2</v>
      </c>
      <c r="K15" s="4">
        <v>126.86617</v>
      </c>
      <c r="L15" s="25">
        <v>7.3817455587411415E-2</v>
      </c>
      <c r="M15" s="4">
        <v>114.72287</v>
      </c>
      <c r="N15" s="25">
        <v>6.6851208369170315E-2</v>
      </c>
      <c r="O15" s="4">
        <v>101.40822999999999</v>
      </c>
      <c r="P15" s="25">
        <v>5.619817005456311E-2</v>
      </c>
      <c r="Q15" s="4">
        <v>144.49914000000001</v>
      </c>
      <c r="R15" s="25">
        <v>7.8136511094036576E-2</v>
      </c>
      <c r="S15" s="4">
        <v>100.17885000000001</v>
      </c>
      <c r="T15" s="25">
        <v>6.0039391638996222E-2</v>
      </c>
      <c r="U15" s="4">
        <v>109.42178999999999</v>
      </c>
      <c r="V15" s="25">
        <v>6.1926599390834905E-2</v>
      </c>
      <c r="W15" s="4">
        <v>143.48921999999999</v>
      </c>
      <c r="X15" s="25">
        <v>5.7630305998297791E-2</v>
      </c>
      <c r="Y15" s="4">
        <v>109.63088999999999</v>
      </c>
      <c r="Z15" s="25">
        <v>6.234188190183515E-2</v>
      </c>
      <c r="AA15" s="4">
        <v>1403.3697699999998</v>
      </c>
      <c r="AB15" s="25">
        <v>6.8025183533271402E-2</v>
      </c>
    </row>
    <row r="16" spans="1:28" ht="13" x14ac:dyDescent="0.3">
      <c r="B16" s="9" t="s">
        <v>43</v>
      </c>
      <c r="C16" s="5">
        <v>37.951329999999999</v>
      </c>
      <c r="D16" s="26">
        <v>2.3158936259888907E-2</v>
      </c>
      <c r="E16" s="5">
        <v>37.951329999999999</v>
      </c>
      <c r="F16" s="26">
        <v>2.4239644024528457E-2</v>
      </c>
      <c r="G16" s="5">
        <v>37.951329999999999</v>
      </c>
      <c r="H16" s="26">
        <v>2.0669246080024233E-2</v>
      </c>
      <c r="I16" s="5">
        <v>37.951329999999999</v>
      </c>
      <c r="J16" s="26">
        <v>2.2006233025315819E-2</v>
      </c>
      <c r="K16" s="5">
        <v>37.951329999999999</v>
      </c>
      <c r="L16" s="26">
        <v>2.2082093411964706E-2</v>
      </c>
      <c r="M16" s="5">
        <v>37.951329999999999</v>
      </c>
      <c r="N16" s="26">
        <v>2.2114965130467398E-2</v>
      </c>
      <c r="O16" s="5">
        <v>37.951329999999999</v>
      </c>
      <c r="P16" s="26">
        <v>2.10317771756478E-2</v>
      </c>
      <c r="Q16" s="5">
        <v>37.951329999999999</v>
      </c>
      <c r="R16" s="26">
        <v>2.052181429992208E-2</v>
      </c>
      <c r="S16" s="5">
        <v>37.951329999999999</v>
      </c>
      <c r="T16" s="26">
        <v>2.2745068096617062E-2</v>
      </c>
      <c r="U16" s="5">
        <v>37.951329999999999</v>
      </c>
      <c r="V16" s="26">
        <v>2.1478325379792954E-2</v>
      </c>
      <c r="W16" s="5">
        <v>37.951329999999999</v>
      </c>
      <c r="X16" s="26">
        <v>2.0832782194589793E-2</v>
      </c>
      <c r="Y16" s="5">
        <v>37.951329999999999</v>
      </c>
      <c r="Z16" s="26">
        <v>2.158111945344577E-2</v>
      </c>
      <c r="AA16" s="4">
        <v>455.41595999999987</v>
      </c>
      <c r="AB16" s="25">
        <v>2.2075261221410649E-2</v>
      </c>
    </row>
    <row r="17" spans="2:28" ht="13" x14ac:dyDescent="0.3">
      <c r="B17" s="9" t="s">
        <v>44</v>
      </c>
      <c r="C17" s="5">
        <v>637.05358000000001</v>
      </c>
      <c r="D17" s="26">
        <v>0.38874746295726764</v>
      </c>
      <c r="E17" s="5">
        <v>641.93120999999996</v>
      </c>
      <c r="F17" s="26">
        <v>0.41000365517189574</v>
      </c>
      <c r="G17" s="5">
        <v>678.73261000000002</v>
      </c>
      <c r="H17" s="26">
        <v>0.3696548009945137</v>
      </c>
      <c r="I17" s="5">
        <v>659.07565999999997</v>
      </c>
      <c r="J17" s="26">
        <v>0.38216770150805834</v>
      </c>
      <c r="K17" s="5">
        <v>690.87580000000003</v>
      </c>
      <c r="L17" s="26">
        <v>0.40198812404376466</v>
      </c>
      <c r="M17" s="5">
        <v>691.06242999999995</v>
      </c>
      <c r="N17" s="26">
        <v>0.40269528215285388</v>
      </c>
      <c r="O17" s="5">
        <v>652.78330000000005</v>
      </c>
      <c r="P17" s="26">
        <v>0.36175788594455194</v>
      </c>
      <c r="Q17" s="5">
        <v>726.28174999999999</v>
      </c>
      <c r="R17" s="26">
        <v>0.39272982535585538</v>
      </c>
      <c r="S17" s="5">
        <v>670.07166999999993</v>
      </c>
      <c r="T17" s="26">
        <v>0.40158871280041875</v>
      </c>
      <c r="U17" s="5">
        <v>685.46262999999999</v>
      </c>
      <c r="V17" s="26">
        <v>0.38793342427863864</v>
      </c>
      <c r="W17" s="5">
        <v>696.44792999999993</v>
      </c>
      <c r="X17" s="26">
        <v>0.37842347371998719</v>
      </c>
      <c r="Y17" s="5">
        <v>655.55035999999996</v>
      </c>
      <c r="Z17" s="26">
        <v>0.37278036440117851</v>
      </c>
      <c r="AA17" s="5">
        <v>8085.3289299999997</v>
      </c>
      <c r="AB17" s="26">
        <v>0.39191807900359643</v>
      </c>
    </row>
    <row r="18" spans="2:28" ht="13" x14ac:dyDescent="0.3">
      <c r="B18" s="1" t="s">
        <v>45</v>
      </c>
      <c r="C18" s="6">
        <v>2.7974899999999905</v>
      </c>
      <c r="D18" s="27">
        <v>1.7071046679438219E-3</v>
      </c>
      <c r="E18" s="6">
        <v>-9.9714500000000701</v>
      </c>
      <c r="F18" s="27">
        <v>-6.3687991542954094E-3</v>
      </c>
      <c r="G18" s="6">
        <v>61.342180000000049</v>
      </c>
      <c r="H18" s="27">
        <v>3.3408489597206263E-2</v>
      </c>
      <c r="I18" s="6">
        <v>27.784090000000202</v>
      </c>
      <c r="J18" s="27">
        <v>1.611071756737778E-2</v>
      </c>
      <c r="K18" s="6">
        <v>-42.367399999999904</v>
      </c>
      <c r="L18" s="27">
        <v>-2.4651596779930278E-2</v>
      </c>
      <c r="M18" s="6">
        <v>-26.741520000000019</v>
      </c>
      <c r="N18" s="27">
        <v>-1.5582794656621969E-2</v>
      </c>
      <c r="O18" s="6">
        <v>6.7191499999999067</v>
      </c>
      <c r="P18" s="27">
        <v>3.7236024563500666E-3</v>
      </c>
      <c r="Q18" s="6">
        <v>-56.073550000000047</v>
      </c>
      <c r="R18" s="27">
        <v>-3.0321229328126229E-2</v>
      </c>
      <c r="S18" s="6">
        <v>-57.114449999999955</v>
      </c>
      <c r="T18" s="27">
        <v>-3.4229948055860743E-2</v>
      </c>
      <c r="U18" s="6">
        <v>-39.554540000000152</v>
      </c>
      <c r="V18" s="27">
        <v>-2.2385652370234162E-2</v>
      </c>
      <c r="W18" s="6">
        <v>-141.16433000000006</v>
      </c>
      <c r="X18" s="27">
        <v>-4.2308719637855194E-2</v>
      </c>
      <c r="Y18" s="6">
        <v>5.1392099999998466</v>
      </c>
      <c r="Z18" s="27">
        <v>2.922424718879147E-3</v>
      </c>
      <c r="AA18" s="5">
        <v>-269.20512000000025</v>
      </c>
      <c r="AB18" s="26">
        <v>-1.3049110852727268E-2</v>
      </c>
    </row>
    <row r="19" spans="2:28" x14ac:dyDescent="0.25">
      <c r="B19" s="9"/>
      <c r="C19" s="3"/>
      <c r="D19" s="24"/>
      <c r="E19" s="3"/>
      <c r="F19" s="24"/>
      <c r="G19" s="3"/>
      <c r="H19" s="24"/>
      <c r="I19" s="3"/>
      <c r="J19" s="24"/>
      <c r="K19" s="3"/>
      <c r="L19" s="24"/>
      <c r="M19" s="3"/>
      <c r="N19" s="24"/>
      <c r="O19" s="3"/>
      <c r="P19" s="24"/>
      <c r="Q19" s="3"/>
      <c r="R19" s="24"/>
      <c r="S19" s="3"/>
      <c r="T19" s="24"/>
      <c r="U19" s="3"/>
      <c r="V19" s="24"/>
      <c r="W19" s="3"/>
      <c r="X19" s="24"/>
      <c r="Y19" s="3"/>
      <c r="Z19" s="24"/>
      <c r="AA19" s="6"/>
      <c r="AB19" s="27"/>
    </row>
    <row r="20" spans="2:28" x14ac:dyDescent="0.25">
      <c r="B20" s="9"/>
      <c r="C20" s="4">
        <v>0</v>
      </c>
      <c r="D20" s="25">
        <v>0</v>
      </c>
      <c r="E20" s="4">
        <v>0</v>
      </c>
      <c r="F20" s="25">
        <v>0</v>
      </c>
      <c r="G20" s="4">
        <v>0</v>
      </c>
      <c r="H20" s="25">
        <v>0</v>
      </c>
      <c r="I20" s="4">
        <v>0</v>
      </c>
      <c r="J20" s="25">
        <v>0</v>
      </c>
      <c r="K20" s="4">
        <v>0</v>
      </c>
      <c r="L20" s="25">
        <v>0</v>
      </c>
      <c r="M20" s="4">
        <v>0</v>
      </c>
      <c r="N20" s="25">
        <v>0</v>
      </c>
      <c r="O20" s="4">
        <v>0</v>
      </c>
      <c r="P20" s="25">
        <v>0</v>
      </c>
      <c r="Q20" s="4">
        <v>0</v>
      </c>
      <c r="R20" s="25">
        <v>0</v>
      </c>
      <c r="S20" s="4">
        <v>0</v>
      </c>
      <c r="T20" s="25">
        <v>0</v>
      </c>
      <c r="U20" s="4">
        <v>0</v>
      </c>
      <c r="V20" s="25">
        <v>0</v>
      </c>
      <c r="W20" s="4">
        <v>0</v>
      </c>
      <c r="X20" s="25">
        <v>0</v>
      </c>
      <c r="Y20" s="4">
        <v>0</v>
      </c>
      <c r="Z20" s="25">
        <v>0</v>
      </c>
      <c r="AA20" s="3">
        <v>0</v>
      </c>
      <c r="AB20" s="24">
        <v>0</v>
      </c>
    </row>
    <row r="21" spans="2:28" x14ac:dyDescent="0.25">
      <c r="B21" s="9" t="s">
        <v>52</v>
      </c>
      <c r="C21" s="4">
        <v>-48.270199999999996</v>
      </c>
      <c r="D21" s="25">
        <v>-2.9455792064522892E-2</v>
      </c>
      <c r="E21" s="4">
        <v>-37.261309999999995</v>
      </c>
      <c r="F21" s="25">
        <v>-2.3798925895024033E-2</v>
      </c>
      <c r="G21" s="4">
        <v>-37.871650000000002</v>
      </c>
      <c r="H21" s="25">
        <v>-2.0625850353770205E-2</v>
      </c>
      <c r="I21" s="4">
        <v>-44.780629999999995</v>
      </c>
      <c r="J21" s="25">
        <v>-2.5966230400896313E-2</v>
      </c>
      <c r="K21" s="4">
        <v>-40.698980000000006</v>
      </c>
      <c r="L21" s="25">
        <v>-2.3680821676913127E-2</v>
      </c>
      <c r="M21" s="4">
        <v>-38.440440000000002</v>
      </c>
      <c r="N21" s="25">
        <v>-2.2399978872936054E-2</v>
      </c>
      <c r="O21" s="4">
        <v>-84.503559999999993</v>
      </c>
      <c r="P21" s="25">
        <v>-4.6829980516334593E-2</v>
      </c>
      <c r="Q21" s="4">
        <v>-38.769300000000001</v>
      </c>
      <c r="R21" s="25">
        <v>-2.096412365885383E-2</v>
      </c>
      <c r="S21" s="4">
        <v>-49.148249999999997</v>
      </c>
      <c r="T21" s="25">
        <v>-2.9455628908909372E-2</v>
      </c>
      <c r="U21" s="4">
        <v>-38.878039999999999</v>
      </c>
      <c r="V21" s="25">
        <v>-2.2002791292126143E-2</v>
      </c>
      <c r="W21" s="4">
        <v>-39.137910000000005</v>
      </c>
      <c r="X21" s="25">
        <v>-2.170744650861196E-2</v>
      </c>
      <c r="Y21" s="4">
        <v>-63.137740000000001</v>
      </c>
      <c r="Z21" s="25">
        <v>-3.5903434977393449E-2</v>
      </c>
      <c r="AA21" s="4">
        <v>-560.89801</v>
      </c>
      <c r="AB21" s="25">
        <v>-2.7188265622749379E-2</v>
      </c>
    </row>
    <row r="22" spans="2:28" x14ac:dyDescent="0.25">
      <c r="B22" s="9" t="s">
        <v>184</v>
      </c>
      <c r="C22" s="4">
        <v>26.332889999999999</v>
      </c>
      <c r="D22" s="25">
        <v>1.6069047410161016E-2</v>
      </c>
      <c r="E22" s="4">
        <v>26.344480000000001</v>
      </c>
      <c r="F22" s="25">
        <v>1.6826309307508051E-2</v>
      </c>
      <c r="G22" s="4">
        <v>24.280419999999999</v>
      </c>
      <c r="H22" s="25">
        <v>1.3223725648253751E-2</v>
      </c>
      <c r="I22" s="4">
        <v>26.905159999999999</v>
      </c>
      <c r="J22" s="25">
        <v>1.5601066432807655E-2</v>
      </c>
      <c r="K22" s="4">
        <v>28.078009999999999</v>
      </c>
      <c r="L22" s="25">
        <v>1.6337273018945032E-2</v>
      </c>
      <c r="M22" s="4">
        <v>28.484400000000001</v>
      </c>
      <c r="N22" s="25">
        <v>1.6598404133986493E-2</v>
      </c>
      <c r="O22" s="4">
        <v>28.480589999999999</v>
      </c>
      <c r="P22" s="25">
        <v>1.5783305162453676E-2</v>
      </c>
      <c r="Q22" s="4">
        <v>30.336580000000001</v>
      </c>
      <c r="R22" s="25">
        <v>1.6404211953961304E-2</v>
      </c>
      <c r="S22" s="4">
        <v>29.843209999999999</v>
      </c>
      <c r="T22" s="25">
        <v>1.7885693167318334E-2</v>
      </c>
      <c r="U22" s="4">
        <v>28.511080000000003</v>
      </c>
      <c r="V22" s="25">
        <v>1.613567306255953E-2</v>
      </c>
      <c r="W22" s="4">
        <v>46.470620000000004</v>
      </c>
      <c r="X22" s="25">
        <v>1.7718896764141664E-2</v>
      </c>
      <c r="Y22" s="4">
        <v>28.232849999999999</v>
      </c>
      <c r="Z22" s="25">
        <v>1.6054681307907166E-2</v>
      </c>
      <c r="AA22" s="4">
        <v>352.30029000000002</v>
      </c>
      <c r="AB22" s="25">
        <v>1.7076961751908582E-2</v>
      </c>
    </row>
    <row r="23" spans="2:28" x14ac:dyDescent="0.25">
      <c r="B23" s="1" t="s">
        <v>47</v>
      </c>
      <c r="C23" s="4">
        <v>0</v>
      </c>
      <c r="D23" s="25">
        <v>0</v>
      </c>
      <c r="E23" s="4">
        <v>0</v>
      </c>
      <c r="F23" s="25">
        <v>0</v>
      </c>
      <c r="G23" s="4">
        <v>0</v>
      </c>
      <c r="H23" s="25">
        <v>0</v>
      </c>
      <c r="I23" s="4">
        <v>0</v>
      </c>
      <c r="J23" s="25">
        <v>0</v>
      </c>
      <c r="K23" s="4">
        <v>0</v>
      </c>
      <c r="L23" s="25">
        <v>0</v>
      </c>
      <c r="M23" s="4">
        <v>0</v>
      </c>
      <c r="N23" s="25">
        <v>0</v>
      </c>
      <c r="O23" s="4">
        <v>0</v>
      </c>
      <c r="P23" s="25">
        <v>0</v>
      </c>
      <c r="Q23" s="4">
        <v>0</v>
      </c>
      <c r="R23" s="25">
        <v>0</v>
      </c>
      <c r="S23" s="4">
        <v>0</v>
      </c>
      <c r="T23" s="25">
        <v>0</v>
      </c>
      <c r="U23" s="4">
        <v>0</v>
      </c>
      <c r="V23" s="25">
        <v>0</v>
      </c>
      <c r="W23" s="4">
        <v>0</v>
      </c>
      <c r="X23" s="25">
        <v>0</v>
      </c>
      <c r="Y23" s="4">
        <v>0</v>
      </c>
      <c r="Z23" s="25">
        <v>0</v>
      </c>
      <c r="AA23" s="4">
        <v>0</v>
      </c>
      <c r="AB23" s="25">
        <v>0</v>
      </c>
    </row>
    <row r="24" spans="2:28" ht="13" x14ac:dyDescent="0.3">
      <c r="B24" s="9"/>
      <c r="C24" s="5">
        <v>0</v>
      </c>
      <c r="D24" s="26">
        <v>0</v>
      </c>
      <c r="E24" s="5">
        <v>0</v>
      </c>
      <c r="F24" s="26">
        <v>0</v>
      </c>
      <c r="G24" s="5">
        <v>0</v>
      </c>
      <c r="H24" s="26">
        <v>0</v>
      </c>
      <c r="I24" s="5">
        <v>0</v>
      </c>
      <c r="J24" s="26">
        <v>0</v>
      </c>
      <c r="K24" s="5">
        <v>0</v>
      </c>
      <c r="L24" s="26">
        <v>0</v>
      </c>
      <c r="M24" s="5">
        <v>0</v>
      </c>
      <c r="N24" s="26">
        <v>0</v>
      </c>
      <c r="O24" s="5">
        <v>0</v>
      </c>
      <c r="P24" s="26">
        <v>0</v>
      </c>
      <c r="Q24" s="5">
        <v>0</v>
      </c>
      <c r="R24" s="26">
        <v>0</v>
      </c>
      <c r="S24" s="5">
        <v>0</v>
      </c>
      <c r="T24" s="26">
        <v>0</v>
      </c>
      <c r="U24" s="5">
        <v>0</v>
      </c>
      <c r="V24" s="26">
        <v>0</v>
      </c>
      <c r="W24" s="5">
        <v>0</v>
      </c>
      <c r="X24" s="26">
        <v>0</v>
      </c>
      <c r="Y24" s="5">
        <v>0</v>
      </c>
      <c r="Z24" s="26">
        <v>0</v>
      </c>
      <c r="AA24" s="4">
        <v>0</v>
      </c>
      <c r="AB24" s="25">
        <v>0</v>
      </c>
    </row>
    <row r="25" spans="2:28" ht="13" x14ac:dyDescent="0.3">
      <c r="B25" s="9" t="s">
        <v>48</v>
      </c>
      <c r="C25" s="5">
        <v>-21.937309999999997</v>
      </c>
      <c r="D25" s="26">
        <v>-1.3386744654361876E-2</v>
      </c>
      <c r="E25" s="5">
        <v>-10.916829999999994</v>
      </c>
      <c r="F25" s="26">
        <v>-6.9726165875159812E-3</v>
      </c>
      <c r="G25" s="5">
        <v>-13.591230000000003</v>
      </c>
      <c r="H25" s="26">
        <v>-7.4021247055164555E-3</v>
      </c>
      <c r="I25" s="5">
        <v>-17.875469999999996</v>
      </c>
      <c r="J25" s="26">
        <v>-1.0365163968088656E-2</v>
      </c>
      <c r="K25" s="5">
        <v>-12.620970000000007</v>
      </c>
      <c r="L25" s="26">
        <v>-7.3435486579680968E-3</v>
      </c>
      <c r="M25" s="5">
        <v>-9.9560400000000016</v>
      </c>
      <c r="N25" s="26">
        <v>-5.8015747389495624E-3</v>
      </c>
      <c r="O25" s="5">
        <v>-56.022969999999994</v>
      </c>
      <c r="P25" s="26">
        <v>-3.1046675353880917E-2</v>
      </c>
      <c r="Q25" s="5">
        <v>-8.4327199999999998</v>
      </c>
      <c r="R25" s="26">
        <v>-4.5599117048925279E-3</v>
      </c>
      <c r="S25" s="5">
        <v>-19.305039999999998</v>
      </c>
      <c r="T25" s="26">
        <v>-1.1569935741591039E-2</v>
      </c>
      <c r="U25" s="5">
        <v>-10.366959999999995</v>
      </c>
      <c r="V25" s="26">
        <v>-5.8671182295666124E-3</v>
      </c>
      <c r="W25" s="5">
        <v>7.3327099999999987</v>
      </c>
      <c r="X25" s="26">
        <v>-3.9885497444702963E-3</v>
      </c>
      <c r="Y25" s="5">
        <v>-34.904890000000002</v>
      </c>
      <c r="Z25" s="26">
        <v>-1.9848753669486283E-2</v>
      </c>
      <c r="AA25" s="5">
        <v>-208.59771999999998</v>
      </c>
      <c r="AB25" s="26">
        <v>-1.0111303870840797E-2</v>
      </c>
    </row>
    <row r="26" spans="2:28" ht="13" x14ac:dyDescent="0.3">
      <c r="B26" s="1" t="s">
        <v>49</v>
      </c>
      <c r="C26" s="6">
        <v>24.734799999999989</v>
      </c>
      <c r="D26" s="27">
        <v>1.5093849322305699E-2</v>
      </c>
      <c r="E26" s="6">
        <v>0.94537999999992828</v>
      </c>
      <c r="F26" s="27">
        <v>6.0381743322057431E-4</v>
      </c>
      <c r="G26" s="6">
        <v>74.933410000000066</v>
      </c>
      <c r="H26" s="27">
        <v>4.0810614302722731E-2</v>
      </c>
      <c r="I26" s="6">
        <v>45.659560000000198</v>
      </c>
      <c r="J26" s="27">
        <v>2.6475881535466438E-2</v>
      </c>
      <c r="K26" s="6">
        <v>-29.746429999999901</v>
      </c>
      <c r="L26" s="27">
        <v>-1.7308048121962186E-2</v>
      </c>
      <c r="M26" s="6">
        <v>-16.785480000000017</v>
      </c>
      <c r="N26" s="27">
        <v>-9.7812199176724058E-3</v>
      </c>
      <c r="O26" s="6">
        <v>62.742119999999908</v>
      </c>
      <c r="P26" s="27">
        <v>3.4770277810230989E-2</v>
      </c>
      <c r="Q26" s="6">
        <v>-47.640830000000044</v>
      </c>
      <c r="R26" s="27">
        <v>-2.57613176232337E-2</v>
      </c>
      <c r="S26" s="6">
        <v>-37.80940999999995</v>
      </c>
      <c r="T26" s="27">
        <v>-2.2660012314269697E-2</v>
      </c>
      <c r="U26" s="6">
        <v>-29.187580000000153</v>
      </c>
      <c r="V26" s="27">
        <v>-1.6518534140667548E-2</v>
      </c>
      <c r="W26" s="6">
        <v>-148.49704000000006</v>
      </c>
      <c r="X26" s="27">
        <v>-3.8320169893384895E-2</v>
      </c>
      <c r="Y26" s="6">
        <v>40.044099999999844</v>
      </c>
      <c r="Z26" s="27">
        <v>2.2771178388365426E-2</v>
      </c>
      <c r="AA26" s="5">
        <v>-60.607400000000183</v>
      </c>
      <c r="AB26" s="26">
        <v>-2.9378069818864674E-3</v>
      </c>
    </row>
    <row r="27" spans="2:28" x14ac:dyDescent="0.25">
      <c r="B27" s="9"/>
      <c r="C27" s="3"/>
      <c r="D27" s="24"/>
      <c r="E27" s="3"/>
      <c r="F27" s="24"/>
      <c r="G27" s="3"/>
      <c r="H27" s="24"/>
      <c r="I27" s="3"/>
      <c r="J27" s="24"/>
      <c r="K27" s="3"/>
      <c r="L27" s="24"/>
      <c r="M27" s="3"/>
      <c r="N27" s="24"/>
      <c r="O27" s="3"/>
      <c r="P27" s="24"/>
      <c r="Q27" s="3"/>
      <c r="R27" s="24"/>
      <c r="S27" s="3"/>
      <c r="T27" s="24"/>
      <c r="U27" s="3"/>
      <c r="V27" s="24"/>
      <c r="W27" s="3"/>
      <c r="X27" s="24"/>
      <c r="Y27" s="3"/>
      <c r="Z27" s="24"/>
      <c r="AA27" s="6"/>
      <c r="AB27" s="27"/>
    </row>
    <row r="28" spans="2:28" x14ac:dyDescent="0.25">
      <c r="B28" s="9" t="s">
        <v>50</v>
      </c>
      <c r="C28" s="4">
        <v>0</v>
      </c>
      <c r="D28" s="25">
        <v>0</v>
      </c>
      <c r="E28" s="4">
        <v>0</v>
      </c>
      <c r="F28" s="25">
        <v>0</v>
      </c>
      <c r="G28" s="4">
        <v>0</v>
      </c>
      <c r="H28" s="25">
        <v>0</v>
      </c>
      <c r="I28" s="4">
        <v>0</v>
      </c>
      <c r="J28" s="25">
        <v>0</v>
      </c>
      <c r="K28" s="4">
        <v>0</v>
      </c>
      <c r="L28" s="25">
        <v>0</v>
      </c>
      <c r="M28" s="4">
        <v>0</v>
      </c>
      <c r="N28" s="25">
        <v>0</v>
      </c>
      <c r="O28" s="4">
        <v>0</v>
      </c>
      <c r="P28" s="25">
        <v>0</v>
      </c>
      <c r="Q28" s="4">
        <v>0</v>
      </c>
      <c r="R28" s="25">
        <v>0</v>
      </c>
      <c r="S28" s="4">
        <v>0</v>
      </c>
      <c r="T28" s="25">
        <v>0</v>
      </c>
      <c r="U28" s="4">
        <v>0</v>
      </c>
      <c r="V28" s="25">
        <v>0</v>
      </c>
      <c r="W28" s="4">
        <v>0</v>
      </c>
      <c r="X28" s="25">
        <v>0</v>
      </c>
      <c r="Y28" s="4">
        <v>0</v>
      </c>
      <c r="Z28" s="25">
        <v>0</v>
      </c>
      <c r="AA28" s="3">
        <v>0</v>
      </c>
      <c r="AB28" s="24">
        <v>0</v>
      </c>
    </row>
    <row r="29" spans="2:28" ht="13" x14ac:dyDescent="0.3">
      <c r="B29" s="80" t="s">
        <v>51</v>
      </c>
      <c r="C29" s="5">
        <v>4.1669999999999998</v>
      </c>
      <c r="D29" s="26">
        <v>2.5428170078613077E-3</v>
      </c>
      <c r="E29" s="5">
        <v>4.1669999999999998</v>
      </c>
      <c r="F29" s="26">
        <v>2.661477124786143E-3</v>
      </c>
      <c r="G29" s="5">
        <v>4.1669999999999998</v>
      </c>
      <c r="H29" s="26">
        <v>2.2694527020650128E-3</v>
      </c>
      <c r="I29" s="5">
        <v>4.1669999999999998</v>
      </c>
      <c r="J29" s="26">
        <v>2.4162518946369209E-3</v>
      </c>
      <c r="K29" s="5">
        <v>4.1669999999999998</v>
      </c>
      <c r="L29" s="26">
        <v>2.4245812530853841E-3</v>
      </c>
      <c r="M29" s="5">
        <v>4.1669999999999998</v>
      </c>
      <c r="N29" s="26">
        <v>2.4281905192428737E-3</v>
      </c>
      <c r="O29" s="5">
        <v>4.1669999999999998</v>
      </c>
      <c r="P29" s="26">
        <v>2.3092580810981957E-3</v>
      </c>
      <c r="Q29" s="5">
        <v>4.1669999999999998</v>
      </c>
      <c r="R29" s="26">
        <v>2.2532649102883959E-3</v>
      </c>
      <c r="S29" s="5">
        <v>4.1669999999999998</v>
      </c>
      <c r="T29" s="26">
        <v>2.4973748945979839E-3</v>
      </c>
      <c r="U29" s="5">
        <v>4.1669999999999998</v>
      </c>
      <c r="V29" s="26">
        <v>2.3582884145983089E-3</v>
      </c>
      <c r="W29" s="5">
        <v>5.33</v>
      </c>
      <c r="X29" s="26">
        <v>0</v>
      </c>
      <c r="Y29" s="5">
        <v>0</v>
      </c>
      <c r="Z29" s="26">
        <v>0</v>
      </c>
      <c r="AA29" s="4">
        <v>47.000000000000007</v>
      </c>
      <c r="AB29" s="25">
        <v>2.2782189658138046E-3</v>
      </c>
    </row>
    <row r="30" spans="2:28" ht="13" x14ac:dyDescent="0.3">
      <c r="B30" s="1" t="s">
        <v>53</v>
      </c>
      <c r="C30" s="5">
        <v>20.567799999999991</v>
      </c>
      <c r="D30" s="26">
        <v>1.2551032314444393E-2</v>
      </c>
      <c r="E30" s="5">
        <v>-3.2216200000000716</v>
      </c>
      <c r="F30" s="26">
        <v>-2.0576596915655686E-3</v>
      </c>
      <c r="G30" s="5">
        <v>70.766410000000064</v>
      </c>
      <c r="H30" s="26">
        <v>3.8541161600657715E-2</v>
      </c>
      <c r="I30" s="5">
        <v>41.492560000000196</v>
      </c>
      <c r="J30" s="26">
        <v>2.4059629640829517E-2</v>
      </c>
      <c r="K30" s="5">
        <v>-33.913429999999899</v>
      </c>
      <c r="L30" s="26">
        <v>-1.9732629375047567E-2</v>
      </c>
      <c r="M30" s="5">
        <v>-20.952480000000016</v>
      </c>
      <c r="N30" s="26">
        <v>-1.2209410436915279E-2</v>
      </c>
      <c r="O30" s="5">
        <v>58.575119999999906</v>
      </c>
      <c r="P30" s="26">
        <v>3.246101972913279E-2</v>
      </c>
      <c r="Q30" s="5">
        <v>-51.807830000000045</v>
      </c>
      <c r="R30" s="26">
        <v>-2.8014582533522098E-2</v>
      </c>
      <c r="S30" s="5">
        <v>-41.976409999999952</v>
      </c>
      <c r="T30" s="26">
        <v>-2.5157387208867683E-2</v>
      </c>
      <c r="U30" s="5">
        <v>-33.354580000000155</v>
      </c>
      <c r="V30" s="26">
        <v>-1.8876822555265856E-2</v>
      </c>
      <c r="W30" s="5">
        <v>-153.82704000000007</v>
      </c>
      <c r="X30" s="26">
        <v>-3.8320169893384895E-2</v>
      </c>
      <c r="Y30" s="5">
        <v>40.044099999999844</v>
      </c>
      <c r="Z30" s="26">
        <v>2.2771178388365426E-2</v>
      </c>
      <c r="AA30" s="5">
        <v>-107.6074000000002</v>
      </c>
      <c r="AB30" s="26">
        <v>-5.2160259477002724E-3</v>
      </c>
    </row>
    <row r="31" spans="2:28" ht="13" x14ac:dyDescent="0.3">
      <c r="B31" s="1" t="s">
        <v>122</v>
      </c>
      <c r="C31" s="2">
        <v>40.748819999999988</v>
      </c>
      <c r="D31" s="21">
        <v>2.486604092783273E-2</v>
      </c>
      <c r="E31" s="2">
        <v>27.97987999999993</v>
      </c>
      <c r="F31" s="21">
        <v>1.7870844870233049E-2</v>
      </c>
      <c r="G31" s="2">
        <v>99.293510000000055</v>
      </c>
      <c r="H31" s="21">
        <v>5.4077735677230503E-2</v>
      </c>
      <c r="I31" s="2">
        <v>65.735420000000204</v>
      </c>
      <c r="J31" s="21">
        <v>3.8116950592693599E-2</v>
      </c>
      <c r="K31" s="2">
        <v>-4.4160699999999053</v>
      </c>
      <c r="L31" s="21">
        <v>-2.5695033679655733E-3</v>
      </c>
      <c r="M31" s="2">
        <v>11.20980999999998</v>
      </c>
      <c r="N31" s="21">
        <v>6.5321704738454311E-3</v>
      </c>
      <c r="O31" s="2">
        <v>44.670479999999905</v>
      </c>
      <c r="P31" s="21">
        <v>2.4755379631997868E-2</v>
      </c>
      <c r="Q31" s="2">
        <v>-18.122220000000048</v>
      </c>
      <c r="R31" s="21">
        <v>-9.7994150282041479E-3</v>
      </c>
      <c r="S31" s="2">
        <v>-19.163119999999957</v>
      </c>
      <c r="T31" s="21">
        <v>-1.1484879959243679E-2</v>
      </c>
      <c r="U31" s="2">
        <v>-1.6032100000001535</v>
      </c>
      <c r="V31" s="21">
        <v>-9.0732699044120872E-4</v>
      </c>
      <c r="W31" s="2">
        <v>-103.21300000000006</v>
      </c>
      <c r="X31" s="21">
        <v>-2.1475937443265397E-2</v>
      </c>
      <c r="Y31" s="2">
        <v>43.090539999999848</v>
      </c>
      <c r="Z31" s="21">
        <v>2.450354417232492E-2</v>
      </c>
      <c r="AA31" s="5">
        <v>186.21083999999979</v>
      </c>
      <c r="AB31" s="26">
        <v>9.0261503686833895E-3</v>
      </c>
    </row>
    <row r="32" spans="2:28" x14ac:dyDescent="0.25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 s="2"/>
      <c r="AB32" s="21"/>
    </row>
    <row r="33" spans="1:28" x14ac:dyDescent="0.25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ht="13" x14ac:dyDescent="0.3">
      <c r="C35" s="8"/>
      <c r="D35" s="23"/>
      <c r="E35" s="8"/>
      <c r="F35" s="23"/>
      <c r="G35" s="8"/>
      <c r="H35" s="23"/>
      <c r="I35" s="8"/>
      <c r="J35" s="23"/>
      <c r="K35" s="8"/>
      <c r="L35" s="23"/>
      <c r="M35" s="8"/>
      <c r="N35" s="23"/>
      <c r="O35" s="8"/>
      <c r="P35" s="23"/>
      <c r="Q35" s="8"/>
      <c r="R35" s="23"/>
      <c r="S35" s="8"/>
      <c r="T35" s="23"/>
      <c r="U35" s="8"/>
      <c r="V35" s="23"/>
      <c r="W35" s="8"/>
      <c r="X35" s="23"/>
      <c r="Y35" s="8"/>
      <c r="Z35" s="23"/>
      <c r="AA35"/>
      <c r="AB35"/>
    </row>
    <row r="36" spans="1:28" ht="13" x14ac:dyDescent="0.3">
      <c r="C36" s="112"/>
      <c r="D36" s="115"/>
      <c r="E36" s="112"/>
      <c r="F36" s="115"/>
      <c r="G36" s="112"/>
      <c r="H36" s="115"/>
      <c r="I36" s="112"/>
      <c r="J36" s="115"/>
      <c r="K36" s="112"/>
      <c r="L36" s="115"/>
      <c r="M36" s="112"/>
      <c r="N36" s="115"/>
      <c r="O36" s="112"/>
      <c r="P36" s="115"/>
      <c r="Q36" s="112"/>
      <c r="R36" s="115"/>
      <c r="S36" s="112"/>
      <c r="T36" s="115"/>
      <c r="U36" s="112"/>
      <c r="V36" s="115"/>
      <c r="W36" s="112"/>
      <c r="X36" s="115"/>
      <c r="Y36" s="112"/>
      <c r="Z36" s="115"/>
      <c r="AA36" s="8" t="s">
        <v>181</v>
      </c>
      <c r="AB36" s="23"/>
    </row>
    <row r="37" spans="1:28" ht="13" x14ac:dyDescent="0.3">
      <c r="A37" s="113"/>
      <c r="B37" s="9"/>
      <c r="C37" s="112" t="s">
        <v>195</v>
      </c>
      <c r="D37" s="115"/>
      <c r="E37" s="112" t="s">
        <v>197</v>
      </c>
      <c r="F37" s="115"/>
      <c r="G37" s="112" t="s">
        <v>198</v>
      </c>
      <c r="H37" s="115"/>
      <c r="I37" s="112" t="s">
        <v>199</v>
      </c>
      <c r="J37" s="115"/>
      <c r="K37" s="112" t="s">
        <v>200</v>
      </c>
      <c r="L37" s="115"/>
      <c r="M37" s="112" t="s">
        <v>201</v>
      </c>
      <c r="N37" s="115"/>
      <c r="O37" s="112" t="s">
        <v>202</v>
      </c>
      <c r="P37" s="115"/>
      <c r="Q37" s="112" t="s">
        <v>203</v>
      </c>
      <c r="R37" s="115"/>
      <c r="S37" s="112" t="s">
        <v>204</v>
      </c>
      <c r="T37" s="115"/>
      <c r="U37" s="112" t="s">
        <v>205</v>
      </c>
      <c r="V37" s="115"/>
      <c r="W37" s="112" t="s">
        <v>206</v>
      </c>
      <c r="X37" s="115"/>
      <c r="Y37" s="112" t="s">
        <v>207</v>
      </c>
      <c r="Z37" s="115"/>
      <c r="AA37" s="112" t="s">
        <v>208</v>
      </c>
      <c r="AB37" s="115"/>
    </row>
    <row r="38" spans="1:28" x14ac:dyDescent="0.25">
      <c r="A38" t="s">
        <v>32</v>
      </c>
      <c r="B38" s="9" t="s">
        <v>38</v>
      </c>
      <c r="C38" s="154">
        <v>318.73633000000001</v>
      </c>
      <c r="D38" s="155">
        <f>IF(C$38=0,"N.D.",C38/C$38)</f>
        <v>1</v>
      </c>
      <c r="E38" s="154">
        <v>315.03576999999996</v>
      </c>
      <c r="F38" s="155">
        <f>IF(E$38=0,"N.D.",E38/E$38)</f>
        <v>1</v>
      </c>
      <c r="G38" s="154">
        <v>356.05422999999996</v>
      </c>
      <c r="H38" s="155">
        <f>IF(G$38=0,"N.D.",G38/G$38)</f>
        <v>1</v>
      </c>
      <c r="I38" s="154">
        <v>320.74748999999997</v>
      </c>
      <c r="J38" s="155">
        <f>IF(I$38=0,"N.D.",I38/I$38)</f>
        <v>1</v>
      </c>
      <c r="K38" s="154">
        <v>314.10799000000003</v>
      </c>
      <c r="L38" s="155">
        <f>IF(K$38=0,"N.D.",K38/K$38)</f>
        <v>1</v>
      </c>
      <c r="M38" s="154">
        <v>309.57533999999998</v>
      </c>
      <c r="N38" s="155">
        <f>IF(M$38=0,"N.D.",M38/M$38)</f>
        <v>1</v>
      </c>
      <c r="O38" s="154">
        <v>295.20931999999999</v>
      </c>
      <c r="P38" s="155">
        <f>IF(O$38=0,"N.D.",O38/O$38)</f>
        <v>1</v>
      </c>
      <c r="Q38" s="154">
        <v>292.12508000000003</v>
      </c>
      <c r="R38" s="155">
        <f>IF(Q$38=0,"N.D.",Q38/Q$38)</f>
        <v>1</v>
      </c>
      <c r="S38" s="154">
        <v>277.09462000000002</v>
      </c>
      <c r="T38" s="155">
        <f>IF(S$38=0,"N.D.",S38/S$38)</f>
        <v>1</v>
      </c>
      <c r="U38" s="154">
        <v>277.64724000000001</v>
      </c>
      <c r="V38" s="155">
        <f>IF(U$38=0,"N.D.",U38/U$38)</f>
        <v>1</v>
      </c>
      <c r="W38" s="154">
        <v>257.10947000000004</v>
      </c>
      <c r="X38" s="156">
        <v>1</v>
      </c>
      <c r="Y38" s="154">
        <v>298.02312000000001</v>
      </c>
      <c r="Z38" s="155">
        <f>IF(Y$38=0,"N.D.",Y38/Y$38)</f>
        <v>1</v>
      </c>
      <c r="AA38" s="154">
        <f>+Y38+W38+U38+S38+Q38+O38+M38+K38+I38+G38+E38+C38</f>
        <v>3631.4659999999994</v>
      </c>
      <c r="AB38" s="155">
        <f>IF(AA$38=0,"N.D.",AA38/AA$38)</f>
        <v>1</v>
      </c>
    </row>
    <row r="39" spans="1:28" x14ac:dyDescent="0.25">
      <c r="B39" s="9" t="s">
        <v>39</v>
      </c>
      <c r="C39" s="154">
        <v>202.68463</v>
      </c>
      <c r="D39" s="155">
        <f>IF(C$38=0,"N.D.",C39/C$38)</f>
        <v>0.63590062042817641</v>
      </c>
      <c r="E39" s="154">
        <v>190.10470000000001</v>
      </c>
      <c r="F39" s="155">
        <f>IF(E$38=0,"N.D.",E39/E$38)</f>
        <v>0.60343846033737703</v>
      </c>
      <c r="G39" s="154">
        <v>213.80445</v>
      </c>
      <c r="H39" s="155">
        <f>IF(G$38=0,"N.D.",G39/G$38)</f>
        <v>0.60048282532691721</v>
      </c>
      <c r="I39" s="154">
        <v>200.04004</v>
      </c>
      <c r="J39" s="155">
        <f>IF(I$38=0,"N.D.",I39/I$38)</f>
        <v>0.62366829433334003</v>
      </c>
      <c r="K39" s="154">
        <v>202.01201999999998</v>
      </c>
      <c r="L39" s="155">
        <f>IF(K$38=0,"N.D.",K39/K$38)</f>
        <v>0.6431291989738942</v>
      </c>
      <c r="M39" s="154">
        <v>197.74966000000001</v>
      </c>
      <c r="N39" s="155">
        <f>IF(M$38=0,"N.D.",M39/M$38)</f>
        <v>0.63877717133412504</v>
      </c>
      <c r="O39" s="154">
        <v>193.96998000000002</v>
      </c>
      <c r="P39" s="155">
        <f>IF(O$38=0,"N.D.",O39/O$38)</f>
        <v>0.65705913349890177</v>
      </c>
      <c r="Q39" s="154">
        <v>193.65642000000003</v>
      </c>
      <c r="R39" s="155">
        <f>IF(Q$38=0,"N.D.",Q39/Q$38)</f>
        <v>0.66292295067578588</v>
      </c>
      <c r="S39" s="154">
        <v>183.35187999999999</v>
      </c>
      <c r="T39" s="155">
        <f>IF(S$38=0,"N.D.",S39/S$38)</f>
        <v>0.66169411733796912</v>
      </c>
      <c r="U39" s="154">
        <v>187.57704999999999</v>
      </c>
      <c r="V39" s="155">
        <f>IF(U$38=0,"N.D.",U39/U$38)</f>
        <v>0.67559486634911259</v>
      </c>
      <c r="W39" s="154">
        <v>174.09584000000001</v>
      </c>
      <c r="X39" s="155">
        <v>0.63268622746484771</v>
      </c>
      <c r="Y39" s="154">
        <v>193.37890999999999</v>
      </c>
      <c r="Z39" s="155">
        <f>IF(Y$38=0,"N.D.",Y39/Y$38)</f>
        <v>0.64887217474939529</v>
      </c>
      <c r="AA39" s="154">
        <f t="shared" ref="AA39:AA60" si="0">+Y39+W39+U39+S39+Q39+O39+M39+K39+I39+G39+E39+C39</f>
        <v>2332.4255800000001</v>
      </c>
      <c r="AB39" s="155">
        <f>IF(AA$38=0,"N.D.",AA39/AA$38)</f>
        <v>0.64228209213579324</v>
      </c>
    </row>
    <row r="40" spans="1:28" x14ac:dyDescent="0.25">
      <c r="B40" s="9" t="s">
        <v>219</v>
      </c>
      <c r="C40" s="154"/>
      <c r="D40" s="155"/>
      <c r="E40" s="154"/>
      <c r="F40" s="155"/>
      <c r="G40" s="154"/>
      <c r="H40" s="155"/>
      <c r="I40" s="154"/>
      <c r="J40" s="155"/>
      <c r="K40" s="154"/>
      <c r="L40" s="155"/>
      <c r="M40" s="154"/>
      <c r="N40" s="155"/>
      <c r="O40" s="154"/>
      <c r="P40" s="155"/>
      <c r="Q40" s="154"/>
      <c r="R40" s="155"/>
      <c r="S40" s="154"/>
      <c r="T40" s="155"/>
      <c r="U40" s="154"/>
      <c r="V40" s="155"/>
      <c r="W40" s="154"/>
      <c r="X40" s="155"/>
      <c r="Y40" s="154"/>
      <c r="Z40" s="155"/>
      <c r="AA40" s="154"/>
      <c r="AB40" s="155"/>
    </row>
    <row r="41" spans="1:28" ht="13" x14ac:dyDescent="0.3">
      <c r="B41" s="9" t="s">
        <v>40</v>
      </c>
      <c r="C41" s="5">
        <v>116.05170000000001</v>
      </c>
      <c r="D41" s="26">
        <f>IF(C$38=0,"N.D.",C41/C$38)</f>
        <v>0.36409937957182353</v>
      </c>
      <c r="E41" s="5">
        <v>124.93106999999995</v>
      </c>
      <c r="F41" s="26">
        <f>IF(E$38=0,"N.D.",E41/E$38)</f>
        <v>0.39656153966262297</v>
      </c>
      <c r="G41" s="5">
        <v>142.24977999999996</v>
      </c>
      <c r="H41" s="26">
        <f>IF(G$38=0,"N.D.",G41/G$38)</f>
        <v>0.39951717467308273</v>
      </c>
      <c r="I41" s="5">
        <v>120.70744999999998</v>
      </c>
      <c r="J41" s="26">
        <f>IF(I$38=0,"N.D.",I41/I$38)</f>
        <v>0.37633170566666008</v>
      </c>
      <c r="K41" s="5">
        <v>112.09597000000007</v>
      </c>
      <c r="L41" s="26">
        <f>IF(K$38=0,"N.D.",K41/K$38)</f>
        <v>0.35687080102610585</v>
      </c>
      <c r="M41" s="5">
        <v>111.82567999999996</v>
      </c>
      <c r="N41" s="26">
        <f>IF(M$38=0,"N.D.",M41/M$38)</f>
        <v>0.36122282866587491</v>
      </c>
      <c r="O41" s="5">
        <v>101.23934</v>
      </c>
      <c r="P41" s="26">
        <f>IF(O$38=0,"N.D.",O41/O$38)</f>
        <v>0.34294086650109828</v>
      </c>
      <c r="Q41" s="5">
        <v>98.46866</v>
      </c>
      <c r="R41" s="26">
        <f>IF(Q$38=0,"N.D.",Q41/Q$38)</f>
        <v>0.33707704932421412</v>
      </c>
      <c r="S41" s="5">
        <v>93.742739999999998</v>
      </c>
      <c r="T41" s="26">
        <f>IF(S$38=0,"N.D.",S41/S$38)</f>
        <v>0.33830588266203071</v>
      </c>
      <c r="U41" s="5">
        <v>90.070189999999997</v>
      </c>
      <c r="V41" s="26">
        <f>IF(U$38=0,"N.D.",U41/U$38)</f>
        <v>0.32440513365088736</v>
      </c>
      <c r="W41" s="5">
        <v>83.013630000000035</v>
      </c>
      <c r="X41" s="26">
        <v>0.36731377253515229</v>
      </c>
      <c r="Y41" s="5">
        <v>104.64420999999999</v>
      </c>
      <c r="Z41" s="26">
        <f>IF(Y$38=0,"N.D.",Y41/Y$38)</f>
        <v>0.35112782525060465</v>
      </c>
      <c r="AA41" s="5">
        <f t="shared" si="0"/>
        <v>1299.0404199999998</v>
      </c>
      <c r="AB41" s="26">
        <f>IF(AA$38=0,"N.D.",AA41/AA$38)</f>
        <v>0.35771790786420693</v>
      </c>
    </row>
    <row r="42" spans="1:28" x14ac:dyDescent="0.25">
      <c r="B42" s="9"/>
      <c r="C42" s="74"/>
      <c r="D42" s="157"/>
      <c r="E42" s="74"/>
      <c r="F42" s="157"/>
      <c r="G42" s="74"/>
      <c r="H42" s="157"/>
      <c r="I42" s="74"/>
      <c r="J42" s="157"/>
      <c r="K42" s="74"/>
      <c r="L42" s="157"/>
      <c r="M42" s="74"/>
      <c r="N42" s="157"/>
      <c r="O42" s="74"/>
      <c r="P42" s="157"/>
      <c r="Q42" s="74"/>
      <c r="R42" s="157"/>
      <c r="S42" s="74"/>
      <c r="T42" s="157"/>
      <c r="U42" s="74"/>
      <c r="V42" s="157"/>
      <c r="W42" s="74"/>
      <c r="X42" s="157"/>
      <c r="Y42" s="74"/>
      <c r="Z42" s="157"/>
      <c r="AA42" s="74"/>
      <c r="AB42" s="157"/>
    </row>
    <row r="43" spans="1:28" x14ac:dyDescent="0.25">
      <c r="B43" s="9" t="s">
        <v>41</v>
      </c>
      <c r="C43" s="158">
        <v>118.71723999999999</v>
      </c>
      <c r="D43" s="156">
        <f>IF(C$38=0,"N.D.",C43/C$38)</f>
        <v>0.37246221665412282</v>
      </c>
      <c r="E43" s="158">
        <v>121.72216</v>
      </c>
      <c r="F43" s="156">
        <f>IF(E$38=0,"N.D.",E43/E$38)</f>
        <v>0.38637568045050891</v>
      </c>
      <c r="G43" s="158">
        <v>117.81994</v>
      </c>
      <c r="H43" s="156">
        <f>IF(G$38=0,"N.D.",G43/G$38)</f>
        <v>0.33090448047759469</v>
      </c>
      <c r="I43" s="158">
        <v>124.13773999999999</v>
      </c>
      <c r="J43" s="156">
        <f>IF(I$38=0,"N.D.",I43/I$38)</f>
        <v>0.38702638015967017</v>
      </c>
      <c r="K43" s="158">
        <v>121.10298999999999</v>
      </c>
      <c r="L43" s="156">
        <f>IF(K$38=0,"N.D.",K43/K$38)</f>
        <v>0.38554571629967127</v>
      </c>
      <c r="M43" s="158">
        <v>118.98690000000001</v>
      </c>
      <c r="N43" s="156">
        <f>IF(M$38=0,"N.D.",M43/M$38)</f>
        <v>0.38435522674383565</v>
      </c>
      <c r="O43" s="158">
        <v>115.22072</v>
      </c>
      <c r="P43" s="156">
        <f>IF(O$38=0,"N.D.",O43/O$38)</f>
        <v>0.39030176960537699</v>
      </c>
      <c r="Q43" s="158">
        <v>120.72743999999999</v>
      </c>
      <c r="R43" s="156">
        <f>IF(Q$38=0,"N.D.",Q43/Q$38)</f>
        <v>0.41327310890252894</v>
      </c>
      <c r="S43" s="158">
        <v>114.12363000000001</v>
      </c>
      <c r="T43" s="156">
        <f>IF(S$38=0,"N.D.",S43/S$38)</f>
        <v>0.41185797833245552</v>
      </c>
      <c r="U43" s="158">
        <v>115.57135000000001</v>
      </c>
      <c r="V43" s="156">
        <f>IF(U$38=0,"N.D.",U43/U$38)</f>
        <v>0.41625247202169202</v>
      </c>
      <c r="W43" s="158">
        <v>108.86703999999999</v>
      </c>
      <c r="X43" s="156">
        <v>0.39621495101666065</v>
      </c>
      <c r="Y43" s="158">
        <v>111.22820999999999</v>
      </c>
      <c r="Z43" s="156">
        <f>IF(Y$38=0,"N.D.",Y43/Y$38)</f>
        <v>0.37322007097972798</v>
      </c>
      <c r="AA43" s="158">
        <f t="shared" si="0"/>
        <v>1408.2253599999999</v>
      </c>
      <c r="AB43" s="156">
        <f>IF(AA$38=0,"N.D.",AA43/AA$38)</f>
        <v>0.38778426123224069</v>
      </c>
    </row>
    <row r="44" spans="1:28" x14ac:dyDescent="0.25">
      <c r="B44" s="9" t="s">
        <v>42</v>
      </c>
      <c r="C44" s="154">
        <v>15.334479999999999</v>
      </c>
      <c r="D44" s="155">
        <f>IF(C$38=0,"N.D.",C44/C$38)</f>
        <v>4.8110235817799621E-2</v>
      </c>
      <c r="E44" s="154">
        <v>15.84675</v>
      </c>
      <c r="F44" s="155">
        <f>IF(E$38=0,"N.D.",E44/E$38)</f>
        <v>5.0301430850217425E-2</v>
      </c>
      <c r="G44" s="154">
        <v>13.01263</v>
      </c>
      <c r="H44" s="155">
        <f>IF(G$38=0,"N.D.",G44/G$38)</f>
        <v>3.6546764238694768E-2</v>
      </c>
      <c r="I44" s="154">
        <v>14.697479999999999</v>
      </c>
      <c r="J44" s="155">
        <f>IF(I$38=0,"N.D.",I44/I$38)</f>
        <v>4.5822587730928149E-2</v>
      </c>
      <c r="K44" s="154">
        <v>18.13043</v>
      </c>
      <c r="L44" s="155">
        <f>IF(K$38=0,"N.D.",K44/K$38)</f>
        <v>5.7720371901396075E-2</v>
      </c>
      <c r="M44" s="154">
        <v>13.46359</v>
      </c>
      <c r="N44" s="155">
        <f>IF(M$38=0,"N.D.",M44/M$38)</f>
        <v>4.3490511873458655E-2</v>
      </c>
      <c r="O44" s="154">
        <v>15.224600000000001</v>
      </c>
      <c r="P44" s="155">
        <f>IF(O$38=0,"N.D.",O44/O$38)</f>
        <v>5.1572220009856062E-2</v>
      </c>
      <c r="Q44" s="154">
        <v>18.957669999999997</v>
      </c>
      <c r="R44" s="155">
        <f>IF(Q$38=0,"N.D.",Q44/Q$38)</f>
        <v>6.4895728911738754E-2</v>
      </c>
      <c r="S44" s="154">
        <v>15.195549999999999</v>
      </c>
      <c r="T44" s="155">
        <f>IF(S$38=0,"N.D.",S44/S$38)</f>
        <v>5.4838848910166493E-2</v>
      </c>
      <c r="U44" s="154">
        <v>14.401999999999999</v>
      </c>
      <c r="V44" s="155">
        <f>IF(U$38=0,"N.D.",U44/U$38)</f>
        <v>5.1871576321090025E-2</v>
      </c>
      <c r="W44" s="154">
        <v>17.548200000000001</v>
      </c>
      <c r="X44" s="155">
        <v>6.1009140000509256E-2</v>
      </c>
      <c r="Y44" s="154">
        <v>16.04617</v>
      </c>
      <c r="Z44" s="155">
        <f>IF(Y$38=0,"N.D.",Y44/Y$38)</f>
        <v>5.3842030779356981E-2</v>
      </c>
      <c r="AA44" s="154">
        <f t="shared" si="0"/>
        <v>187.85954999999996</v>
      </c>
      <c r="AB44" s="155">
        <f>IF(AA$38=0,"N.D.",AA44/AA$38)</f>
        <v>5.1731050214982047E-2</v>
      </c>
    </row>
    <row r="45" spans="1:28" x14ac:dyDescent="0.25">
      <c r="B45" s="9" t="s">
        <v>43</v>
      </c>
      <c r="C45" s="154">
        <v>1.8633199999999999</v>
      </c>
      <c r="D45" s="155">
        <f>IF(C$38=0,"N.D.",C45/C$38)</f>
        <v>5.8459605153890048E-3</v>
      </c>
      <c r="E45" s="154">
        <v>1.8633199999999999</v>
      </c>
      <c r="F45" s="155">
        <f>IF(E$38=0,"N.D.",E45/E$38)</f>
        <v>5.9146299482119129E-3</v>
      </c>
      <c r="G45" s="154">
        <v>1.8633199999999999</v>
      </c>
      <c r="H45" s="155">
        <f>IF(G$38=0,"N.D.",G45/G$38)</f>
        <v>5.2332477555455531E-3</v>
      </c>
      <c r="I45" s="154">
        <v>1.8633199999999999</v>
      </c>
      <c r="J45" s="155">
        <f>IF(I$38=0,"N.D.",I45/I$38)</f>
        <v>5.8093050081233681E-3</v>
      </c>
      <c r="K45" s="154">
        <v>1.8633199999999999</v>
      </c>
      <c r="L45" s="155">
        <f>IF(K$38=0,"N.D.",K45/K$38)</f>
        <v>5.9320999761897164E-3</v>
      </c>
      <c r="M45" s="154">
        <v>1.8633199999999999</v>
      </c>
      <c r="N45" s="155">
        <f>IF(M$38=0,"N.D.",M45/M$38)</f>
        <v>6.0189548689504793E-3</v>
      </c>
      <c r="O45" s="154">
        <v>1.8633199999999999</v>
      </c>
      <c r="P45" s="155">
        <f>IF(O$38=0,"N.D.",O45/O$38)</f>
        <v>6.3118603437045959E-3</v>
      </c>
      <c r="Q45" s="154">
        <v>1.8633199999999999</v>
      </c>
      <c r="R45" s="155">
        <f>IF(Q$38=0,"N.D.",Q45/Q$38)</f>
        <v>6.3785006066579414E-3</v>
      </c>
      <c r="S45" s="154">
        <v>1.8633199999999999</v>
      </c>
      <c r="T45" s="155">
        <f>IF(S$38=0,"N.D.",S45/S$38)</f>
        <v>6.7244899955112795E-3</v>
      </c>
      <c r="U45" s="154">
        <v>1.8633199999999999</v>
      </c>
      <c r="V45" s="155">
        <f>IF(U$38=0,"N.D.",U45/U$38)</f>
        <v>6.711105790210628E-3</v>
      </c>
      <c r="W45" s="154">
        <v>1.8633199999999999</v>
      </c>
      <c r="X45" s="155">
        <v>6.1697329520698039E-3</v>
      </c>
      <c r="Y45" s="154">
        <v>1.8633199999999999</v>
      </c>
      <c r="Z45" s="155">
        <f>IF(Y$38=0,"N.D.",Y45/Y$38)</f>
        <v>6.2522666026716307E-3</v>
      </c>
      <c r="AA45" s="154">
        <f t="shared" si="0"/>
        <v>22.359840000000005</v>
      </c>
      <c r="AB45" s="155">
        <f>IF(AA$38=0,"N.D.",AA45/AA$38)</f>
        <v>6.157248890668399E-3</v>
      </c>
    </row>
    <row r="46" spans="1:28" ht="13" x14ac:dyDescent="0.3">
      <c r="B46" s="9" t="s">
        <v>44</v>
      </c>
      <c r="C46" s="5">
        <v>135.91504</v>
      </c>
      <c r="D46" s="26">
        <f>IF(C$38=0,"N.D.",C46/C$38)</f>
        <v>0.42641841298731148</v>
      </c>
      <c r="E46" s="5">
        <v>139.43223</v>
      </c>
      <c r="F46" s="26">
        <f>IF(E$38=0,"N.D.",E46/E$38)</f>
        <v>0.44259174124893824</v>
      </c>
      <c r="G46" s="5">
        <v>132.69589000000002</v>
      </c>
      <c r="H46" s="26">
        <f>IF(G$38=0,"N.D.",G46/G$38)</f>
        <v>0.37268449247183505</v>
      </c>
      <c r="I46" s="5">
        <v>140.69854000000001</v>
      </c>
      <c r="J46" s="26">
        <f>IF(I$38=0,"N.D.",I46/I$38)</f>
        <v>0.43865827289872172</v>
      </c>
      <c r="K46" s="5">
        <v>141.09673999999998</v>
      </c>
      <c r="L46" s="26">
        <f>IF(K$38=0,"N.D.",K46/K$38)</f>
        <v>0.44919818817725704</v>
      </c>
      <c r="M46" s="5">
        <v>134.31381000000002</v>
      </c>
      <c r="N46" s="26">
        <f>IF(M$38=0,"N.D.",M46/M$38)</f>
        <v>0.43386469348624485</v>
      </c>
      <c r="O46" s="5">
        <v>132.30864000000003</v>
      </c>
      <c r="P46" s="26">
        <f>IF(O$38=0,"N.D.",O46/O$38)</f>
        <v>0.44818584995893773</v>
      </c>
      <c r="Q46" s="5">
        <v>141.54843</v>
      </c>
      <c r="R46" s="26">
        <f>IF(Q$38=0,"N.D.",Q46/Q$38)</f>
        <v>0.48454733842092568</v>
      </c>
      <c r="S46" s="5">
        <v>131.1825</v>
      </c>
      <c r="T46" s="26">
        <f>IF(S$38=0,"N.D.",S46/S$38)</f>
        <v>0.4734213172381333</v>
      </c>
      <c r="U46" s="5">
        <v>131.83667000000003</v>
      </c>
      <c r="V46" s="26">
        <f>IF(U$38=0,"N.D.",U46/U$38)</f>
        <v>0.47483515413299271</v>
      </c>
      <c r="W46" s="5">
        <v>128.27856</v>
      </c>
      <c r="X46" s="26">
        <v>0.46339382396923973</v>
      </c>
      <c r="Y46" s="5">
        <v>129.1377</v>
      </c>
      <c r="Z46" s="26">
        <f>IF(Y$38=0,"N.D.",Y46/Y$38)</f>
        <v>0.43331436836175663</v>
      </c>
      <c r="AA46" s="5">
        <f t="shared" si="0"/>
        <v>1618.4447500000003</v>
      </c>
      <c r="AB46" s="26">
        <f>IF(AA$38=0,"N.D.",AA46/AA$38)</f>
        <v>0.44567256033789127</v>
      </c>
    </row>
    <row r="47" spans="1:28" ht="13" x14ac:dyDescent="0.3">
      <c r="B47" s="1" t="s">
        <v>45</v>
      </c>
      <c r="C47" s="5">
        <v>-19.863339999999997</v>
      </c>
      <c r="D47" s="26">
        <f>IF(C$38=0,"N.D.",C47/C$38)</f>
        <v>-6.2319033415487959E-2</v>
      </c>
      <c r="E47" s="5">
        <v>-14.501160000000061</v>
      </c>
      <c r="F47" s="26">
        <f>IF(E$38=0,"N.D.",E47/E$38)</f>
        <v>-4.6030201586315302E-2</v>
      </c>
      <c r="G47" s="5">
        <v>9.5538899999999565</v>
      </c>
      <c r="H47" s="26">
        <f>IF(G$38=0,"N.D.",G47/G$38)</f>
        <v>2.6832682201247706E-2</v>
      </c>
      <c r="I47" s="5">
        <v>-19.991090000000025</v>
      </c>
      <c r="J47" s="26">
        <f>IF(I$38=0,"N.D.",I47/I$38)</f>
        <v>-6.2326567232061668E-2</v>
      </c>
      <c r="K47" s="5">
        <v>-29.000769999999932</v>
      </c>
      <c r="L47" s="26">
        <f>IF(K$38=0,"N.D.",K47/K$38)</f>
        <v>-9.23273871511512E-2</v>
      </c>
      <c r="M47" s="5">
        <v>-22.488130000000062</v>
      </c>
      <c r="N47" s="26">
        <f>IF(M$38=0,"N.D.",M47/M$38)</f>
        <v>-7.2641864820369939E-2</v>
      </c>
      <c r="O47" s="5">
        <v>-31.069300000000016</v>
      </c>
      <c r="P47" s="26">
        <f>IF(O$38=0,"N.D.",O47/O$38)</f>
        <v>-0.10524498345783939</v>
      </c>
      <c r="Q47" s="5">
        <v>-43.079769999999989</v>
      </c>
      <c r="R47" s="26">
        <f>IF(Q$38=0,"N.D.",Q47/Q$38)</f>
        <v>-0.14747028909671153</v>
      </c>
      <c r="S47" s="5">
        <v>-37.439760000000007</v>
      </c>
      <c r="T47" s="26">
        <f>IF(S$38=0,"N.D.",S47/S$38)</f>
        <v>-0.13511543457610256</v>
      </c>
      <c r="U47" s="5">
        <v>-41.766480000000008</v>
      </c>
      <c r="V47" s="26">
        <f>IF(U$38=0,"N.D.",U47/U$38)</f>
        <v>-0.1504300204821053</v>
      </c>
      <c r="W47" s="5">
        <v>-45.264929999999964</v>
      </c>
      <c r="X47" s="26">
        <v>-9.6080051434087405E-2</v>
      </c>
      <c r="Y47" s="5">
        <v>-24.493490000000005</v>
      </c>
      <c r="Z47" s="26">
        <f>IF(Y$38=0,"N.D.",Y47/Y$38)</f>
        <v>-8.2186543111151922E-2</v>
      </c>
      <c r="AA47" s="5">
        <f t="shared" si="0"/>
        <v>-319.40433000000013</v>
      </c>
      <c r="AB47" s="26">
        <f>IF(AA$38=0,"N.D.",AA47/AA$38)</f>
        <v>-8.7954652473684225E-2</v>
      </c>
    </row>
    <row r="48" spans="1:28" x14ac:dyDescent="0.25">
      <c r="B48" s="9"/>
      <c r="C48" s="74"/>
      <c r="D48" s="157"/>
      <c r="E48" s="74"/>
      <c r="F48" s="157"/>
      <c r="G48" s="74"/>
      <c r="H48" s="157"/>
      <c r="I48" s="74"/>
      <c r="J48" s="157"/>
      <c r="K48" s="74"/>
      <c r="L48" s="157"/>
      <c r="M48" s="74"/>
      <c r="N48" s="157"/>
      <c r="O48" s="74"/>
      <c r="P48" s="157"/>
      <c r="Q48" s="74"/>
      <c r="R48" s="157"/>
      <c r="S48" s="74"/>
      <c r="T48" s="157"/>
      <c r="U48" s="74"/>
      <c r="V48" s="157"/>
      <c r="W48" s="74"/>
      <c r="X48" s="157"/>
      <c r="Y48" s="74"/>
      <c r="Z48" s="157"/>
      <c r="AA48" s="74"/>
      <c r="AB48" s="157"/>
    </row>
    <row r="49" spans="2:28" x14ac:dyDescent="0.25">
      <c r="B49" s="9"/>
      <c r="C49" s="158">
        <v>0</v>
      </c>
      <c r="D49" s="156">
        <f t="shared" ref="D49:D55" si="1">IF(C$38=0,"N.D.",C49/C$38)</f>
        <v>0</v>
      </c>
      <c r="E49" s="158">
        <v>0</v>
      </c>
      <c r="F49" s="156">
        <f t="shared" ref="F49:F55" si="2">IF(E$38=0,"N.D.",E49/E$38)</f>
        <v>0</v>
      </c>
      <c r="G49" s="158">
        <v>0</v>
      </c>
      <c r="H49" s="156">
        <f t="shared" ref="H49:H55" si="3">IF(G$38=0,"N.D.",G49/G$38)</f>
        <v>0</v>
      </c>
      <c r="I49" s="158">
        <v>0</v>
      </c>
      <c r="J49" s="156">
        <f t="shared" ref="J49:J55" si="4">IF(I$38=0,"N.D.",I49/I$38)</f>
        <v>0</v>
      </c>
      <c r="K49" s="158">
        <v>0</v>
      </c>
      <c r="L49" s="156">
        <f t="shared" ref="L49:L55" si="5">IF(K$38=0,"N.D.",K49/K$38)</f>
        <v>0</v>
      </c>
      <c r="M49" s="158">
        <v>0</v>
      </c>
      <c r="N49" s="156">
        <f t="shared" ref="N49:N55" si="6">IF(M$38=0,"N.D.",M49/M$38)</f>
        <v>0</v>
      </c>
      <c r="O49" s="158">
        <v>0</v>
      </c>
      <c r="P49" s="156">
        <f t="shared" ref="P49:P55" si="7">IF(O$38=0,"N.D.",O49/O$38)</f>
        <v>0</v>
      </c>
      <c r="Q49" s="158">
        <v>0</v>
      </c>
      <c r="R49" s="156">
        <f t="shared" ref="R49:R55" si="8">IF(Q$38=0,"N.D.",Q49/Q$38)</f>
        <v>0</v>
      </c>
      <c r="S49" s="158">
        <v>0</v>
      </c>
      <c r="T49" s="156">
        <f t="shared" ref="T49:T55" si="9">IF(S$38=0,"N.D.",S49/S$38)</f>
        <v>0</v>
      </c>
      <c r="U49" s="158">
        <v>0</v>
      </c>
      <c r="V49" s="156">
        <f t="shared" ref="V49:V55" si="10">IF(U$38=0,"N.D.",U49/U$38)</f>
        <v>0</v>
      </c>
      <c r="W49" s="158">
        <v>0</v>
      </c>
      <c r="X49" s="156">
        <v>0</v>
      </c>
      <c r="Y49" s="158">
        <v>0</v>
      </c>
      <c r="Z49" s="156">
        <f t="shared" ref="Z49:Z55" si="11">IF(Y$38=0,"N.D.",Y49/Y$38)</f>
        <v>0</v>
      </c>
      <c r="AA49" s="158">
        <f t="shared" si="0"/>
        <v>0</v>
      </c>
      <c r="AB49" s="156">
        <f t="shared" ref="AB49:AB55" si="12">IF(AA$38=0,"N.D.",AA49/AA$38)</f>
        <v>0</v>
      </c>
    </row>
    <row r="50" spans="2:28" x14ac:dyDescent="0.25">
      <c r="B50" s="9" t="s">
        <v>52</v>
      </c>
      <c r="C50" s="154">
        <v>-9.3043999999999993</v>
      </c>
      <c r="D50" s="155">
        <f t="shared" si="1"/>
        <v>-2.9191526425619566E-2</v>
      </c>
      <c r="E50" s="154">
        <v>-3.8370100000000003</v>
      </c>
      <c r="F50" s="155">
        <f t="shared" si="2"/>
        <v>-1.2179601065618679E-2</v>
      </c>
      <c r="G50" s="154">
        <v>-1.1602699999999999</v>
      </c>
      <c r="H50" s="155">
        <f t="shared" si="3"/>
        <v>-3.2586889924043315E-3</v>
      </c>
      <c r="I50" s="154">
        <v>-31.90624</v>
      </c>
      <c r="J50" s="155">
        <f t="shared" si="4"/>
        <v>-9.9474636574708675E-2</v>
      </c>
      <c r="K50" s="154">
        <v>-1.8107</v>
      </c>
      <c r="L50" s="155">
        <f t="shared" si="5"/>
        <v>-5.7645779720534958E-3</v>
      </c>
      <c r="M50" s="154">
        <v>-26.427679999999999</v>
      </c>
      <c r="N50" s="155">
        <f t="shared" si="6"/>
        <v>-8.5367523136694282E-2</v>
      </c>
      <c r="O50" s="154">
        <v>-3.4180799999999998</v>
      </c>
      <c r="P50" s="155">
        <f t="shared" si="7"/>
        <v>-1.1578496234468478E-2</v>
      </c>
      <c r="Q50" s="154">
        <v>-1.45085</v>
      </c>
      <c r="R50" s="155">
        <f t="shared" si="8"/>
        <v>-4.9665369368491049E-3</v>
      </c>
      <c r="S50" s="154">
        <v>-0.81498999999999999</v>
      </c>
      <c r="T50" s="155">
        <f t="shared" si="9"/>
        <v>-2.9411974869811616E-3</v>
      </c>
      <c r="U50" s="154">
        <v>-1.22801</v>
      </c>
      <c r="V50" s="155">
        <f t="shared" si="10"/>
        <v>-4.422914486742242E-3</v>
      </c>
      <c r="W50" s="154">
        <v>-1.44746</v>
      </c>
      <c r="X50" s="155">
        <v>-6.5249862893535611E-3</v>
      </c>
      <c r="Y50" s="154">
        <v>-0.70646000000000009</v>
      </c>
      <c r="Z50" s="155">
        <f t="shared" si="11"/>
        <v>-2.3704872293129477E-3</v>
      </c>
      <c r="AA50" s="154">
        <f t="shared" si="0"/>
        <v>-83.512150000000005</v>
      </c>
      <c r="AB50" s="155">
        <f t="shared" si="12"/>
        <v>-2.299681450962229E-2</v>
      </c>
    </row>
    <row r="51" spans="2:28" x14ac:dyDescent="0.25">
      <c r="B51" s="9" t="s">
        <v>184</v>
      </c>
      <c r="C51" s="154">
        <v>0.70865999999999996</v>
      </c>
      <c r="D51" s="155">
        <f t="shared" si="1"/>
        <v>2.2233424096964409E-3</v>
      </c>
      <c r="E51" s="154">
        <v>0.71860999999999997</v>
      </c>
      <c r="F51" s="155">
        <f t="shared" si="2"/>
        <v>2.2810425622461859E-3</v>
      </c>
      <c r="G51" s="154">
        <v>0.64610999999999996</v>
      </c>
      <c r="H51" s="155">
        <f t="shared" si="3"/>
        <v>1.8146393036813523E-3</v>
      </c>
      <c r="I51" s="154">
        <v>0.73741000000000001</v>
      </c>
      <c r="J51" s="155">
        <f t="shared" si="4"/>
        <v>2.2990359176310315E-3</v>
      </c>
      <c r="K51" s="154">
        <v>0.72426999999999997</v>
      </c>
      <c r="L51" s="155">
        <f t="shared" si="5"/>
        <v>2.305799352636652E-3</v>
      </c>
      <c r="M51" s="154">
        <v>0.74512</v>
      </c>
      <c r="N51" s="155">
        <f t="shared" si="6"/>
        <v>2.4069100594381969E-3</v>
      </c>
      <c r="O51" s="154">
        <v>0.98547000000000007</v>
      </c>
      <c r="P51" s="155">
        <f t="shared" si="7"/>
        <v>3.3382076148544366E-3</v>
      </c>
      <c r="Q51" s="154">
        <v>1.0168699999999999</v>
      </c>
      <c r="R51" s="155">
        <f t="shared" si="8"/>
        <v>3.480940424560602E-3</v>
      </c>
      <c r="S51" s="154">
        <v>1.0101799999999999</v>
      </c>
      <c r="T51" s="155">
        <f t="shared" si="9"/>
        <v>3.6456139061812162E-3</v>
      </c>
      <c r="U51" s="154">
        <v>0.97878999999999994</v>
      </c>
      <c r="V51" s="155">
        <f t="shared" si="10"/>
        <v>3.5253006656936329E-3</v>
      </c>
      <c r="W51" s="154">
        <v>0.92532000000000003</v>
      </c>
      <c r="X51" s="155">
        <v>3.0390732646020163E-3</v>
      </c>
      <c r="Y51" s="154">
        <v>0.99154999999999993</v>
      </c>
      <c r="Z51" s="155">
        <f t="shared" si="11"/>
        <v>3.3270908646282206E-3</v>
      </c>
      <c r="AA51" s="154">
        <f t="shared" si="0"/>
        <v>10.188359999999999</v>
      </c>
      <c r="AB51" s="155">
        <f t="shared" si="12"/>
        <v>2.8055776923148947E-3</v>
      </c>
    </row>
    <row r="52" spans="2:28" x14ac:dyDescent="0.25">
      <c r="B52" s="1" t="s">
        <v>47</v>
      </c>
      <c r="C52" s="154">
        <v>0</v>
      </c>
      <c r="D52" s="155">
        <f t="shared" si="1"/>
        <v>0</v>
      </c>
      <c r="E52" s="154">
        <v>0</v>
      </c>
      <c r="F52" s="155">
        <f t="shared" si="2"/>
        <v>0</v>
      </c>
      <c r="G52" s="154">
        <v>0</v>
      </c>
      <c r="H52" s="155">
        <f t="shared" si="3"/>
        <v>0</v>
      </c>
      <c r="I52" s="154">
        <v>0</v>
      </c>
      <c r="J52" s="155">
        <f t="shared" si="4"/>
        <v>0</v>
      </c>
      <c r="K52" s="154">
        <v>0</v>
      </c>
      <c r="L52" s="155">
        <f t="shared" si="5"/>
        <v>0</v>
      </c>
      <c r="M52" s="154">
        <v>0</v>
      </c>
      <c r="N52" s="155">
        <f t="shared" si="6"/>
        <v>0</v>
      </c>
      <c r="O52" s="154">
        <v>0</v>
      </c>
      <c r="P52" s="155">
        <f t="shared" si="7"/>
        <v>0</v>
      </c>
      <c r="Q52" s="154">
        <v>0</v>
      </c>
      <c r="R52" s="155">
        <f t="shared" si="8"/>
        <v>0</v>
      </c>
      <c r="S52" s="154">
        <v>0</v>
      </c>
      <c r="T52" s="155">
        <f t="shared" si="9"/>
        <v>0</v>
      </c>
      <c r="U52" s="154">
        <v>0</v>
      </c>
      <c r="V52" s="155">
        <f t="shared" si="10"/>
        <v>0</v>
      </c>
      <c r="W52" s="154">
        <v>0</v>
      </c>
      <c r="X52" s="155">
        <v>0</v>
      </c>
      <c r="Y52" s="154">
        <v>0</v>
      </c>
      <c r="Z52" s="155">
        <f t="shared" si="11"/>
        <v>0</v>
      </c>
      <c r="AA52" s="154">
        <f t="shared" si="0"/>
        <v>0</v>
      </c>
      <c r="AB52" s="155">
        <f t="shared" si="12"/>
        <v>0</v>
      </c>
    </row>
    <row r="53" spans="2:28" x14ac:dyDescent="0.25">
      <c r="B53" s="9"/>
      <c r="C53" s="154">
        <v>0</v>
      </c>
      <c r="D53" s="155">
        <f t="shared" si="1"/>
        <v>0</v>
      </c>
      <c r="E53" s="154">
        <v>0</v>
      </c>
      <c r="F53" s="155">
        <f t="shared" si="2"/>
        <v>0</v>
      </c>
      <c r="G53" s="154">
        <v>0</v>
      </c>
      <c r="H53" s="155">
        <f t="shared" si="3"/>
        <v>0</v>
      </c>
      <c r="I53" s="154">
        <v>0</v>
      </c>
      <c r="J53" s="155">
        <f t="shared" si="4"/>
        <v>0</v>
      </c>
      <c r="K53" s="154">
        <v>0</v>
      </c>
      <c r="L53" s="155">
        <f t="shared" si="5"/>
        <v>0</v>
      </c>
      <c r="M53" s="154">
        <v>0</v>
      </c>
      <c r="N53" s="155">
        <f t="shared" si="6"/>
        <v>0</v>
      </c>
      <c r="O53" s="154">
        <v>0</v>
      </c>
      <c r="P53" s="155">
        <f t="shared" si="7"/>
        <v>0</v>
      </c>
      <c r="Q53" s="154">
        <v>0</v>
      </c>
      <c r="R53" s="155">
        <f t="shared" si="8"/>
        <v>0</v>
      </c>
      <c r="S53" s="154">
        <v>0</v>
      </c>
      <c r="T53" s="155">
        <f t="shared" si="9"/>
        <v>0</v>
      </c>
      <c r="U53" s="154">
        <v>0</v>
      </c>
      <c r="V53" s="155">
        <f t="shared" si="10"/>
        <v>0</v>
      </c>
      <c r="W53" s="154">
        <v>0</v>
      </c>
      <c r="X53" s="155">
        <v>0</v>
      </c>
      <c r="Y53" s="154">
        <v>0</v>
      </c>
      <c r="Z53" s="155">
        <f t="shared" si="11"/>
        <v>0</v>
      </c>
      <c r="AA53" s="154">
        <f t="shared" si="0"/>
        <v>0</v>
      </c>
      <c r="AB53" s="155">
        <f t="shared" si="12"/>
        <v>0</v>
      </c>
    </row>
    <row r="54" spans="2:28" ht="13" x14ac:dyDescent="0.3">
      <c r="B54" s="9" t="s">
        <v>48</v>
      </c>
      <c r="C54" s="5">
        <v>-8.5957399999999993</v>
      </c>
      <c r="D54" s="26">
        <f t="shared" si="1"/>
        <v>-2.6968184015923127E-2</v>
      </c>
      <c r="E54" s="5">
        <v>-3.1184000000000003</v>
      </c>
      <c r="F54" s="26">
        <f t="shared" si="2"/>
        <v>-9.898558503372493E-3</v>
      </c>
      <c r="G54" s="5">
        <v>-0.51415999999999995</v>
      </c>
      <c r="H54" s="26">
        <f t="shared" si="3"/>
        <v>-1.444049688722979E-3</v>
      </c>
      <c r="I54" s="5">
        <v>-31.16883</v>
      </c>
      <c r="J54" s="26">
        <f t="shared" si="4"/>
        <v>-9.7175600657077643E-2</v>
      </c>
      <c r="K54" s="5">
        <v>-1.08643</v>
      </c>
      <c r="L54" s="26">
        <f t="shared" si="5"/>
        <v>-3.4587786194168442E-3</v>
      </c>
      <c r="M54" s="5">
        <v>-25.682559999999999</v>
      </c>
      <c r="N54" s="26">
        <f t="shared" si="6"/>
        <v>-8.2960613077256093E-2</v>
      </c>
      <c r="O54" s="5">
        <v>-2.4326099999999995</v>
      </c>
      <c r="P54" s="26">
        <f t="shared" si="7"/>
        <v>-8.2402886196140408E-3</v>
      </c>
      <c r="Q54" s="5">
        <v>-0.43398000000000003</v>
      </c>
      <c r="R54" s="26">
        <f t="shared" si="8"/>
        <v>-1.4855965122885033E-3</v>
      </c>
      <c r="S54" s="5">
        <v>0.19518999999999986</v>
      </c>
      <c r="T54" s="26">
        <f t="shared" si="9"/>
        <v>7.0441641920005469E-4</v>
      </c>
      <c r="U54" s="5">
        <v>-0.24922000000000011</v>
      </c>
      <c r="V54" s="26">
        <f t="shared" si="10"/>
        <v>-8.9761382104860867E-4</v>
      </c>
      <c r="W54" s="5">
        <v>-0.52213999999999994</v>
      </c>
      <c r="X54" s="26">
        <v>-3.4859130247515443E-3</v>
      </c>
      <c r="Y54" s="5">
        <v>0.28508999999999984</v>
      </c>
      <c r="Z54" s="26">
        <f t="shared" si="11"/>
        <v>9.5660363531527303E-4</v>
      </c>
      <c r="AA54" s="5">
        <f t="shared" si="0"/>
        <v>-73.323790000000002</v>
      </c>
      <c r="AB54" s="26">
        <f t="shared" si="12"/>
        <v>-2.0191236817307393E-2</v>
      </c>
    </row>
    <row r="55" spans="2:28" ht="13" x14ac:dyDescent="0.3">
      <c r="B55" s="1" t="s">
        <v>49</v>
      </c>
      <c r="C55" s="5">
        <v>-11.267599999999998</v>
      </c>
      <c r="D55" s="26">
        <f t="shared" si="1"/>
        <v>-3.5350849399564829E-2</v>
      </c>
      <c r="E55" s="5">
        <v>-11.382760000000061</v>
      </c>
      <c r="F55" s="26">
        <f t="shared" si="2"/>
        <v>-3.613164308294281E-2</v>
      </c>
      <c r="G55" s="5">
        <v>10.068049999999957</v>
      </c>
      <c r="H55" s="26">
        <f t="shared" si="3"/>
        <v>2.8276731889970687E-2</v>
      </c>
      <c r="I55" s="5">
        <v>11.177739999999975</v>
      </c>
      <c r="J55" s="26">
        <f t="shared" si="4"/>
        <v>3.4849033425015968E-2</v>
      </c>
      <c r="K55" s="5">
        <v>-27.914339999999932</v>
      </c>
      <c r="L55" s="26">
        <f t="shared" si="5"/>
        <v>-8.8868608531734353E-2</v>
      </c>
      <c r="M55" s="5">
        <v>3.1944299999999366</v>
      </c>
      <c r="N55" s="26">
        <f t="shared" si="6"/>
        <v>1.0318748256886149E-2</v>
      </c>
      <c r="O55" s="5">
        <v>-28.636690000000016</v>
      </c>
      <c r="P55" s="26">
        <f t="shared" si="7"/>
        <v>-9.7004694838225353E-2</v>
      </c>
      <c r="Q55" s="5">
        <v>-42.645789999999991</v>
      </c>
      <c r="R55" s="26">
        <f t="shared" si="8"/>
        <v>-0.14598469258442304</v>
      </c>
      <c r="S55" s="5">
        <v>-37.634950000000003</v>
      </c>
      <c r="T55" s="26">
        <f t="shared" si="9"/>
        <v>-0.13581985099530261</v>
      </c>
      <c r="U55" s="5">
        <v>-41.517260000000007</v>
      </c>
      <c r="V55" s="26">
        <f t="shared" si="10"/>
        <v>-0.14953240666105669</v>
      </c>
      <c r="W55" s="5">
        <v>-44.742789999999964</v>
      </c>
      <c r="X55" s="26">
        <v>-9.2594138409335863E-2</v>
      </c>
      <c r="Y55" s="5">
        <v>-24.778580000000005</v>
      </c>
      <c r="Z55" s="26">
        <f t="shared" si="11"/>
        <v>-8.3143146746467209E-2</v>
      </c>
      <c r="AA55" s="5">
        <f t="shared" si="0"/>
        <v>-246.08054000000007</v>
      </c>
      <c r="AB55" s="26">
        <f t="shared" si="12"/>
        <v>-6.7763415656376821E-2</v>
      </c>
    </row>
    <row r="56" spans="2:28" x14ac:dyDescent="0.25">
      <c r="B56" s="9"/>
      <c r="C56" s="74"/>
      <c r="D56" s="157"/>
      <c r="E56" s="74"/>
      <c r="F56" s="157"/>
      <c r="G56" s="74"/>
      <c r="H56" s="157"/>
      <c r="I56" s="74"/>
      <c r="J56" s="157"/>
      <c r="K56" s="74"/>
      <c r="L56" s="157"/>
      <c r="M56" s="74"/>
      <c r="N56" s="157"/>
      <c r="O56" s="74"/>
      <c r="P56" s="157"/>
      <c r="Q56" s="74"/>
      <c r="R56" s="157"/>
      <c r="S56" s="74"/>
      <c r="T56" s="157"/>
      <c r="U56" s="74"/>
      <c r="V56" s="157"/>
      <c r="W56" s="74"/>
      <c r="X56" s="157"/>
      <c r="Y56" s="74"/>
      <c r="Z56" s="157"/>
      <c r="AA56" s="74"/>
      <c r="AB56" s="157"/>
    </row>
    <row r="57" spans="2:28" x14ac:dyDescent="0.25">
      <c r="B57" s="9" t="s">
        <v>50</v>
      </c>
      <c r="C57" s="158">
        <v>0</v>
      </c>
      <c r="D57" s="156">
        <f>IF(C$38=0,"N.D.",C57/C$38)</f>
        <v>0</v>
      </c>
      <c r="E57" s="158">
        <v>0</v>
      </c>
      <c r="F57" s="156">
        <f>IF(E$38=0,"N.D.",E57/E$38)</f>
        <v>0</v>
      </c>
      <c r="G57" s="158">
        <v>0</v>
      </c>
      <c r="H57" s="156">
        <f>IF(G$38=0,"N.D.",G57/G$38)</f>
        <v>0</v>
      </c>
      <c r="I57" s="158">
        <v>0</v>
      </c>
      <c r="J57" s="156">
        <f>IF(I$38=0,"N.D.",I57/I$38)</f>
        <v>0</v>
      </c>
      <c r="K57" s="158">
        <v>0</v>
      </c>
      <c r="L57" s="156">
        <f>IF(K$38=0,"N.D.",K57/K$38)</f>
        <v>0</v>
      </c>
      <c r="M57" s="158">
        <v>0</v>
      </c>
      <c r="N57" s="156">
        <f>IF(M$38=0,"N.D.",M57/M$38)</f>
        <v>0</v>
      </c>
      <c r="O57" s="158">
        <v>0</v>
      </c>
      <c r="P57" s="156">
        <f>IF(O$38=0,"N.D.",O57/O$38)</f>
        <v>0</v>
      </c>
      <c r="Q57" s="158">
        <v>0</v>
      </c>
      <c r="R57" s="156">
        <f>IF(Q$38=0,"N.D.",Q57/Q$38)</f>
        <v>0</v>
      </c>
      <c r="S57" s="158">
        <v>0</v>
      </c>
      <c r="T57" s="156">
        <f>IF(S$38=0,"N.D.",S57/S$38)</f>
        <v>0</v>
      </c>
      <c r="U57" s="158">
        <v>0</v>
      </c>
      <c r="V57" s="156">
        <f>IF(U$38=0,"N.D.",U57/U$38)</f>
        <v>0</v>
      </c>
      <c r="W57" s="158">
        <v>0</v>
      </c>
      <c r="X57" s="156">
        <v>0</v>
      </c>
      <c r="Y57" s="158">
        <v>0</v>
      </c>
      <c r="Z57" s="156">
        <f>IF(Y$38=0,"N.D.",Y57/Y$38)</f>
        <v>0</v>
      </c>
      <c r="AA57" s="158">
        <f t="shared" si="0"/>
        <v>0</v>
      </c>
      <c r="AB57" s="156">
        <f>IF(AA$38=0,"N.D.",AA57/AA$38)</f>
        <v>0</v>
      </c>
    </row>
    <row r="58" spans="2:28" x14ac:dyDescent="0.25">
      <c r="B58" s="80" t="s">
        <v>51</v>
      </c>
      <c r="C58" s="154">
        <v>0</v>
      </c>
      <c r="D58" s="155">
        <f>IF(C$38=0,"N.D.",C58/C$38)</f>
        <v>0</v>
      </c>
      <c r="E58" s="154">
        <v>0</v>
      </c>
      <c r="F58" s="155">
        <f>IF(E$38=0,"N.D.",E58/E$38)</f>
        <v>0</v>
      </c>
      <c r="G58" s="154">
        <v>0</v>
      </c>
      <c r="H58" s="155">
        <f>IF(G$38=0,"N.D.",G58/G$38)</f>
        <v>0</v>
      </c>
      <c r="I58" s="154">
        <v>0</v>
      </c>
      <c r="J58" s="155">
        <f>IF(I$38=0,"N.D.",I58/I$38)</f>
        <v>0</v>
      </c>
      <c r="K58" s="154">
        <v>0</v>
      </c>
      <c r="L58" s="155">
        <f>IF(K$38=0,"N.D.",K58/K$38)</f>
        <v>0</v>
      </c>
      <c r="M58" s="154">
        <v>0</v>
      </c>
      <c r="N58" s="155">
        <f>IF(M$38=0,"N.D.",M58/M$38)</f>
        <v>0</v>
      </c>
      <c r="O58" s="154">
        <v>0</v>
      </c>
      <c r="P58" s="155">
        <f>IF(O$38=0,"N.D.",O58/O$38)</f>
        <v>0</v>
      </c>
      <c r="Q58" s="154">
        <v>0</v>
      </c>
      <c r="R58" s="155">
        <f>IF(Q$38=0,"N.D.",Q58/Q$38)</f>
        <v>0</v>
      </c>
      <c r="S58" s="154">
        <v>0</v>
      </c>
      <c r="T58" s="155">
        <f>IF(S$38=0,"N.D.",S58/S$38)</f>
        <v>0</v>
      </c>
      <c r="U58" s="154">
        <v>0</v>
      </c>
      <c r="V58" s="155">
        <f>IF(U$38=0,"N.D.",U58/U$38)</f>
        <v>0</v>
      </c>
      <c r="W58" s="154">
        <v>0</v>
      </c>
      <c r="X58" s="155">
        <v>0</v>
      </c>
      <c r="Y58" s="154">
        <v>0</v>
      </c>
      <c r="Z58" s="155">
        <f>IF(Y$38=0,"N.D.",Y58/Y$38)</f>
        <v>0</v>
      </c>
      <c r="AA58" s="154">
        <f t="shared" si="0"/>
        <v>0</v>
      </c>
      <c r="AB58" s="155">
        <f>IF(AA$38=0,"N.D.",AA58/AA$38)</f>
        <v>0</v>
      </c>
    </row>
    <row r="59" spans="2:28" ht="13" x14ac:dyDescent="0.3">
      <c r="B59" s="1" t="s">
        <v>53</v>
      </c>
      <c r="C59" s="5">
        <v>-11.267599999999998</v>
      </c>
      <c r="D59" s="26">
        <f>IF(C$38=0,"N.D.",C59/C$38)</f>
        <v>-3.5350849399564829E-2</v>
      </c>
      <c r="E59" s="5">
        <v>-11.382760000000061</v>
      </c>
      <c r="F59" s="26">
        <f>IF(E$38=0,"N.D.",E59/E$38)</f>
        <v>-3.613164308294281E-2</v>
      </c>
      <c r="G59" s="5">
        <v>10.068049999999957</v>
      </c>
      <c r="H59" s="26">
        <f>IF(G$38=0,"N.D.",G59/G$38)</f>
        <v>2.8276731889970687E-2</v>
      </c>
      <c r="I59" s="5">
        <v>11.177739999999975</v>
      </c>
      <c r="J59" s="26">
        <f>IF(I$38=0,"N.D.",I59/I$38)</f>
        <v>3.4849033425015968E-2</v>
      </c>
      <c r="K59" s="5">
        <v>-27.914339999999932</v>
      </c>
      <c r="L59" s="26">
        <f>IF(K$38=0,"N.D.",K59/K$38)</f>
        <v>-8.8868608531734353E-2</v>
      </c>
      <c r="M59" s="5">
        <v>3.1944299999999366</v>
      </c>
      <c r="N59" s="26">
        <f>IF(M$38=0,"N.D.",M59/M$38)</f>
        <v>1.0318748256886149E-2</v>
      </c>
      <c r="O59" s="5">
        <v>-28.636690000000016</v>
      </c>
      <c r="P59" s="26">
        <f>IF(O$38=0,"N.D.",O59/O$38)</f>
        <v>-9.7004694838225353E-2</v>
      </c>
      <c r="Q59" s="5">
        <v>-42.645789999999991</v>
      </c>
      <c r="R59" s="26">
        <f>IF(Q$38=0,"N.D.",Q59/Q$38)</f>
        <v>-0.14598469258442304</v>
      </c>
      <c r="S59" s="5">
        <v>-37.634950000000003</v>
      </c>
      <c r="T59" s="26">
        <f>IF(S$38=0,"N.D.",S59/S$38)</f>
        <v>-0.13581985099530261</v>
      </c>
      <c r="U59" s="5">
        <v>-41.517260000000007</v>
      </c>
      <c r="V59" s="26">
        <f>IF(U$38=0,"N.D.",U59/U$38)</f>
        <v>-0.14953240666105669</v>
      </c>
      <c r="W59" s="5">
        <v>-44.742789999999964</v>
      </c>
      <c r="X59" s="26">
        <v>-9.2594138409335863E-2</v>
      </c>
      <c r="Y59" s="5">
        <v>-24.778580000000005</v>
      </c>
      <c r="Z59" s="26">
        <f>IF(Y$38=0,"N.D.",Y59/Y$38)</f>
        <v>-8.3143146746467209E-2</v>
      </c>
      <c r="AA59" s="5">
        <f t="shared" si="0"/>
        <v>-246.08054000000007</v>
      </c>
      <c r="AB59" s="26">
        <f>IF(AA$38=0,"N.D.",AA59/AA$38)</f>
        <v>-6.7763415656376821E-2</v>
      </c>
    </row>
    <row r="60" spans="2:28" ht="13" x14ac:dyDescent="0.3">
      <c r="B60" s="1" t="s">
        <v>122</v>
      </c>
      <c r="C60" s="5">
        <v>-18.000019999999999</v>
      </c>
      <c r="D60" s="26">
        <f>IF(C$38=0,"N.D.",C60/C$38)</f>
        <v>-5.647307290009896E-2</v>
      </c>
      <c r="E60" s="5">
        <v>-12.637840000000061</v>
      </c>
      <c r="F60" s="26">
        <f>IF(E$38=0,"N.D.",E60/E$38)</f>
        <v>-4.0115571638103392E-2</v>
      </c>
      <c r="G60" s="5">
        <v>11.417209999999956</v>
      </c>
      <c r="H60" s="26">
        <f>IF(G$38=0,"N.D.",G60/G$38)</f>
        <v>3.2065929956793263E-2</v>
      </c>
      <c r="I60" s="5">
        <v>-18.127770000000027</v>
      </c>
      <c r="J60" s="26">
        <f>IF(I$38=0,"N.D.",I60/I$38)</f>
        <v>-5.6517262223938304E-2</v>
      </c>
      <c r="K60" s="5">
        <v>-27.13744999999993</v>
      </c>
      <c r="L60" s="26">
        <f>IF(K$38=0,"N.D.",K60/K$38)</f>
        <v>-8.6395287174961477E-2</v>
      </c>
      <c r="M60" s="5">
        <v>-20.62481000000006</v>
      </c>
      <c r="N60" s="26">
        <f>IF(M$38=0,"N.D.",M60/M$38)</f>
        <v>-6.6622909951419451E-2</v>
      </c>
      <c r="O60" s="5">
        <v>-29.205980000000018</v>
      </c>
      <c r="P60" s="26">
        <f>IF(O$38=0,"N.D.",O60/O$38)</f>
        <v>-9.8933123114134811E-2</v>
      </c>
      <c r="Q60" s="5">
        <v>-41.216449999999988</v>
      </c>
      <c r="R60" s="26">
        <f>IF(Q$38=0,"N.D.",Q60/Q$38)</f>
        <v>-0.14109178849005358</v>
      </c>
      <c r="S60" s="5">
        <v>-35.576440000000005</v>
      </c>
      <c r="T60" s="26">
        <f>IF(S$38=0,"N.D.",S60/S$38)</f>
        <v>-0.12839094458059128</v>
      </c>
      <c r="U60" s="5">
        <v>-39.903160000000007</v>
      </c>
      <c r="V60" s="26">
        <f>IF(U$38=0,"N.D.",U60/U$38)</f>
        <v>-0.14371891469189466</v>
      </c>
      <c r="W60" s="5">
        <v>-43.401609999999962</v>
      </c>
      <c r="X60" s="26">
        <v>-8.9910318482017609E-2</v>
      </c>
      <c r="Y60" s="5">
        <v>-22.630170000000007</v>
      </c>
      <c r="Z60" s="26">
        <f>IF(Y$38=0,"N.D.",Y60/Y$38)</f>
        <v>-7.5934276508480308E-2</v>
      </c>
      <c r="AA60" s="5">
        <f t="shared" si="0"/>
        <v>-297.04449000000011</v>
      </c>
      <c r="AB60" s="26">
        <f>IF(AA$38=0,"N.D.",AA60/AA$38)</f>
        <v>-8.1797403583015821E-2</v>
      </c>
    </row>
    <row r="61" spans="2:28" ht="13" x14ac:dyDescent="0.3">
      <c r="B61" s="13"/>
      <c r="C61" s="159"/>
      <c r="D61" s="160"/>
      <c r="E61" s="159"/>
      <c r="F61" s="160"/>
      <c r="G61" s="159"/>
      <c r="H61" s="160"/>
      <c r="I61" s="159"/>
      <c r="J61" s="160"/>
      <c r="K61" s="159"/>
      <c r="L61" s="160"/>
      <c r="M61" s="159"/>
      <c r="N61" s="160"/>
      <c r="O61" s="159"/>
      <c r="P61" s="160"/>
      <c r="Q61" s="159"/>
      <c r="R61" s="160"/>
      <c r="S61" s="159"/>
      <c r="T61" s="160"/>
      <c r="U61" s="159"/>
      <c r="V61" s="160"/>
      <c r="W61" s="159"/>
      <c r="X61" s="160"/>
      <c r="Y61" s="159"/>
      <c r="Z61" s="160"/>
      <c r="AA61" s="159"/>
      <c r="AB61" s="160"/>
    </row>
    <row r="62" spans="2:28" ht="13" x14ac:dyDescent="0.3">
      <c r="B62" s="13"/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</row>
    <row r="63" spans="2:28" x14ac:dyDescent="0.25"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</row>
    <row r="64" spans="2:28" x14ac:dyDescent="0.25">
      <c r="C64" s="16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</row>
    <row r="65" spans="1:28" ht="13" x14ac:dyDescent="0.3">
      <c r="C65" s="8"/>
      <c r="D65" s="23"/>
      <c r="E65" s="8"/>
      <c r="F65" s="23"/>
      <c r="G65" s="8"/>
      <c r="H65" s="23"/>
      <c r="I65" s="8"/>
      <c r="J65" s="23"/>
      <c r="K65" s="8"/>
      <c r="L65" s="23"/>
      <c r="M65" s="8"/>
      <c r="N65" s="23"/>
      <c r="O65" s="8"/>
      <c r="P65" s="23"/>
      <c r="Q65" s="8"/>
      <c r="R65" s="23"/>
      <c r="S65" s="8"/>
      <c r="T65" s="23"/>
      <c r="U65" s="8"/>
      <c r="V65" s="23"/>
      <c r="W65" s="8"/>
      <c r="X65" s="23"/>
      <c r="Y65" s="8"/>
      <c r="Z65" s="23"/>
      <c r="AA65" s="8"/>
      <c r="AB65" s="23"/>
    </row>
    <row r="66" spans="1:28" ht="13" x14ac:dyDescent="0.3">
      <c r="A66" s="113"/>
      <c r="B66" s="9"/>
      <c r="C66" s="112" t="str">
        <f>+C8</f>
        <v>Enero</v>
      </c>
      <c r="D66" s="115"/>
      <c r="E66" s="112" t="str">
        <f>+E8</f>
        <v>Febrero</v>
      </c>
      <c r="F66" s="115"/>
      <c r="G66" s="112" t="str">
        <f>+G8</f>
        <v>Marzo</v>
      </c>
      <c r="H66" s="115"/>
      <c r="I66" s="112" t="str">
        <f>+I8</f>
        <v>Abril</v>
      </c>
      <c r="J66" s="115"/>
      <c r="K66" s="112" t="str">
        <f>+K8</f>
        <v>Mayo</v>
      </c>
      <c r="L66" s="115"/>
      <c r="M66" s="112" t="str">
        <f>+M8</f>
        <v>Junio</v>
      </c>
      <c r="N66" s="115"/>
      <c r="O66" s="112" t="str">
        <f>+O8</f>
        <v>Julio</v>
      </c>
      <c r="P66" s="115"/>
      <c r="Q66" s="112" t="str">
        <f>+Q8</f>
        <v>Agosto</v>
      </c>
      <c r="R66" s="115"/>
      <c r="S66" s="112" t="str">
        <f>+S8</f>
        <v>Septiembre</v>
      </c>
      <c r="T66" s="115"/>
      <c r="U66" s="112" t="str">
        <f>+U8</f>
        <v>Octubre</v>
      </c>
      <c r="V66" s="115"/>
      <c r="W66" s="112" t="str">
        <f>+W8</f>
        <v>Noviembre</v>
      </c>
      <c r="X66" s="115"/>
      <c r="Y66" s="112" t="str">
        <f>+Y8</f>
        <v>Diciembre</v>
      </c>
      <c r="Z66" s="115"/>
      <c r="AA66" s="112" t="s">
        <v>208</v>
      </c>
      <c r="AB66" s="115"/>
    </row>
    <row r="67" spans="1:28" x14ac:dyDescent="0.25">
      <c r="A67" t="s">
        <v>33</v>
      </c>
      <c r="B67" s="9" t="s">
        <v>38</v>
      </c>
      <c r="C67" s="154">
        <v>520.78845000000001</v>
      </c>
      <c r="D67" s="155">
        <f>IF(C$67=0,"N.D.",C67/C$67)</f>
        <v>1</v>
      </c>
      <c r="E67" s="154">
        <v>519.53915999999992</v>
      </c>
      <c r="F67" s="155">
        <f>IF(E$67=0,"N.D.",E67/E$67)</f>
        <v>1</v>
      </c>
      <c r="G67" s="154">
        <v>624.15766999999994</v>
      </c>
      <c r="H67" s="155">
        <f>IF(G$67=0,"N.D.",G67/G$67)</f>
        <v>1</v>
      </c>
      <c r="I67" s="154">
        <v>594.31230000000005</v>
      </c>
      <c r="J67" s="155">
        <f>IF(I$67=0,"N.D.",I67/I$67)</f>
        <v>1</v>
      </c>
      <c r="K67" s="154">
        <v>576.43201999999997</v>
      </c>
      <c r="L67" s="155">
        <f>IF(K$67=0,"N.D.",K67/K$67)</f>
        <v>1</v>
      </c>
      <c r="M67" s="154">
        <v>547.7114499999999</v>
      </c>
      <c r="N67" s="155">
        <f>IF(M$67=0,"N.D.",M67/M$67)</f>
        <v>1</v>
      </c>
      <c r="O67" s="154">
        <v>547.49651999999992</v>
      </c>
      <c r="P67" s="155">
        <f>IF(O$67=0,"N.D.",O67/O$67)</f>
        <v>1</v>
      </c>
      <c r="Q67" s="154">
        <v>562.32263</v>
      </c>
      <c r="R67" s="155">
        <f>IF(Q$67=0,"N.D.",Q67/Q$67)</f>
        <v>1</v>
      </c>
      <c r="S67" s="154">
        <v>531.57690999999988</v>
      </c>
      <c r="T67" s="155">
        <f>IF(S$67=0,"N.D.",S67/S$67)</f>
        <v>1</v>
      </c>
      <c r="U67" s="154">
        <v>542.38819000000001</v>
      </c>
      <c r="V67" s="155">
        <f>IF(U$67=0,"N.D.",U67/U$67)</f>
        <v>1</v>
      </c>
      <c r="W67" s="154">
        <v>507.26011999999997</v>
      </c>
      <c r="X67" s="155">
        <v>1</v>
      </c>
      <c r="Y67" s="154">
        <v>530.17972999999995</v>
      </c>
      <c r="Z67" s="155">
        <f>IF(Y$67=0,"N.D.",Y67/Y$67)</f>
        <v>1</v>
      </c>
      <c r="AA67" s="154">
        <f>+Y67+W67+U67+S67+Q67+O67+M67+K67+I67+G67+E67+C67</f>
        <v>6604.1651499999998</v>
      </c>
      <c r="AB67" s="155">
        <f>IF(AA$67=0,"N.D.",AA67/AA$67)</f>
        <v>1</v>
      </c>
    </row>
    <row r="68" spans="1:28" x14ac:dyDescent="0.25">
      <c r="B68" s="9" t="s">
        <v>39</v>
      </c>
      <c r="C68" s="154">
        <v>340.0378</v>
      </c>
      <c r="D68" s="155">
        <f t="shared" ref="D68:D89" si="13">IF(C$67=0,"N.D.",C68/C$67)</f>
        <v>0.65292884279595675</v>
      </c>
      <c r="E68" s="154">
        <v>327.56290999999999</v>
      </c>
      <c r="F68" s="155">
        <f>IF(E$67=0,"N.D.",E68/E$67)</f>
        <v>0.63048743043738997</v>
      </c>
      <c r="G68" s="154">
        <v>380.54030999999998</v>
      </c>
      <c r="H68" s="155">
        <f>IF(G$67=0,"N.D.",G68/G$67)</f>
        <v>0.60968618714562939</v>
      </c>
      <c r="I68" s="154">
        <v>369.80040000000002</v>
      </c>
      <c r="J68" s="155">
        <f>IF(I$67=0,"N.D.",I68/I$67)</f>
        <v>0.62223245253379411</v>
      </c>
      <c r="K68" s="154">
        <v>365.25153999999998</v>
      </c>
      <c r="L68" s="155">
        <f>IF(K$67=0,"N.D.",K68/K$67)</f>
        <v>0.63364200344040567</v>
      </c>
      <c r="M68" s="154">
        <v>343.15552000000002</v>
      </c>
      <c r="N68" s="155">
        <f>IF(M$67=0,"N.D.",M68/M$67)</f>
        <v>0.62652610238475037</v>
      </c>
      <c r="O68" s="154">
        <v>350.44051999999999</v>
      </c>
      <c r="P68" s="155">
        <f>IF(O$67=0,"N.D.",O68/O$67)</f>
        <v>0.64007807757389956</v>
      </c>
      <c r="Q68" s="154">
        <v>350.66482000000002</v>
      </c>
      <c r="R68" s="155">
        <f>IF(Q$67=0,"N.D.",Q68/Q$67)</f>
        <v>0.62360076100796447</v>
      </c>
      <c r="S68" s="154">
        <v>347.88148999999999</v>
      </c>
      <c r="T68" s="155">
        <f>IF(S$67=0,"N.D.",S68/S$67)</f>
        <v>0.65443303397056896</v>
      </c>
      <c r="U68" s="154">
        <v>356.70603999999997</v>
      </c>
      <c r="V68" s="155">
        <f>IF(U$67=0,"N.D.",U68/U$67)</f>
        <v>0.65765819864182506</v>
      </c>
      <c r="W68" s="154">
        <v>340.28021000000001</v>
      </c>
      <c r="X68" s="155">
        <v>0.65218339155477145</v>
      </c>
      <c r="Y68" s="154">
        <v>353.03044</v>
      </c>
      <c r="Z68" s="155">
        <f>IF(Y$67=0,"N.D.",Y68/Y$67)</f>
        <v>0.66586936471524483</v>
      </c>
      <c r="AA68" s="154">
        <f t="shared" ref="AA68:AA89" si="14">+Y68+W68+U68+S68+Q68+O68+M68+K68+I68+G68+E68+C68</f>
        <v>4225.3519999999999</v>
      </c>
      <c r="AB68" s="155">
        <f>IF(AA$67=0,"N.D.",AA68/AA$67)</f>
        <v>0.6398010806861788</v>
      </c>
    </row>
    <row r="69" spans="1:28" x14ac:dyDescent="0.25">
      <c r="B69" s="9" t="s">
        <v>219</v>
      </c>
      <c r="C69" s="154"/>
      <c r="D69" s="155"/>
      <c r="E69" s="154"/>
      <c r="F69" s="155"/>
      <c r="G69" s="154"/>
      <c r="H69" s="155"/>
      <c r="I69" s="154"/>
      <c r="J69" s="155"/>
      <c r="K69" s="154"/>
      <c r="L69" s="155"/>
      <c r="M69" s="154"/>
      <c r="N69" s="155"/>
      <c r="O69" s="154"/>
      <c r="P69" s="155"/>
      <c r="Q69" s="154"/>
      <c r="R69" s="155"/>
      <c r="S69" s="154"/>
      <c r="T69" s="155"/>
      <c r="U69" s="154"/>
      <c r="V69" s="155"/>
      <c r="W69" s="154"/>
      <c r="X69" s="155"/>
      <c r="Y69" s="154"/>
      <c r="Z69" s="155"/>
      <c r="AA69" s="154"/>
      <c r="AB69" s="155"/>
    </row>
    <row r="70" spans="1:28" ht="13" x14ac:dyDescent="0.3">
      <c r="B70" s="9" t="s">
        <v>40</v>
      </c>
      <c r="C70" s="5">
        <v>180.75065000000004</v>
      </c>
      <c r="D70" s="26">
        <f t="shared" si="13"/>
        <v>0.3470711572040433</v>
      </c>
      <c r="E70" s="5">
        <v>191.97624999999999</v>
      </c>
      <c r="F70" s="26">
        <f>IF(E$67=0,"N.D.",E70/E$67)</f>
        <v>0.36951256956261008</v>
      </c>
      <c r="G70" s="5">
        <v>243.61735999999993</v>
      </c>
      <c r="H70" s="26">
        <f>IF(G$67=0,"N.D.",G70/G$67)</f>
        <v>0.3903138128543705</v>
      </c>
      <c r="I70" s="5">
        <v>224.51190000000003</v>
      </c>
      <c r="J70" s="26">
        <f>IF(I$67=0,"N.D.",I70/I$67)</f>
        <v>0.37776754746620589</v>
      </c>
      <c r="K70" s="5">
        <v>211.18048000000005</v>
      </c>
      <c r="L70" s="26">
        <f>IF(K$67=0,"N.D.",K70/K$67)</f>
        <v>0.36635799655959439</v>
      </c>
      <c r="M70" s="5">
        <v>204.55592999999993</v>
      </c>
      <c r="N70" s="26">
        <f>IF(M$67=0,"N.D.",M70/M$67)</f>
        <v>0.37347389761524974</v>
      </c>
      <c r="O70" s="5">
        <v>197.05599999999987</v>
      </c>
      <c r="P70" s="26">
        <f>IF(O$67=0,"N.D.",O70/O$67)</f>
        <v>0.35992192242610033</v>
      </c>
      <c r="Q70" s="5">
        <v>211.65780999999998</v>
      </c>
      <c r="R70" s="26">
        <f>IF(Q$67=0,"N.D.",Q70/Q$67)</f>
        <v>0.37639923899203553</v>
      </c>
      <c r="S70" s="5">
        <v>183.69541999999993</v>
      </c>
      <c r="T70" s="26">
        <f>IF(S$67=0,"N.D.",S70/S$67)</f>
        <v>0.3455669660294311</v>
      </c>
      <c r="U70" s="5">
        <v>185.68215000000009</v>
      </c>
      <c r="V70" s="26">
        <f>IF(U$67=0,"N.D.",U70/U$67)</f>
        <v>0.34234180135817499</v>
      </c>
      <c r="W70" s="5">
        <v>166.97990999999996</v>
      </c>
      <c r="X70" s="26">
        <v>0.34781660844522855</v>
      </c>
      <c r="Y70" s="5">
        <v>177.14928999999998</v>
      </c>
      <c r="Z70" s="26">
        <f>IF(Y$67=0,"N.D.",Y70/Y$67)</f>
        <v>0.33413063528475523</v>
      </c>
      <c r="AA70" s="5">
        <f t="shared" si="14"/>
        <v>2378.8131499999995</v>
      </c>
      <c r="AB70" s="26">
        <f>IF(AA$67=0,"N.D.",AA70/AA$67)</f>
        <v>0.36019891931382114</v>
      </c>
    </row>
    <row r="71" spans="1:28" x14ac:dyDescent="0.25">
      <c r="B71" s="9"/>
      <c r="C71" s="74"/>
      <c r="D71" s="157"/>
      <c r="E71" s="74"/>
      <c r="F71" s="157"/>
      <c r="G71" s="74"/>
      <c r="H71" s="157"/>
      <c r="I71" s="74"/>
      <c r="J71" s="157"/>
      <c r="K71" s="74"/>
      <c r="L71" s="157"/>
      <c r="M71" s="74"/>
      <c r="N71" s="157"/>
      <c r="O71" s="74"/>
      <c r="P71" s="157"/>
      <c r="Q71" s="74"/>
      <c r="R71" s="157"/>
      <c r="S71" s="74"/>
      <c r="T71" s="157"/>
      <c r="U71" s="74"/>
      <c r="V71" s="157"/>
      <c r="W71" s="74"/>
      <c r="X71" s="157"/>
      <c r="Y71" s="74"/>
      <c r="Z71" s="157"/>
      <c r="AA71" s="74"/>
      <c r="AB71" s="157"/>
    </row>
    <row r="72" spans="1:28" x14ac:dyDescent="0.25">
      <c r="B72" s="9" t="s">
        <v>41</v>
      </c>
      <c r="C72" s="158">
        <v>187.13765000000001</v>
      </c>
      <c r="D72" s="156">
        <f t="shared" si="13"/>
        <v>0.35933525407485517</v>
      </c>
      <c r="E72" s="158">
        <v>184.78805</v>
      </c>
      <c r="F72" s="156">
        <f>IF(E$67=0,"N.D.",E72/E$67)</f>
        <v>0.35567684638055008</v>
      </c>
      <c r="G72" s="158">
        <v>191.52655999999999</v>
      </c>
      <c r="H72" s="156">
        <f>IF(G$67=0,"N.D.",G72/G$67)</f>
        <v>0.30685605449661463</v>
      </c>
      <c r="I72" s="158">
        <v>197.96681000000001</v>
      </c>
      <c r="J72" s="156">
        <f>IF(I$67=0,"N.D.",I72/I$67)</f>
        <v>0.33310232684061897</v>
      </c>
      <c r="K72" s="158">
        <v>199.90642000000003</v>
      </c>
      <c r="L72" s="156">
        <f>IF(K$67=0,"N.D.",K72/K$67)</f>
        <v>0.34679964516891348</v>
      </c>
      <c r="M72" s="158">
        <v>212.02864</v>
      </c>
      <c r="N72" s="156">
        <f>IF(M$67=0,"N.D.",M72/M$67)</f>
        <v>0.38711741374039199</v>
      </c>
      <c r="O72" s="158">
        <v>189.40937</v>
      </c>
      <c r="P72" s="156">
        <f>IF(O$67=0,"N.D.",O72/O$67)</f>
        <v>0.34595538616391575</v>
      </c>
      <c r="Q72" s="158">
        <v>150.02017999999998</v>
      </c>
      <c r="R72" s="156">
        <f>IF(Q$67=0,"N.D.",Q72/Q$67)</f>
        <v>0.26678666657964661</v>
      </c>
      <c r="S72" s="158">
        <v>178.64199000000002</v>
      </c>
      <c r="T72" s="156">
        <f>IF(S$67=0,"N.D.",S72/S$67)</f>
        <v>0.33606047711891784</v>
      </c>
      <c r="U72" s="158">
        <v>179.69673</v>
      </c>
      <c r="V72" s="156">
        <f>IF(U$67=0,"N.D.",U72/U$67)</f>
        <v>0.3313064947081536</v>
      </c>
      <c r="W72" s="158">
        <v>171.8586</v>
      </c>
      <c r="X72" s="156">
        <v>0.34823264578082103</v>
      </c>
      <c r="Y72" s="158">
        <v>171.96106</v>
      </c>
      <c r="Z72" s="156">
        <f>IF(Y$67=0,"N.D.",Y72/Y$67)</f>
        <v>0.32434484056944241</v>
      </c>
      <c r="AA72" s="158">
        <f t="shared" si="14"/>
        <v>2214.9420600000003</v>
      </c>
      <c r="AB72" s="156">
        <f>IF(AA$67=0,"N.D.",AA72/AA$67)</f>
        <v>0.33538562553966422</v>
      </c>
    </row>
    <row r="73" spans="1:28" x14ac:dyDescent="0.25">
      <c r="B73" s="9" t="s">
        <v>42</v>
      </c>
      <c r="C73" s="154">
        <v>19.02413</v>
      </c>
      <c r="D73" s="155">
        <f t="shared" si="13"/>
        <v>3.6529477564258575E-2</v>
      </c>
      <c r="E73" s="154">
        <v>22.00311</v>
      </c>
      <c r="F73" s="155">
        <f>IF(E$67=0,"N.D.",E73/E$67)</f>
        <v>4.2351206018810983E-2</v>
      </c>
      <c r="G73" s="154">
        <v>16.64245</v>
      </c>
      <c r="H73" s="155">
        <f>IF(G$67=0,"N.D.",G73/G$67)</f>
        <v>2.6663855624813521E-2</v>
      </c>
      <c r="I73" s="154">
        <v>18.973800000000001</v>
      </c>
      <c r="J73" s="155">
        <f>IF(I$67=0,"N.D.",I73/I$67)</f>
        <v>3.1925639095808714E-2</v>
      </c>
      <c r="K73" s="154">
        <v>24.113189999999999</v>
      </c>
      <c r="L73" s="155">
        <f>IF(K$67=0,"N.D.",K73/K$67)</f>
        <v>4.1831801779505587E-2</v>
      </c>
      <c r="M73" s="154">
        <v>19.95213</v>
      </c>
      <c r="N73" s="155">
        <f>IF(M$67=0,"N.D.",M73/M$67)</f>
        <v>3.6428177647189967E-2</v>
      </c>
      <c r="O73" s="154">
        <v>19.210810000000002</v>
      </c>
      <c r="P73" s="155">
        <f>IF(O$67=0,"N.D.",O73/O$67)</f>
        <v>3.5088460470945104E-2</v>
      </c>
      <c r="Q73" s="154">
        <v>19.647410000000001</v>
      </c>
      <c r="R73" s="155">
        <f>IF(Q$67=0,"N.D.",Q73/Q$67)</f>
        <v>3.4939746244962613E-2</v>
      </c>
      <c r="S73" s="154">
        <v>19.251609999999999</v>
      </c>
      <c r="T73" s="155">
        <f>IF(S$67=0,"N.D.",S73/S$67)</f>
        <v>3.6216038804243782E-2</v>
      </c>
      <c r="U73" s="154">
        <v>22.25273</v>
      </c>
      <c r="V73" s="155">
        <f>IF(U$67=0,"N.D.",U73/U$67)</f>
        <v>4.1027312928771549E-2</v>
      </c>
      <c r="W73" s="154">
        <v>28.243389999999998</v>
      </c>
      <c r="X73" s="155">
        <v>3.9133564665069037E-2</v>
      </c>
      <c r="Y73" s="154">
        <v>22.746839999999999</v>
      </c>
      <c r="Z73" s="155">
        <f>IF(Y$67=0,"N.D.",Y73/Y$67)</f>
        <v>4.2904016719009612E-2</v>
      </c>
      <c r="AA73" s="154">
        <f t="shared" si="14"/>
        <v>252.0616</v>
      </c>
      <c r="AB73" s="155">
        <f>IF(AA$67=0,"N.D.",AA73/AA$67)</f>
        <v>3.81670649166004E-2</v>
      </c>
    </row>
    <row r="74" spans="1:28" x14ac:dyDescent="0.25">
      <c r="B74" s="9" t="s">
        <v>43</v>
      </c>
      <c r="C74" s="154">
        <v>2.8382100000000001</v>
      </c>
      <c r="D74" s="155">
        <f t="shared" si="13"/>
        <v>5.4498328447952328E-3</v>
      </c>
      <c r="E74" s="154">
        <v>2.8382100000000001</v>
      </c>
      <c r="F74" s="155">
        <f>IF(E$67=0,"N.D.",E74/E$67)</f>
        <v>5.4629375772174719E-3</v>
      </c>
      <c r="G74" s="154">
        <v>2.8382100000000001</v>
      </c>
      <c r="H74" s="155">
        <f>IF(G$67=0,"N.D.",G74/G$67)</f>
        <v>4.5472644756572493E-3</v>
      </c>
      <c r="I74" s="154">
        <v>2.8382100000000001</v>
      </c>
      <c r="J74" s="155">
        <f>IF(I$67=0,"N.D.",I74/I$67)</f>
        <v>4.7756204944773986E-3</v>
      </c>
      <c r="K74" s="154">
        <v>2.8382100000000001</v>
      </c>
      <c r="L74" s="155">
        <f>IF(K$67=0,"N.D.",K74/K$67)</f>
        <v>4.9237549295058245E-3</v>
      </c>
      <c r="M74" s="154">
        <v>2.8382100000000001</v>
      </c>
      <c r="N74" s="155">
        <f>IF(M$67=0,"N.D.",M74/M$67)</f>
        <v>5.1819438866943547E-3</v>
      </c>
      <c r="O74" s="154">
        <v>2.8382100000000001</v>
      </c>
      <c r="P74" s="155">
        <f>IF(O$67=0,"N.D.",O74/O$67)</f>
        <v>5.1839781556967711E-3</v>
      </c>
      <c r="Q74" s="154">
        <v>2.8382100000000001</v>
      </c>
      <c r="R74" s="155">
        <f>IF(Q$67=0,"N.D.",Q74/Q$67)</f>
        <v>5.0472982031685267E-3</v>
      </c>
      <c r="S74" s="154">
        <v>2.8382100000000001</v>
      </c>
      <c r="T74" s="155">
        <f>IF(S$67=0,"N.D.",S74/S$67)</f>
        <v>5.3392273942071723E-3</v>
      </c>
      <c r="U74" s="154">
        <v>2.8382100000000001</v>
      </c>
      <c r="V74" s="155">
        <f>IF(U$67=0,"N.D.",U74/U$67)</f>
        <v>5.2328019900285813E-3</v>
      </c>
      <c r="W74" s="154">
        <v>2.8382100000000001</v>
      </c>
      <c r="X74" s="155">
        <v>4.6385502509293797E-3</v>
      </c>
      <c r="Y74" s="154">
        <v>2.8382100000000001</v>
      </c>
      <c r="Z74" s="155">
        <f>IF(Y$67=0,"N.D.",Y74/Y$67)</f>
        <v>5.3532978335478808E-3</v>
      </c>
      <c r="AA74" s="154">
        <f t="shared" si="14"/>
        <v>34.058520000000001</v>
      </c>
      <c r="AB74" s="155">
        <f>IF(AA$67=0,"N.D.",AA74/AA$67)</f>
        <v>5.1571272411320606E-3</v>
      </c>
    </row>
    <row r="75" spans="1:28" ht="13" x14ac:dyDescent="0.3">
      <c r="B75" s="9" t="s">
        <v>44</v>
      </c>
      <c r="C75" s="5">
        <v>208.99999</v>
      </c>
      <c r="D75" s="26">
        <f t="shared" si="13"/>
        <v>0.40131456448390895</v>
      </c>
      <c r="E75" s="5">
        <v>209.62936999999997</v>
      </c>
      <c r="F75" s="26">
        <f>IF(E$67=0,"N.D.",E75/E$67)</f>
        <v>0.40349098997657845</v>
      </c>
      <c r="G75" s="5">
        <v>211.00721999999999</v>
      </c>
      <c r="H75" s="26">
        <f>IF(G$67=0,"N.D.",G75/G$67)</f>
        <v>0.33806717459708541</v>
      </c>
      <c r="I75" s="5">
        <v>219.77881999999997</v>
      </c>
      <c r="J75" s="26">
        <f>IF(I$67=0,"N.D.",I75/I$67)</f>
        <v>0.369803586430905</v>
      </c>
      <c r="K75" s="5">
        <v>226.85782</v>
      </c>
      <c r="L75" s="26">
        <f>IF(K$67=0,"N.D.",K75/K$67)</f>
        <v>0.39355520187792487</v>
      </c>
      <c r="M75" s="5">
        <v>234.81897999999998</v>
      </c>
      <c r="N75" s="26">
        <f>IF(M$67=0,"N.D.",M75/M$67)</f>
        <v>0.42872753527427632</v>
      </c>
      <c r="O75" s="5">
        <v>211.45838999999998</v>
      </c>
      <c r="P75" s="26">
        <f>IF(O$67=0,"N.D.",O75/O$67)</f>
        <v>0.38622782479055762</v>
      </c>
      <c r="Q75" s="5">
        <v>172.50579999999999</v>
      </c>
      <c r="R75" s="26">
        <f>IF(Q$67=0,"N.D.",Q75/Q$67)</f>
        <v>0.30677371102777778</v>
      </c>
      <c r="S75" s="5">
        <v>200.73181000000002</v>
      </c>
      <c r="T75" s="26">
        <f>IF(S$67=0,"N.D.",S75/S$67)</f>
        <v>0.3776157433173688</v>
      </c>
      <c r="U75" s="5">
        <v>204.78767000000002</v>
      </c>
      <c r="V75" s="26">
        <f>IF(U$67=0,"N.D.",U75/U$67)</f>
        <v>0.37756660962695376</v>
      </c>
      <c r="W75" s="5">
        <v>202.94019999999998</v>
      </c>
      <c r="X75" s="26">
        <v>0.39200476069681939</v>
      </c>
      <c r="Y75" s="5">
        <v>197.54611</v>
      </c>
      <c r="Z75" s="26">
        <f>IF(Y$67=0,"N.D.",Y75/Y$67)</f>
        <v>0.3726021551219999</v>
      </c>
      <c r="AA75" s="5">
        <f t="shared" si="14"/>
        <v>2501.0621799999999</v>
      </c>
      <c r="AB75" s="26">
        <f>IF(AA$67=0,"N.D.",AA75/AA$67)</f>
        <v>0.37870981769739659</v>
      </c>
    </row>
    <row r="76" spans="1:28" ht="13" x14ac:dyDescent="0.3">
      <c r="B76" s="1" t="s">
        <v>45</v>
      </c>
      <c r="C76" s="5">
        <v>-28.249339999999968</v>
      </c>
      <c r="D76" s="26">
        <f t="shared" si="13"/>
        <v>-5.4243407279865687E-2</v>
      </c>
      <c r="E76" s="5">
        <v>-17.653119999999966</v>
      </c>
      <c r="F76" s="26">
        <f>IF(E$67=0,"N.D.",E76/E$67)</f>
        <v>-3.3978420413968348E-2</v>
      </c>
      <c r="G76" s="5">
        <v>32.61013999999993</v>
      </c>
      <c r="H76" s="26">
        <f>IF(G$67=0,"N.D.",G76/G$67)</f>
        <v>5.2246638257285108E-2</v>
      </c>
      <c r="I76" s="5">
        <v>4.7330800000000455</v>
      </c>
      <c r="J76" s="26">
        <f>IF(I$67=0,"N.D.",I76/I$67)</f>
        <v>7.9639610353008771E-3</v>
      </c>
      <c r="K76" s="5">
        <v>-15.677339999999967</v>
      </c>
      <c r="L76" s="26">
        <f>IF(K$67=0,"N.D.",K76/K$67)</f>
        <v>-2.7197205318330458E-2</v>
      </c>
      <c r="M76" s="5">
        <v>-30.263050000000046</v>
      </c>
      <c r="N76" s="26">
        <f>IF(M$67=0,"N.D.",M76/M$67)</f>
        <v>-5.5253637659026578E-2</v>
      </c>
      <c r="O76" s="5">
        <v>-14.402390000000102</v>
      </c>
      <c r="P76" s="26">
        <f>IF(O$67=0,"N.D.",O76/O$67)</f>
        <v>-2.6305902364457227E-2</v>
      </c>
      <c r="Q76" s="5">
        <v>39.152010000000011</v>
      </c>
      <c r="R76" s="26">
        <f>IF(Q$67=0,"N.D.",Q76/Q$67)</f>
        <v>6.9625527964257833E-2</v>
      </c>
      <c r="S76" s="5">
        <v>-17.0363900000001</v>
      </c>
      <c r="T76" s="26">
        <f>IF(S$67=0,"N.D.",S76/S$67)</f>
        <v>-3.2048777287937702E-2</v>
      </c>
      <c r="U76" s="5">
        <v>-19.105519999999931</v>
      </c>
      <c r="V76" s="26">
        <f>IF(U$67=0,"N.D.",U76/U$67)</f>
        <v>-3.5224808268778732E-2</v>
      </c>
      <c r="W76" s="5">
        <v>-35.960290000000008</v>
      </c>
      <c r="X76" s="26">
        <v>-4.4188152251590888E-2</v>
      </c>
      <c r="Y76" s="5">
        <v>-20.396820000000005</v>
      </c>
      <c r="Z76" s="26">
        <f>IF(Y$67=0,"N.D.",Y76/Y$67)</f>
        <v>-3.8471519837244637E-2</v>
      </c>
      <c r="AA76" s="5">
        <f t="shared" si="14"/>
        <v>-122.24903000000012</v>
      </c>
      <c r="AB76" s="26">
        <f>IF(AA$67=0,"N.D.",AA76/AA$67)</f>
        <v>-1.8510898383575419E-2</v>
      </c>
    </row>
    <row r="77" spans="1:28" x14ac:dyDescent="0.25">
      <c r="B77" s="9"/>
      <c r="C77" s="74"/>
      <c r="D77" s="157"/>
      <c r="E77" s="74"/>
      <c r="F77" s="157"/>
      <c r="G77" s="74"/>
      <c r="H77" s="157"/>
      <c r="I77" s="74"/>
      <c r="J77" s="157"/>
      <c r="K77" s="74"/>
      <c r="L77" s="157"/>
      <c r="M77" s="74"/>
      <c r="N77" s="157"/>
      <c r="O77" s="74"/>
      <c r="P77" s="157"/>
      <c r="Q77" s="74"/>
      <c r="R77" s="157"/>
      <c r="S77" s="74"/>
      <c r="T77" s="157"/>
      <c r="U77" s="74"/>
      <c r="V77" s="157"/>
      <c r="W77" s="74"/>
      <c r="X77" s="157"/>
      <c r="Y77" s="74"/>
      <c r="Z77" s="157"/>
      <c r="AA77" s="74"/>
      <c r="AB77" s="157"/>
    </row>
    <row r="78" spans="1:28" x14ac:dyDescent="0.25">
      <c r="B78" s="9"/>
      <c r="C78" s="158">
        <v>0</v>
      </c>
      <c r="D78" s="156">
        <f t="shared" si="13"/>
        <v>0</v>
      </c>
      <c r="E78" s="158">
        <v>0</v>
      </c>
      <c r="F78" s="156">
        <f t="shared" ref="F78:F84" si="15">IF(E$67=0,"N.D.",E78/E$67)</f>
        <v>0</v>
      </c>
      <c r="G78" s="158">
        <v>0</v>
      </c>
      <c r="H78" s="156">
        <f t="shared" ref="H78:H84" si="16">IF(G$67=0,"N.D.",G78/G$67)</f>
        <v>0</v>
      </c>
      <c r="I78" s="158">
        <v>0</v>
      </c>
      <c r="J78" s="156">
        <f t="shared" ref="J78:J84" si="17">IF(I$67=0,"N.D.",I78/I$67)</f>
        <v>0</v>
      </c>
      <c r="K78" s="158">
        <v>0</v>
      </c>
      <c r="L78" s="156">
        <f t="shared" ref="L78:L84" si="18">IF(K$67=0,"N.D.",K78/K$67)</f>
        <v>0</v>
      </c>
      <c r="M78" s="158">
        <v>0</v>
      </c>
      <c r="N78" s="156">
        <f t="shared" ref="N78:N84" si="19">IF(M$67=0,"N.D.",M78/M$67)</f>
        <v>0</v>
      </c>
      <c r="O78" s="158">
        <v>0</v>
      </c>
      <c r="P78" s="156">
        <f t="shared" ref="P78:P84" si="20">IF(O$67=0,"N.D.",O78/O$67)</f>
        <v>0</v>
      </c>
      <c r="Q78" s="158">
        <v>0</v>
      </c>
      <c r="R78" s="156">
        <f t="shared" ref="R78:R84" si="21">IF(Q$67=0,"N.D.",Q78/Q$67)</f>
        <v>0</v>
      </c>
      <c r="S78" s="158">
        <v>0</v>
      </c>
      <c r="T78" s="156">
        <f t="shared" ref="T78:T84" si="22">IF(S$67=0,"N.D.",S78/S$67)</f>
        <v>0</v>
      </c>
      <c r="U78" s="158">
        <v>0</v>
      </c>
      <c r="V78" s="156">
        <f t="shared" ref="V78:V84" si="23">IF(U$67=0,"N.D.",U78/U$67)</f>
        <v>0</v>
      </c>
      <c r="W78" s="158">
        <v>0</v>
      </c>
      <c r="X78" s="156">
        <v>0</v>
      </c>
      <c r="Y78" s="158">
        <v>0</v>
      </c>
      <c r="Z78" s="156">
        <f t="shared" ref="Z78:Z84" si="24">IF(Y$67=0,"N.D.",Y78/Y$67)</f>
        <v>0</v>
      </c>
      <c r="AA78" s="158">
        <f t="shared" si="14"/>
        <v>0</v>
      </c>
      <c r="AB78" s="156">
        <f t="shared" ref="AB78:AB84" si="25">IF(AA$67=0,"N.D.",AA78/AA$67)</f>
        <v>0</v>
      </c>
    </row>
    <row r="79" spans="1:28" x14ac:dyDescent="0.25">
      <c r="B79" s="9" t="s">
        <v>52</v>
      </c>
      <c r="C79" s="154">
        <v>-0.84972000000000003</v>
      </c>
      <c r="D79" s="155">
        <f t="shared" si="13"/>
        <v>-1.6316030050205607E-3</v>
      </c>
      <c r="E79" s="154">
        <v>-2.8161499999999999</v>
      </c>
      <c r="F79" s="155">
        <f t="shared" si="15"/>
        <v>-5.4204768703094491E-3</v>
      </c>
      <c r="G79" s="154">
        <v>-0.83983000000000008</v>
      </c>
      <c r="H79" s="155">
        <f t="shared" si="16"/>
        <v>-1.3455414238520856E-3</v>
      </c>
      <c r="I79" s="154">
        <v>-0.88251999999999997</v>
      </c>
      <c r="J79" s="155">
        <f t="shared" si="17"/>
        <v>-1.4849431855945097E-3</v>
      </c>
      <c r="K79" s="154">
        <v>-2.1186400000000001</v>
      </c>
      <c r="L79" s="155">
        <f t="shared" si="18"/>
        <v>-3.6754377385211879E-3</v>
      </c>
      <c r="M79" s="154">
        <v>-25.643360000000001</v>
      </c>
      <c r="N79" s="155">
        <f t="shared" si="19"/>
        <v>-4.6819105205852474E-2</v>
      </c>
      <c r="O79" s="154">
        <v>-0.85292000000000001</v>
      </c>
      <c r="P79" s="155">
        <f t="shared" si="20"/>
        <v>-1.5578546508386941E-3</v>
      </c>
      <c r="Q79" s="154">
        <v>-1.30321</v>
      </c>
      <c r="R79" s="155">
        <f t="shared" si="21"/>
        <v>-2.3175485574891412E-3</v>
      </c>
      <c r="S79" s="154">
        <v>-0.99427999999999994</v>
      </c>
      <c r="T79" s="155">
        <f t="shared" si="22"/>
        <v>-1.8704348915380847E-3</v>
      </c>
      <c r="U79" s="154">
        <v>-0.94022000000000006</v>
      </c>
      <c r="V79" s="155">
        <f t="shared" si="23"/>
        <v>-1.7334816969373911E-3</v>
      </c>
      <c r="W79" s="154">
        <v>-2.8823099999999999</v>
      </c>
      <c r="X79" s="155">
        <v>-1.8859345724281009E-3</v>
      </c>
      <c r="Y79" s="154">
        <v>-0.73089999999999999</v>
      </c>
      <c r="Z79" s="155">
        <f t="shared" si="24"/>
        <v>-1.3785891059999598E-3</v>
      </c>
      <c r="AA79" s="154">
        <f t="shared" si="14"/>
        <v>-40.854059999999997</v>
      </c>
      <c r="AB79" s="155">
        <f t="shared" si="25"/>
        <v>-6.1861051430550608E-3</v>
      </c>
    </row>
    <row r="80" spans="1:28" x14ac:dyDescent="0.25">
      <c r="B80" s="9" t="s">
        <v>46</v>
      </c>
      <c r="C80" s="154">
        <v>12.68257</v>
      </c>
      <c r="D80" s="155">
        <f t="shared" si="13"/>
        <v>2.4352633012502484E-2</v>
      </c>
      <c r="E80" s="154">
        <v>12.481069999999999</v>
      </c>
      <c r="F80" s="155">
        <f t="shared" si="15"/>
        <v>2.4023347922416477E-2</v>
      </c>
      <c r="G80" s="154">
        <v>11.666229999999999</v>
      </c>
      <c r="H80" s="155">
        <f t="shared" si="16"/>
        <v>1.8691158597794688E-2</v>
      </c>
      <c r="I80" s="154">
        <v>13.300520000000001</v>
      </c>
      <c r="J80" s="155">
        <f t="shared" si="17"/>
        <v>2.2379681524343345E-2</v>
      </c>
      <c r="K80" s="154">
        <v>12.3909</v>
      </c>
      <c r="L80" s="155">
        <f t="shared" si="18"/>
        <v>2.1495856527886846E-2</v>
      </c>
      <c r="M80" s="154">
        <v>14.78416</v>
      </c>
      <c r="N80" s="155">
        <f t="shared" si="19"/>
        <v>2.6992607147431374E-2</v>
      </c>
      <c r="O80" s="154">
        <v>15.12115</v>
      </c>
      <c r="P80" s="155">
        <f t="shared" si="20"/>
        <v>2.761871436187394E-2</v>
      </c>
      <c r="Q80" s="154">
        <v>16.13325</v>
      </c>
      <c r="R80" s="155">
        <f t="shared" si="21"/>
        <v>2.8690380111502892E-2</v>
      </c>
      <c r="S80" s="154">
        <v>17.712889999999998</v>
      </c>
      <c r="T80" s="155">
        <f t="shared" si="22"/>
        <v>3.3321405927883518E-2</v>
      </c>
      <c r="U80" s="154">
        <v>15.196</v>
      </c>
      <c r="V80" s="155">
        <f t="shared" si="23"/>
        <v>2.801683421609899E-2</v>
      </c>
      <c r="W80" s="154">
        <v>21.148400000000002</v>
      </c>
      <c r="X80" s="155">
        <v>1.9875157550070483E-2</v>
      </c>
      <c r="Y80" s="154">
        <v>15.61299</v>
      </c>
      <c r="Z80" s="155">
        <f t="shared" si="24"/>
        <v>2.9448485327796297E-2</v>
      </c>
      <c r="AA80" s="154">
        <f t="shared" si="14"/>
        <v>178.23012999999997</v>
      </c>
      <c r="AB80" s="155">
        <f t="shared" si="25"/>
        <v>2.6987533768745922E-2</v>
      </c>
    </row>
    <row r="81" spans="1:28" x14ac:dyDescent="0.25">
      <c r="B81" s="1" t="s">
        <v>47</v>
      </c>
      <c r="C81" s="154">
        <v>0</v>
      </c>
      <c r="D81" s="155">
        <f t="shared" si="13"/>
        <v>0</v>
      </c>
      <c r="E81" s="154">
        <v>0</v>
      </c>
      <c r="F81" s="155">
        <f t="shared" si="15"/>
        <v>0</v>
      </c>
      <c r="G81" s="154">
        <v>0</v>
      </c>
      <c r="H81" s="155">
        <f t="shared" si="16"/>
        <v>0</v>
      </c>
      <c r="I81" s="154">
        <v>0</v>
      </c>
      <c r="J81" s="155">
        <f t="shared" si="17"/>
        <v>0</v>
      </c>
      <c r="K81" s="154">
        <v>0</v>
      </c>
      <c r="L81" s="155">
        <f t="shared" si="18"/>
        <v>0</v>
      </c>
      <c r="M81" s="154">
        <v>0</v>
      </c>
      <c r="N81" s="155">
        <f t="shared" si="19"/>
        <v>0</v>
      </c>
      <c r="O81" s="154">
        <v>0</v>
      </c>
      <c r="P81" s="155">
        <f t="shared" si="20"/>
        <v>0</v>
      </c>
      <c r="Q81" s="154">
        <v>0</v>
      </c>
      <c r="R81" s="155">
        <f t="shared" si="21"/>
        <v>0</v>
      </c>
      <c r="S81" s="154">
        <v>0</v>
      </c>
      <c r="T81" s="155">
        <f t="shared" si="22"/>
        <v>0</v>
      </c>
      <c r="U81" s="154">
        <v>0</v>
      </c>
      <c r="V81" s="155">
        <f t="shared" si="23"/>
        <v>0</v>
      </c>
      <c r="W81" s="154">
        <v>0</v>
      </c>
      <c r="X81" s="155">
        <v>0</v>
      </c>
      <c r="Y81" s="154">
        <v>0</v>
      </c>
      <c r="Z81" s="155">
        <f t="shared" si="24"/>
        <v>0</v>
      </c>
      <c r="AA81" s="154">
        <f t="shared" si="14"/>
        <v>0</v>
      </c>
      <c r="AB81" s="155">
        <f t="shared" si="25"/>
        <v>0</v>
      </c>
    </row>
    <row r="82" spans="1:28" x14ac:dyDescent="0.25">
      <c r="B82" s="9"/>
      <c r="C82" s="154">
        <v>0</v>
      </c>
      <c r="D82" s="155">
        <f t="shared" si="13"/>
        <v>0</v>
      </c>
      <c r="E82" s="154">
        <v>0</v>
      </c>
      <c r="F82" s="155">
        <f t="shared" si="15"/>
        <v>0</v>
      </c>
      <c r="G82" s="154">
        <v>0</v>
      </c>
      <c r="H82" s="155">
        <f t="shared" si="16"/>
        <v>0</v>
      </c>
      <c r="I82" s="154">
        <v>0</v>
      </c>
      <c r="J82" s="155">
        <f t="shared" si="17"/>
        <v>0</v>
      </c>
      <c r="K82" s="154">
        <v>0</v>
      </c>
      <c r="L82" s="155">
        <f t="shared" si="18"/>
        <v>0</v>
      </c>
      <c r="M82" s="154">
        <v>0</v>
      </c>
      <c r="N82" s="155">
        <f t="shared" si="19"/>
        <v>0</v>
      </c>
      <c r="O82" s="154">
        <v>0</v>
      </c>
      <c r="P82" s="155">
        <f t="shared" si="20"/>
        <v>0</v>
      </c>
      <c r="Q82" s="154">
        <v>0</v>
      </c>
      <c r="R82" s="155">
        <f t="shared" si="21"/>
        <v>0</v>
      </c>
      <c r="S82" s="154">
        <v>0</v>
      </c>
      <c r="T82" s="155">
        <f t="shared" si="22"/>
        <v>0</v>
      </c>
      <c r="U82" s="154">
        <v>0</v>
      </c>
      <c r="V82" s="155">
        <f t="shared" si="23"/>
        <v>0</v>
      </c>
      <c r="W82" s="154">
        <v>0</v>
      </c>
      <c r="X82" s="155">
        <v>0</v>
      </c>
      <c r="Y82" s="154">
        <v>0</v>
      </c>
      <c r="Z82" s="155">
        <f t="shared" si="24"/>
        <v>0</v>
      </c>
      <c r="AA82" s="154">
        <f t="shared" si="14"/>
        <v>0</v>
      </c>
      <c r="AB82" s="155">
        <f t="shared" si="25"/>
        <v>0</v>
      </c>
    </row>
    <row r="83" spans="1:28" ht="13" x14ac:dyDescent="0.3">
      <c r="B83" s="9" t="s">
        <v>48</v>
      </c>
      <c r="C83" s="5">
        <v>11.832850000000001</v>
      </c>
      <c r="D83" s="26">
        <f t="shared" si="13"/>
        <v>2.2721030007481925E-2</v>
      </c>
      <c r="E83" s="5">
        <v>9.6649199999999986</v>
      </c>
      <c r="F83" s="26">
        <f t="shared" si="15"/>
        <v>1.8602871052107024E-2</v>
      </c>
      <c r="G83" s="5">
        <v>10.8264</v>
      </c>
      <c r="H83" s="26">
        <f t="shared" si="16"/>
        <v>1.7345617173942604E-2</v>
      </c>
      <c r="I83" s="5">
        <v>12.418000000000001</v>
      </c>
      <c r="J83" s="26">
        <f t="shared" si="17"/>
        <v>2.0894738338748838E-2</v>
      </c>
      <c r="K83" s="5">
        <v>10.272259999999999</v>
      </c>
      <c r="L83" s="26">
        <f t="shared" si="18"/>
        <v>1.7820418789365657E-2</v>
      </c>
      <c r="M83" s="5">
        <v>-10.859200000000001</v>
      </c>
      <c r="N83" s="26">
        <f t="shared" si="19"/>
        <v>-1.9826498058421096E-2</v>
      </c>
      <c r="O83" s="5">
        <v>14.268230000000001</v>
      </c>
      <c r="P83" s="26">
        <f t="shared" si="20"/>
        <v>2.6060859711035247E-2</v>
      </c>
      <c r="Q83" s="5">
        <v>14.83004</v>
      </c>
      <c r="R83" s="26">
        <f t="shared" si="21"/>
        <v>2.6372831554013751E-2</v>
      </c>
      <c r="S83" s="5">
        <v>16.718609999999998</v>
      </c>
      <c r="T83" s="26">
        <f t="shared" si="22"/>
        <v>3.1450971036345428E-2</v>
      </c>
      <c r="U83" s="5">
        <v>14.25578</v>
      </c>
      <c r="V83" s="26">
        <f t="shared" si="23"/>
        <v>2.6283352519161599E-2</v>
      </c>
      <c r="W83" s="5">
        <v>18.266090000000002</v>
      </c>
      <c r="X83" s="26">
        <v>1.7989222977642383E-2</v>
      </c>
      <c r="Y83" s="5">
        <v>14.88209</v>
      </c>
      <c r="Z83" s="26">
        <f t="shared" si="24"/>
        <v>2.8069896221796335E-2</v>
      </c>
      <c r="AA83" s="5">
        <f t="shared" si="14"/>
        <v>137.37607</v>
      </c>
      <c r="AB83" s="26">
        <f t="shared" si="25"/>
        <v>2.0801428625690864E-2</v>
      </c>
    </row>
    <row r="84" spans="1:28" ht="13" x14ac:dyDescent="0.3">
      <c r="B84" s="1" t="s">
        <v>49</v>
      </c>
      <c r="C84" s="5">
        <v>-40.082189999999969</v>
      </c>
      <c r="D84" s="26">
        <f t="shared" si="13"/>
        <v>-7.6964437287347615E-2</v>
      </c>
      <c r="E84" s="5">
        <v>-27.318039999999964</v>
      </c>
      <c r="F84" s="26">
        <f t="shared" si="15"/>
        <v>-5.2581291466075375E-2</v>
      </c>
      <c r="G84" s="5">
        <v>21.783739999999923</v>
      </c>
      <c r="H84" s="26">
        <f t="shared" si="16"/>
        <v>3.490102108334249E-2</v>
      </c>
      <c r="I84" s="5">
        <v>-7.6849199999999547</v>
      </c>
      <c r="J84" s="26">
        <f t="shared" si="17"/>
        <v>-1.2930777303447959E-2</v>
      </c>
      <c r="K84" s="5">
        <v>-25.949599999999968</v>
      </c>
      <c r="L84" s="26">
        <f t="shared" si="18"/>
        <v>-4.5017624107696115E-2</v>
      </c>
      <c r="M84" s="5">
        <v>-19.403850000000045</v>
      </c>
      <c r="N84" s="26">
        <f t="shared" si="19"/>
        <v>-3.5427139600605478E-2</v>
      </c>
      <c r="O84" s="5">
        <v>-28.670620000000103</v>
      </c>
      <c r="P84" s="26">
        <f t="shared" si="20"/>
        <v>-5.2366762075492471E-2</v>
      </c>
      <c r="Q84" s="5">
        <v>24.321970000000007</v>
      </c>
      <c r="R84" s="26">
        <f t="shared" si="21"/>
        <v>4.3252696410244075E-2</v>
      </c>
      <c r="S84" s="5">
        <v>-33.755000000000102</v>
      </c>
      <c r="T84" s="26">
        <f t="shared" si="22"/>
        <v>-6.3499748324283137E-2</v>
      </c>
      <c r="U84" s="5">
        <v>-33.361299999999929</v>
      </c>
      <c r="V84" s="26">
        <f t="shared" si="23"/>
        <v>-6.150816078794033E-2</v>
      </c>
      <c r="W84" s="5">
        <v>-54.226380000000006</v>
      </c>
      <c r="X84" s="26">
        <v>-6.2177375229233278E-2</v>
      </c>
      <c r="Y84" s="5">
        <v>-35.278910000000003</v>
      </c>
      <c r="Z84" s="26">
        <f t="shared" si="24"/>
        <v>-6.6541416059040973E-2</v>
      </c>
      <c r="AA84" s="5">
        <f t="shared" si="14"/>
        <v>-259.62510000000009</v>
      </c>
      <c r="AB84" s="26">
        <f t="shared" si="25"/>
        <v>-3.9312327009266283E-2</v>
      </c>
    </row>
    <row r="85" spans="1:28" x14ac:dyDescent="0.25">
      <c r="B85" s="9"/>
      <c r="C85" s="74"/>
      <c r="D85" s="157"/>
      <c r="E85" s="74"/>
      <c r="F85" s="157"/>
      <c r="G85" s="74"/>
      <c r="H85" s="157"/>
      <c r="I85" s="74"/>
      <c r="J85" s="157"/>
      <c r="K85" s="74"/>
      <c r="L85" s="157"/>
      <c r="M85" s="74"/>
      <c r="N85" s="157"/>
      <c r="O85" s="74"/>
      <c r="P85" s="157"/>
      <c r="Q85" s="74"/>
      <c r="R85" s="157"/>
      <c r="S85" s="74"/>
      <c r="T85" s="157"/>
      <c r="U85" s="74"/>
      <c r="V85" s="157"/>
      <c r="W85" s="74"/>
      <c r="X85" s="157"/>
      <c r="Y85" s="74"/>
      <c r="Z85" s="157"/>
      <c r="AA85" s="74"/>
      <c r="AB85" s="157"/>
    </row>
    <row r="86" spans="1:28" x14ac:dyDescent="0.25">
      <c r="B86" s="9" t="s">
        <v>50</v>
      </c>
      <c r="C86" s="158">
        <v>0</v>
      </c>
      <c r="D86" s="156">
        <f t="shared" si="13"/>
        <v>0</v>
      </c>
      <c r="E86" s="158">
        <v>0</v>
      </c>
      <c r="F86" s="156">
        <f>IF(E$67=0,"N.D.",E86/E$67)</f>
        <v>0</v>
      </c>
      <c r="G86" s="158">
        <v>0</v>
      </c>
      <c r="H86" s="156">
        <f>IF(G$67=0,"N.D.",G86/G$67)</f>
        <v>0</v>
      </c>
      <c r="I86" s="158">
        <v>0</v>
      </c>
      <c r="J86" s="156">
        <f>IF(I$67=0,"N.D.",I86/I$67)</f>
        <v>0</v>
      </c>
      <c r="K86" s="158">
        <v>0</v>
      </c>
      <c r="L86" s="156">
        <f>IF(K$67=0,"N.D.",K86/K$67)</f>
        <v>0</v>
      </c>
      <c r="M86" s="158">
        <v>0</v>
      </c>
      <c r="N86" s="156">
        <f>IF(M$67=0,"N.D.",M86/M$67)</f>
        <v>0</v>
      </c>
      <c r="O86" s="158">
        <v>0</v>
      </c>
      <c r="P86" s="156">
        <f>IF(O$67=0,"N.D.",O86/O$67)</f>
        <v>0</v>
      </c>
      <c r="Q86" s="158">
        <v>0</v>
      </c>
      <c r="R86" s="156">
        <f>IF(Q$67=0,"N.D.",Q86/Q$67)</f>
        <v>0</v>
      </c>
      <c r="S86" s="158">
        <v>0</v>
      </c>
      <c r="T86" s="156">
        <f>IF(S$67=0,"N.D.",S86/S$67)</f>
        <v>0</v>
      </c>
      <c r="U86" s="158">
        <v>0</v>
      </c>
      <c r="V86" s="156">
        <f>IF(U$67=0,"N.D.",U86/U$67)</f>
        <v>0</v>
      </c>
      <c r="W86" s="158">
        <v>0</v>
      </c>
      <c r="X86" s="156">
        <v>0</v>
      </c>
      <c r="Y86" s="158">
        <v>0</v>
      </c>
      <c r="Z86" s="156">
        <f>IF(Y$67=0,"N.D.",Y86/Y$67)</f>
        <v>0</v>
      </c>
      <c r="AA86" s="158">
        <f t="shared" si="14"/>
        <v>0</v>
      </c>
      <c r="AB86" s="156">
        <f>IF(AA$67=0,"N.D.",AA86/AA$67)</f>
        <v>0</v>
      </c>
    </row>
    <row r="87" spans="1:28" x14ac:dyDescent="0.25">
      <c r="B87" s="80" t="s">
        <v>51</v>
      </c>
      <c r="C87" s="154">
        <v>0</v>
      </c>
      <c r="D87" s="155">
        <f t="shared" si="13"/>
        <v>0</v>
      </c>
      <c r="E87" s="154">
        <v>0</v>
      </c>
      <c r="F87" s="155">
        <f>IF(E$67=0,"N.D.",E87/E$67)</f>
        <v>0</v>
      </c>
      <c r="G87" s="154">
        <v>0</v>
      </c>
      <c r="H87" s="155">
        <f>IF(G$67=0,"N.D.",G87/G$67)</f>
        <v>0</v>
      </c>
      <c r="I87" s="154">
        <v>0</v>
      </c>
      <c r="J87" s="155">
        <f>IF(I$67=0,"N.D.",I87/I$67)</f>
        <v>0</v>
      </c>
      <c r="K87" s="154">
        <v>0</v>
      </c>
      <c r="L87" s="155">
        <f>IF(K$67=0,"N.D.",K87/K$67)</f>
        <v>0</v>
      </c>
      <c r="M87" s="154">
        <v>0</v>
      </c>
      <c r="N87" s="155">
        <f>IF(M$67=0,"N.D.",M87/M$67)</f>
        <v>0</v>
      </c>
      <c r="O87" s="154">
        <v>0</v>
      </c>
      <c r="P87" s="155">
        <f>IF(O$67=0,"N.D.",O87/O$67)</f>
        <v>0</v>
      </c>
      <c r="Q87" s="154">
        <v>0</v>
      </c>
      <c r="R87" s="155">
        <f>IF(Q$67=0,"N.D.",Q87/Q$67)</f>
        <v>0</v>
      </c>
      <c r="S87" s="154">
        <v>0</v>
      </c>
      <c r="T87" s="155">
        <f>IF(S$67=0,"N.D.",S87/S$67)</f>
        <v>0</v>
      </c>
      <c r="U87" s="154">
        <v>0</v>
      </c>
      <c r="V87" s="155">
        <f>IF(U$67=0,"N.D.",U87/U$67)</f>
        <v>0</v>
      </c>
      <c r="W87" s="154">
        <v>0</v>
      </c>
      <c r="X87" s="155">
        <v>0</v>
      </c>
      <c r="Y87" s="154">
        <v>0</v>
      </c>
      <c r="Z87" s="155">
        <f>IF(Y$67=0,"N.D.",Y87/Y$67)</f>
        <v>0</v>
      </c>
      <c r="AA87" s="154">
        <f t="shared" si="14"/>
        <v>0</v>
      </c>
      <c r="AB87" s="155">
        <f>IF(AA$67=0,"N.D.",AA87/AA$67)</f>
        <v>0</v>
      </c>
    </row>
    <row r="88" spans="1:28" ht="13" x14ac:dyDescent="0.3">
      <c r="B88" s="1" t="s">
        <v>53</v>
      </c>
      <c r="C88" s="5">
        <v>-40.082189999999969</v>
      </c>
      <c r="D88" s="26">
        <f t="shared" si="13"/>
        <v>-7.6964437287347615E-2</v>
      </c>
      <c r="E88" s="5">
        <v>-27.318039999999964</v>
      </c>
      <c r="F88" s="26">
        <f>IF(E$67=0,"N.D.",E88/E$67)</f>
        <v>-5.2581291466075375E-2</v>
      </c>
      <c r="G88" s="5">
        <v>21.783739999999923</v>
      </c>
      <c r="H88" s="26">
        <f>IF(G$67=0,"N.D.",G88/G$67)</f>
        <v>3.490102108334249E-2</v>
      </c>
      <c r="I88" s="5">
        <v>-7.6849199999999547</v>
      </c>
      <c r="J88" s="26">
        <f>IF(I$67=0,"N.D.",I88/I$67)</f>
        <v>-1.2930777303447959E-2</v>
      </c>
      <c r="K88" s="5">
        <v>-25.949599999999968</v>
      </c>
      <c r="L88" s="26">
        <f>IF(K$67=0,"N.D.",K88/K$67)</f>
        <v>-4.5017624107696115E-2</v>
      </c>
      <c r="M88" s="5">
        <v>-19.403850000000045</v>
      </c>
      <c r="N88" s="26">
        <f>IF(M$67=0,"N.D.",M88/M$67)</f>
        <v>-3.5427139600605478E-2</v>
      </c>
      <c r="O88" s="5">
        <v>-28.670620000000103</v>
      </c>
      <c r="P88" s="26">
        <f>IF(O$67=0,"N.D.",O88/O$67)</f>
        <v>-5.2366762075492471E-2</v>
      </c>
      <c r="Q88" s="5">
        <v>24.321970000000007</v>
      </c>
      <c r="R88" s="26">
        <f>IF(Q$67=0,"N.D.",Q88/Q$67)</f>
        <v>4.3252696410244075E-2</v>
      </c>
      <c r="S88" s="5">
        <v>-33.755000000000102</v>
      </c>
      <c r="T88" s="26">
        <f>IF(S$67=0,"N.D.",S88/S$67)</f>
        <v>-6.3499748324283137E-2</v>
      </c>
      <c r="U88" s="5">
        <v>-33.361299999999929</v>
      </c>
      <c r="V88" s="26">
        <f>IF(U$67=0,"N.D.",U88/U$67)</f>
        <v>-6.150816078794033E-2</v>
      </c>
      <c r="W88" s="5">
        <v>-54.226380000000006</v>
      </c>
      <c r="X88" s="26">
        <v>-6.2177375229233278E-2</v>
      </c>
      <c r="Y88" s="5">
        <v>-35.278910000000003</v>
      </c>
      <c r="Z88" s="26">
        <f>IF(Y$67=0,"N.D.",Y88/Y$67)</f>
        <v>-6.6541416059040973E-2</v>
      </c>
      <c r="AA88" s="5">
        <f t="shared" si="14"/>
        <v>-259.62510000000009</v>
      </c>
      <c r="AB88" s="26">
        <f>IF(AA$67=0,"N.D.",AA88/AA$67)</f>
        <v>-3.9312327009266283E-2</v>
      </c>
    </row>
    <row r="89" spans="1:28" ht="13" x14ac:dyDescent="0.3">
      <c r="B89" s="1" t="s">
        <v>3</v>
      </c>
      <c r="C89" s="5">
        <v>-25.411129999999968</v>
      </c>
      <c r="D89" s="26">
        <f t="shared" si="13"/>
        <v>-4.8793574435070451E-2</v>
      </c>
      <c r="E89" s="5">
        <v>-14.814909999999967</v>
      </c>
      <c r="F89" s="26">
        <f>IF(E$67=0,"N.D.",E89/E$67)</f>
        <v>-2.8515482836750882E-2</v>
      </c>
      <c r="G89" s="5">
        <v>35.448349999999927</v>
      </c>
      <c r="H89" s="26">
        <f>IF(G$67=0,"N.D.",G89/G$67)</f>
        <v>5.6793902732942353E-2</v>
      </c>
      <c r="I89" s="5">
        <v>7.5712900000000456</v>
      </c>
      <c r="J89" s="26">
        <f>IF(I$67=0,"N.D.",I89/I$67)</f>
        <v>1.2739581529778275E-2</v>
      </c>
      <c r="K89" s="5">
        <v>-12.839129999999969</v>
      </c>
      <c r="L89" s="26">
        <f>IF(K$67=0,"N.D.",K89/K$67)</f>
        <v>-2.2273450388824636E-2</v>
      </c>
      <c r="M89" s="5">
        <v>-27.424840000000046</v>
      </c>
      <c r="N89" s="26">
        <f>IF(M$67=0,"N.D.",M89/M$67)</f>
        <v>-5.0071693772332219E-2</v>
      </c>
      <c r="O89" s="5">
        <v>-11.564180000000102</v>
      </c>
      <c r="P89" s="26">
        <f>IF(O$67=0,"N.D.",O89/O$67)</f>
        <v>-2.1121924208760457E-2</v>
      </c>
      <c r="Q89" s="5">
        <v>41.990220000000008</v>
      </c>
      <c r="R89" s="26">
        <f>IF(Q$67=0,"N.D.",Q89/Q$67)</f>
        <v>7.4672826167426348E-2</v>
      </c>
      <c r="S89" s="5">
        <v>-14.198180000000102</v>
      </c>
      <c r="T89" s="26">
        <f>IF(S$67=0,"N.D.",S89/S$67)</f>
        <v>-2.6709549893730533E-2</v>
      </c>
      <c r="U89" s="5">
        <v>-16.267309999999931</v>
      </c>
      <c r="V89" s="26">
        <f>IF(U$67=0,"N.D.",U89/U$67)</f>
        <v>-2.9992006278750153E-2</v>
      </c>
      <c r="W89" s="5">
        <v>-33.122080000000011</v>
      </c>
      <c r="X89" s="26">
        <v>-3.9549602000661516E-2</v>
      </c>
      <c r="Y89" s="5">
        <v>-17.558610000000009</v>
      </c>
      <c r="Z89" s="26">
        <f>IF(Y$67=0,"N.D.",Y89/Y$67)</f>
        <v>-3.3118222003696768E-2</v>
      </c>
      <c r="AA89" s="5">
        <f t="shared" si="14"/>
        <v>-88.190510000000131</v>
      </c>
      <c r="AB89" s="26">
        <f>IF(AA$67=0,"N.D.",AA89/AA$67)</f>
        <v>-1.3353771142443361E-2</v>
      </c>
    </row>
    <row r="90" spans="1:28" x14ac:dyDescent="0.25">
      <c r="C90" s="159"/>
      <c r="D90" s="160"/>
      <c r="E90" s="159"/>
      <c r="F90" s="160"/>
      <c r="G90" s="159"/>
      <c r="H90" s="160"/>
      <c r="I90" s="159"/>
      <c r="J90" s="160"/>
      <c r="K90" s="159"/>
      <c r="L90" s="160"/>
      <c r="M90" s="159"/>
      <c r="N90" s="160"/>
      <c r="O90" s="159"/>
      <c r="P90" s="160"/>
      <c r="Q90" s="159"/>
      <c r="R90" s="160"/>
      <c r="S90" s="159"/>
      <c r="T90" s="160"/>
      <c r="U90" s="159"/>
      <c r="V90" s="160"/>
      <c r="W90" s="159"/>
      <c r="X90" s="160"/>
      <c r="Y90" s="159"/>
      <c r="Z90" s="160"/>
      <c r="AA90" s="159"/>
      <c r="AB90" s="160"/>
    </row>
    <row r="91" spans="1:28" x14ac:dyDescent="0.25">
      <c r="C91" s="161"/>
      <c r="D91" s="161"/>
      <c r="E91" s="161"/>
      <c r="F91" s="161"/>
      <c r="G91" s="161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</row>
    <row r="92" spans="1:28" x14ac:dyDescent="0.25">
      <c r="C92" s="161"/>
      <c r="D92" s="161"/>
      <c r="E92" s="161"/>
      <c r="F92" s="161"/>
      <c r="G92" s="161"/>
      <c r="H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1"/>
    </row>
    <row r="93" spans="1:28" x14ac:dyDescent="0.25">
      <c r="C93" s="161"/>
      <c r="D93" s="161"/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61"/>
      <c r="AB93" s="161"/>
    </row>
    <row r="94" spans="1:28" ht="13" x14ac:dyDescent="0.3">
      <c r="C94" s="8"/>
      <c r="D94" s="23"/>
      <c r="E94" s="8"/>
      <c r="F94" s="23"/>
      <c r="G94" s="8"/>
      <c r="H94" s="23"/>
      <c r="I94" s="8"/>
      <c r="J94" s="23"/>
      <c r="K94" s="8"/>
      <c r="L94" s="23"/>
      <c r="M94" s="8"/>
      <c r="N94" s="23"/>
      <c r="O94" s="8"/>
      <c r="P94" s="23"/>
      <c r="Q94" s="8"/>
      <c r="R94" s="23"/>
      <c r="S94" s="8"/>
      <c r="T94" s="23"/>
      <c r="U94" s="8"/>
      <c r="V94" s="23"/>
      <c r="W94" s="8"/>
      <c r="X94" s="23"/>
      <c r="Y94" s="8"/>
      <c r="Z94" s="23"/>
      <c r="AA94" s="8"/>
      <c r="AB94" s="23"/>
    </row>
    <row r="95" spans="1:28" ht="13" x14ac:dyDescent="0.3">
      <c r="A95" s="114"/>
      <c r="B95" s="9"/>
      <c r="C95" s="112" t="str">
        <f>+C8</f>
        <v>Enero</v>
      </c>
      <c r="D95" s="115"/>
      <c r="E95" s="112" t="str">
        <f>+E8</f>
        <v>Febrero</v>
      </c>
      <c r="F95" s="115"/>
      <c r="G95" s="112" t="str">
        <f>+G8</f>
        <v>Marzo</v>
      </c>
      <c r="H95" s="115"/>
      <c r="I95" s="112" t="str">
        <f>+I8</f>
        <v>Abril</v>
      </c>
      <c r="J95" s="115"/>
      <c r="K95" s="112" t="str">
        <f>+K8</f>
        <v>Mayo</v>
      </c>
      <c r="L95" s="115"/>
      <c r="M95" s="112" t="str">
        <f>+M8</f>
        <v>Junio</v>
      </c>
      <c r="N95" s="115"/>
      <c r="O95" s="112" t="str">
        <f>+O8</f>
        <v>Julio</v>
      </c>
      <c r="P95" s="115"/>
      <c r="Q95" s="112" t="str">
        <f>+Q8</f>
        <v>Agosto</v>
      </c>
      <c r="R95" s="115"/>
      <c r="S95" s="112" t="str">
        <f>+S8</f>
        <v>Septiembre</v>
      </c>
      <c r="T95" s="115"/>
      <c r="U95" s="112" t="str">
        <f>+U8</f>
        <v>Octubre</v>
      </c>
      <c r="V95" s="115"/>
      <c r="W95" s="112" t="str">
        <f>+W8</f>
        <v>Noviembre</v>
      </c>
      <c r="X95" s="115"/>
      <c r="Y95" s="112" t="str">
        <f>+Y8</f>
        <v>Diciembre</v>
      </c>
      <c r="Z95" s="115"/>
      <c r="AA95" s="112" t="s">
        <v>208</v>
      </c>
      <c r="AB95" s="115"/>
    </row>
    <row r="96" spans="1:28" x14ac:dyDescent="0.25">
      <c r="A96" t="s">
        <v>185</v>
      </c>
      <c r="B96" s="9" t="s">
        <v>38</v>
      </c>
      <c r="C96" s="154">
        <v>271.07868999999999</v>
      </c>
      <c r="D96" s="155">
        <f>IF(C$96=0,"N.D.",C96/C$96)</f>
        <v>1</v>
      </c>
      <c r="E96" s="154">
        <v>277.68255000000005</v>
      </c>
      <c r="F96" s="155">
        <f>IF(E$96=0,"N.D.",E96/E$96)</f>
        <v>1</v>
      </c>
      <c r="G96" s="154">
        <v>297.27435000000003</v>
      </c>
      <c r="H96" s="155">
        <f>IF(G$96=0,"N.D.",G96/G$96)</f>
        <v>1</v>
      </c>
      <c r="I96" s="154">
        <v>282.18156000000005</v>
      </c>
      <c r="J96" s="155">
        <f>IF(I$96=0,"N.D.",I96/I$96)</f>
        <v>1</v>
      </c>
      <c r="K96" s="154">
        <v>267.52246000000002</v>
      </c>
      <c r="L96" s="155">
        <f>IF(K$96=0,"N.D.",K96/K$96)</f>
        <v>1</v>
      </c>
      <c r="M96" s="154">
        <v>251.71543</v>
      </c>
      <c r="N96" s="155">
        <f>IF(M$96=0,"N.D.",M96/M$96)</f>
        <v>1</v>
      </c>
      <c r="O96" s="154">
        <v>255.17317</v>
      </c>
      <c r="P96" s="155">
        <f>IF(O$96=0,"N.D.",O96/O$96)</f>
        <v>1</v>
      </c>
      <c r="Q96" s="154">
        <v>244.00355999999999</v>
      </c>
      <c r="R96" s="155">
        <f>IF(Q$96=0,"N.D.",Q96/Q$96)</f>
        <v>1</v>
      </c>
      <c r="S96" s="154">
        <v>258.64953000000003</v>
      </c>
      <c r="T96" s="155">
        <f>IF(S$96=0,"N.D.",S96/S$96)</f>
        <v>1</v>
      </c>
      <c r="U96" s="154">
        <v>280.11353000000003</v>
      </c>
      <c r="V96" s="155">
        <f>IF(U$96=0,"N.D.",U96/U$96)</f>
        <v>1</v>
      </c>
      <c r="W96" s="154">
        <v>230.78712000000002</v>
      </c>
      <c r="X96" s="155">
        <v>1</v>
      </c>
      <c r="Y96" s="154">
        <v>284.24757999999997</v>
      </c>
      <c r="Z96" s="155">
        <f>IF(Y$96=0,"N.D.",Y96/Y$96)</f>
        <v>1</v>
      </c>
      <c r="AA96" s="154">
        <f>+Y96+W96+U96+S96+Q96+O96+M96+K96+I96+G96+E96+C96</f>
        <v>3200.4295299999999</v>
      </c>
      <c r="AB96" s="155">
        <f>IF(AA$96=0,"N.D.",AA96/AA$96)</f>
        <v>1</v>
      </c>
    </row>
    <row r="97" spans="2:28" x14ac:dyDescent="0.25">
      <c r="B97" s="9" t="s">
        <v>39</v>
      </c>
      <c r="C97" s="154">
        <v>180.53601</v>
      </c>
      <c r="D97" s="155">
        <f t="shared" ref="D97:D118" si="26">IF(C$96=0,"N.D.",C97/C$96)</f>
        <v>0.66599115555708199</v>
      </c>
      <c r="E97" s="154">
        <v>195.51551999999998</v>
      </c>
      <c r="F97" s="155">
        <f>IF(E$96=0,"N.D.",E97/E$96)</f>
        <v>0.70409725061945716</v>
      </c>
      <c r="G97" s="154">
        <v>210.25976</v>
      </c>
      <c r="H97" s="155">
        <f>IF(G$96=0,"N.D.",G97/G$96)</f>
        <v>0.70729196784048132</v>
      </c>
      <c r="I97" s="154">
        <v>185.38536999999999</v>
      </c>
      <c r="J97" s="155">
        <f>IF(I$96=0,"N.D.",I97/I$96)</f>
        <v>0.65697195096660455</v>
      </c>
      <c r="K97" s="154">
        <v>183.46341000000001</v>
      </c>
      <c r="L97" s="155">
        <f>IF(K$96=0,"N.D.",K97/K$96)</f>
        <v>0.68578694289817754</v>
      </c>
      <c r="M97" s="154">
        <v>174.17457000000002</v>
      </c>
      <c r="N97" s="155">
        <f>IF(M$96=0,"N.D.",M97/M$96)</f>
        <v>0.69195031071396784</v>
      </c>
      <c r="O97" s="154">
        <v>193.65366</v>
      </c>
      <c r="P97" s="155">
        <f>IF(O$96=0,"N.D.",O97/O$96)</f>
        <v>0.75891074284964988</v>
      </c>
      <c r="Q97" s="154">
        <v>164.75200000000001</v>
      </c>
      <c r="R97" s="155">
        <f>IF(Q$96=0,"N.D.",Q97/Q$96)</f>
        <v>0.67520326342779591</v>
      </c>
      <c r="S97" s="154">
        <v>172.0873</v>
      </c>
      <c r="T97" s="155">
        <f>IF(S$96=0,"N.D.",S97/S$96)</f>
        <v>0.66533003172284899</v>
      </c>
      <c r="U97" s="154">
        <v>187.34244000000001</v>
      </c>
      <c r="V97" s="155">
        <f>IF(U$96=0,"N.D.",U97/U$96)</f>
        <v>0.66880896470798823</v>
      </c>
      <c r="W97" s="154">
        <v>165.72773000000001</v>
      </c>
      <c r="X97" s="155">
        <v>0.67649797351962382</v>
      </c>
      <c r="Y97" s="154">
        <v>192.63095000000001</v>
      </c>
      <c r="Z97" s="155">
        <f>IF(Y$96=0,"N.D.",Y97/Y$96)</f>
        <v>0.67768721197204218</v>
      </c>
      <c r="AA97" s="154">
        <f t="shared" ref="AA97:AA118" si="27">+Y97+W97+U97+S97+Q97+O97+M97+K97+I97+G97+E97+C97</f>
        <v>2205.5287199999998</v>
      </c>
      <c r="AB97" s="155">
        <f>IF(AA$96=0,"N.D.",AA97/AA$96)</f>
        <v>0.68913522367105517</v>
      </c>
    </row>
    <row r="98" spans="2:28" x14ac:dyDescent="0.25">
      <c r="B98" s="9" t="s">
        <v>219</v>
      </c>
      <c r="C98" s="154"/>
      <c r="D98" s="155"/>
      <c r="E98" s="154"/>
      <c r="F98" s="155"/>
      <c r="G98" s="154"/>
      <c r="H98" s="155"/>
      <c r="I98" s="154"/>
      <c r="J98" s="155"/>
      <c r="K98" s="154"/>
      <c r="L98" s="155"/>
      <c r="M98" s="154"/>
      <c r="N98" s="155"/>
      <c r="O98" s="154"/>
      <c r="P98" s="155"/>
      <c r="Q98" s="154"/>
      <c r="R98" s="155"/>
      <c r="S98" s="154"/>
      <c r="T98" s="155"/>
      <c r="U98" s="154"/>
      <c r="V98" s="155"/>
      <c r="W98" s="154"/>
      <c r="X98" s="155"/>
      <c r="Y98" s="154"/>
      <c r="Z98" s="155"/>
      <c r="AA98" s="154"/>
      <c r="AB98" s="155"/>
    </row>
    <row r="99" spans="2:28" ht="13" x14ac:dyDescent="0.3">
      <c r="B99" s="9" t="s">
        <v>40</v>
      </c>
      <c r="C99" s="5">
        <v>90.54267999999999</v>
      </c>
      <c r="D99" s="26">
        <f t="shared" si="26"/>
        <v>0.33400884444291801</v>
      </c>
      <c r="E99" s="5">
        <v>82.167030000000054</v>
      </c>
      <c r="F99" s="26">
        <f>IF(E$96=0,"N.D.",E99/E$96)</f>
        <v>0.29590274938054278</v>
      </c>
      <c r="G99" s="5">
        <v>87.014590000000027</v>
      </c>
      <c r="H99" s="26">
        <f>IF(G$96=0,"N.D.",G99/G$96)</f>
        <v>0.29270803215951868</v>
      </c>
      <c r="I99" s="5">
        <v>96.796190000000067</v>
      </c>
      <c r="J99" s="26">
        <f>IF(I$96=0,"N.D.",I99/I$96)</f>
        <v>0.34302804903339557</v>
      </c>
      <c r="K99" s="5">
        <v>84.059050000000013</v>
      </c>
      <c r="L99" s="26">
        <f>IF(K$96=0,"N.D.",K99/K$96)</f>
        <v>0.3142130571018224</v>
      </c>
      <c r="M99" s="5">
        <v>77.540859999999981</v>
      </c>
      <c r="N99" s="26">
        <f>IF(M$96=0,"N.D.",M99/M$96)</f>
        <v>0.30804968928603216</v>
      </c>
      <c r="O99" s="5">
        <v>61.519510000000011</v>
      </c>
      <c r="P99" s="26">
        <f>IF(O$96=0,"N.D.",O99/O$96)</f>
        <v>0.24108925715035015</v>
      </c>
      <c r="Q99" s="5">
        <v>79.251559999999998</v>
      </c>
      <c r="R99" s="26">
        <f>IF(Q$96=0,"N.D.",Q99/Q$96)</f>
        <v>0.32479673657220409</v>
      </c>
      <c r="S99" s="5">
        <v>86.562230000000042</v>
      </c>
      <c r="T99" s="26">
        <f>IF(S$96=0,"N.D.",S99/S$96)</f>
        <v>0.33466996827715106</v>
      </c>
      <c r="U99" s="5">
        <v>92.771090000000029</v>
      </c>
      <c r="V99" s="26">
        <f>IF(U$96=0,"N.D.",U99/U$96)</f>
        <v>0.33119103529201183</v>
      </c>
      <c r="W99" s="5">
        <v>65.059390000000008</v>
      </c>
      <c r="X99" s="26">
        <v>0.32350202648037624</v>
      </c>
      <c r="Y99" s="5">
        <v>91.616629999999944</v>
      </c>
      <c r="Z99" s="26">
        <f>IF(Y$96=0,"N.D.",Y99/Y$96)</f>
        <v>0.32231278802795771</v>
      </c>
      <c r="AA99" s="5">
        <f t="shared" si="27"/>
        <v>994.90081000000009</v>
      </c>
      <c r="AB99" s="26">
        <f>IF(AA$96=0,"N.D.",AA99/AA$96)</f>
        <v>0.31086477632894488</v>
      </c>
    </row>
    <row r="100" spans="2:28" x14ac:dyDescent="0.25">
      <c r="B100" s="9"/>
      <c r="C100" s="74"/>
      <c r="D100" s="157"/>
      <c r="E100" s="74"/>
      <c r="F100" s="157"/>
      <c r="G100" s="74"/>
      <c r="H100" s="157"/>
      <c r="I100" s="74"/>
      <c r="J100" s="157"/>
      <c r="K100" s="74"/>
      <c r="L100" s="157"/>
      <c r="M100" s="74"/>
      <c r="N100" s="157"/>
      <c r="O100" s="74"/>
      <c r="P100" s="157"/>
      <c r="Q100" s="74"/>
      <c r="R100" s="157"/>
      <c r="S100" s="74"/>
      <c r="T100" s="157"/>
      <c r="U100" s="74"/>
      <c r="V100" s="157"/>
      <c r="W100" s="74"/>
      <c r="X100" s="157"/>
      <c r="Y100" s="74"/>
      <c r="Z100" s="157"/>
      <c r="AA100" s="74"/>
      <c r="AB100" s="157"/>
    </row>
    <row r="101" spans="2:28" x14ac:dyDescent="0.25">
      <c r="B101" s="9" t="s">
        <v>41</v>
      </c>
      <c r="C101" s="158">
        <v>80.719009999999983</v>
      </c>
      <c r="D101" s="156">
        <f t="shared" si="26"/>
        <v>0.29776966238105984</v>
      </c>
      <c r="E101" s="158">
        <v>84.246850000000009</v>
      </c>
      <c r="F101" s="156">
        <f>IF(E$96=0,"N.D.",E101/E$96)</f>
        <v>0.30339266907481222</v>
      </c>
      <c r="G101" s="158">
        <v>88.803720000000027</v>
      </c>
      <c r="H101" s="156">
        <f>IF(G$96=0,"N.D.",G101/G$96)</f>
        <v>0.29872647942885089</v>
      </c>
      <c r="I101" s="158">
        <v>78.924809999999994</v>
      </c>
      <c r="J101" s="156">
        <f>IF(I$96=0,"N.D.",I101/I$96)</f>
        <v>0.27969513670560181</v>
      </c>
      <c r="K101" s="158">
        <v>82.684540000000013</v>
      </c>
      <c r="L101" s="156">
        <f>IF(K$96=0,"N.D.",K101/K$96)</f>
        <v>0.30907513335515829</v>
      </c>
      <c r="M101" s="158">
        <v>79.569159999999997</v>
      </c>
      <c r="N101" s="156">
        <f>IF(M$96=0,"N.D.",M101/M$96)</f>
        <v>0.31610759817147482</v>
      </c>
      <c r="O101" s="158">
        <v>79.456170000000014</v>
      </c>
      <c r="P101" s="156">
        <f>IF(O$96=0,"N.D.",O101/O$96)</f>
        <v>0.31138136505495467</v>
      </c>
      <c r="Q101" s="158">
        <v>82.946290000000005</v>
      </c>
      <c r="R101" s="156">
        <f>IF(Q$96=0,"N.D.",Q101/Q$96)</f>
        <v>0.33993885171183569</v>
      </c>
      <c r="S101" s="158">
        <v>75.270960000000017</v>
      </c>
      <c r="T101" s="156">
        <f>IF(S$96=0,"N.D.",S101/S$96)</f>
        <v>0.29101525914236154</v>
      </c>
      <c r="U101" s="158">
        <v>83.46341000000001</v>
      </c>
      <c r="V101" s="156">
        <f>IF(U$96=0,"N.D.",U101/U$96)</f>
        <v>0.29796279387147062</v>
      </c>
      <c r="W101" s="158">
        <v>75.045790000000011</v>
      </c>
      <c r="X101" s="156">
        <v>0.29958628880339061</v>
      </c>
      <c r="Y101" s="158">
        <v>75.911459999999991</v>
      </c>
      <c r="Z101" s="156">
        <f>IF(Y$96=0,"N.D.",Y101/Y$96)</f>
        <v>0.26706105993936696</v>
      </c>
      <c r="AA101" s="158">
        <f t="shared" si="27"/>
        <v>967.04217000000006</v>
      </c>
      <c r="AB101" s="156">
        <f>IF(AA$96=0,"N.D.",AA101/AA$96)</f>
        <v>0.30216011973867773</v>
      </c>
    </row>
    <row r="102" spans="2:28" x14ac:dyDescent="0.25">
      <c r="B102" s="9" t="s">
        <v>42</v>
      </c>
      <c r="C102" s="154">
        <v>17.167400000000001</v>
      </c>
      <c r="D102" s="155">
        <f t="shared" si="26"/>
        <v>6.3329950428785087E-2</v>
      </c>
      <c r="E102" s="154">
        <v>15.764559999999999</v>
      </c>
      <c r="F102" s="155">
        <f>IF(E$96=0,"N.D.",E102/E$96)</f>
        <v>5.6771878535399493E-2</v>
      </c>
      <c r="G102" s="154">
        <v>12.744209999999999</v>
      </c>
      <c r="H102" s="155">
        <f>IF(G$96=0,"N.D.",G102/G$96)</f>
        <v>4.2870197176446599E-2</v>
      </c>
      <c r="I102" s="154">
        <v>17.211669999999998</v>
      </c>
      <c r="J102" s="155">
        <f>IF(I$96=0,"N.D.",I102/I$96)</f>
        <v>6.0995020369155217E-2</v>
      </c>
      <c r="K102" s="154">
        <v>20.38795</v>
      </c>
      <c r="L102" s="155">
        <f>IF(K$96=0,"N.D.",K102/K$96)</f>
        <v>7.6210236703116441E-2</v>
      </c>
      <c r="M102" s="154">
        <v>16.849779999999999</v>
      </c>
      <c r="N102" s="155">
        <f>IF(M$96=0,"N.D.",M102/M$96)</f>
        <v>6.6939797850294677E-2</v>
      </c>
      <c r="O102" s="154">
        <v>17.71002</v>
      </c>
      <c r="P102" s="155">
        <f>IF(O$96=0,"N.D.",O102/O$96)</f>
        <v>6.9403926752957604E-2</v>
      </c>
      <c r="Q102" s="154">
        <v>17.911939999999998</v>
      </c>
      <c r="R102" s="155">
        <f>IF(Q$96=0,"N.D.",Q102/Q$96)</f>
        <v>7.3408519121606258E-2</v>
      </c>
      <c r="S102" s="154">
        <v>15.59708</v>
      </c>
      <c r="T102" s="155">
        <f>IF(S$96=0,"N.D.",S102/S$96)</f>
        <v>6.0301984697207836E-2</v>
      </c>
      <c r="U102" s="154">
        <v>16.1188</v>
      </c>
      <c r="V102" s="155">
        <f>IF(U$96=0,"N.D.",U102/U$96)</f>
        <v>5.7543810896960236E-2</v>
      </c>
      <c r="W102" s="154">
        <v>16.155390000000001</v>
      </c>
      <c r="X102" s="155">
        <v>4.5355940271404799E-2</v>
      </c>
      <c r="Y102" s="154">
        <v>20.56241</v>
      </c>
      <c r="Z102" s="155">
        <f>IF(Y$96=0,"N.D.",Y102/Y$96)</f>
        <v>7.2339789137342889E-2</v>
      </c>
      <c r="AA102" s="154">
        <f t="shared" si="27"/>
        <v>204.18120999999996</v>
      </c>
      <c r="AB102" s="155">
        <f>IF(AA$96=0,"N.D.",AA102/AA$96)</f>
        <v>6.3798064630406021E-2</v>
      </c>
    </row>
    <row r="103" spans="2:28" x14ac:dyDescent="0.25">
      <c r="B103" s="9" t="s">
        <v>43</v>
      </c>
      <c r="C103" s="154">
        <v>12.40868</v>
      </c>
      <c r="D103" s="155">
        <f t="shared" si="26"/>
        <v>4.5775195386992616E-2</v>
      </c>
      <c r="E103" s="154">
        <v>12.40868</v>
      </c>
      <c r="F103" s="155">
        <f>IF(E$96=0,"N.D.",E103/E$96)</f>
        <v>4.4686567449052875E-2</v>
      </c>
      <c r="G103" s="154">
        <v>12.40868</v>
      </c>
      <c r="H103" s="155">
        <f>IF(G$96=0,"N.D.",G103/G$96)</f>
        <v>4.1741509148031097E-2</v>
      </c>
      <c r="I103" s="154">
        <v>12.40868</v>
      </c>
      <c r="J103" s="155">
        <f>IF(I$96=0,"N.D.",I103/I$96)</f>
        <v>4.3974099512384859E-2</v>
      </c>
      <c r="K103" s="154">
        <v>12.40868</v>
      </c>
      <c r="L103" s="155">
        <f>IF(K$96=0,"N.D.",K103/K$96)</f>
        <v>4.6383694288696355E-2</v>
      </c>
      <c r="M103" s="154">
        <v>12.40868</v>
      </c>
      <c r="N103" s="155">
        <f>IF(M$96=0,"N.D.",M103/M$96)</f>
        <v>4.9296461484303923E-2</v>
      </c>
      <c r="O103" s="154">
        <v>12.40868</v>
      </c>
      <c r="P103" s="155">
        <f>IF(O$96=0,"N.D.",O103/O$96)</f>
        <v>4.8628466699692605E-2</v>
      </c>
      <c r="Q103" s="154">
        <v>12.40868</v>
      </c>
      <c r="R103" s="155">
        <f>IF(Q$96=0,"N.D.",Q103/Q$96)</f>
        <v>5.0854503926090262E-2</v>
      </c>
      <c r="S103" s="154">
        <v>12.40868</v>
      </c>
      <c r="T103" s="155">
        <f>IF(S$96=0,"N.D.",S103/S$96)</f>
        <v>4.7974879366685874E-2</v>
      </c>
      <c r="U103" s="154">
        <v>12.40868</v>
      </c>
      <c r="V103" s="155">
        <f>IF(U$96=0,"N.D.",U103/U$96)</f>
        <v>4.4298752723583183E-2</v>
      </c>
      <c r="W103" s="154">
        <v>12.40868</v>
      </c>
      <c r="X103" s="155">
        <v>4.9098360704570562E-2</v>
      </c>
      <c r="Y103" s="154">
        <v>12.40868</v>
      </c>
      <c r="Z103" s="155">
        <f>IF(Y$96=0,"N.D.",Y103/Y$96)</f>
        <v>4.3654478958097029E-2</v>
      </c>
      <c r="AA103" s="154">
        <f t="shared" si="27"/>
        <v>148.90416000000002</v>
      </c>
      <c r="AB103" s="155">
        <f>IF(AA$96=0,"N.D.",AA103/AA$96)</f>
        <v>4.6526304861335292E-2</v>
      </c>
    </row>
    <row r="104" spans="2:28" ht="13" x14ac:dyDescent="0.3">
      <c r="B104" s="9" t="s">
        <v>44</v>
      </c>
      <c r="C104" s="5">
        <v>110.29508999999997</v>
      </c>
      <c r="D104" s="26">
        <f t="shared" si="26"/>
        <v>0.40687480819683752</v>
      </c>
      <c r="E104" s="5">
        <v>112.42009</v>
      </c>
      <c r="F104" s="26">
        <f>IF(E$96=0,"N.D.",E104/E$96)</f>
        <v>0.40485111505926458</v>
      </c>
      <c r="G104" s="5">
        <v>113.95661000000001</v>
      </c>
      <c r="H104" s="26">
        <f>IF(G$96=0,"N.D.",G104/G$96)</f>
        <v>0.38333818575332856</v>
      </c>
      <c r="I104" s="5">
        <v>108.54516000000001</v>
      </c>
      <c r="J104" s="26">
        <f>IF(I$96=0,"N.D.",I104/I$96)</f>
        <v>0.38466425658714193</v>
      </c>
      <c r="K104" s="5">
        <v>115.48117000000001</v>
      </c>
      <c r="L104" s="26">
        <f>IF(K$96=0,"N.D.",K104/K$96)</f>
        <v>0.43166906434697105</v>
      </c>
      <c r="M104" s="5">
        <v>108.82762</v>
      </c>
      <c r="N104" s="26">
        <f>IF(M$96=0,"N.D.",M104/M$96)</f>
        <v>0.4323438575060734</v>
      </c>
      <c r="O104" s="5">
        <v>109.57487000000002</v>
      </c>
      <c r="P104" s="26">
        <f>IF(O$96=0,"N.D.",O104/O$96)</f>
        <v>0.42941375850760494</v>
      </c>
      <c r="Q104" s="5">
        <v>113.26691000000001</v>
      </c>
      <c r="R104" s="26">
        <f>IF(Q$96=0,"N.D.",Q104/Q$96)</f>
        <v>0.46420187475953223</v>
      </c>
      <c r="S104" s="5">
        <v>103.27672000000003</v>
      </c>
      <c r="T104" s="26">
        <f>IF(S$96=0,"N.D.",S104/S$96)</f>
        <v>0.39929212320625523</v>
      </c>
      <c r="U104" s="5">
        <v>111.99089000000001</v>
      </c>
      <c r="V104" s="26">
        <f>IF(U$96=0,"N.D.",U104/U$96)</f>
        <v>0.39980535749201401</v>
      </c>
      <c r="W104" s="5">
        <v>103.60986000000001</v>
      </c>
      <c r="X104" s="26">
        <v>0.3940405897793659</v>
      </c>
      <c r="Y104" s="5">
        <v>108.88254999999999</v>
      </c>
      <c r="Z104" s="26">
        <f>IF(Y$96=0,"N.D.",Y104/Y$96)</f>
        <v>0.38305532803480685</v>
      </c>
      <c r="AA104" s="5">
        <f t="shared" si="27"/>
        <v>1320.1275400000002</v>
      </c>
      <c r="AB104" s="26">
        <f>IF(AA$96=0,"N.D.",AA104/AA$96)</f>
        <v>0.41248448923041908</v>
      </c>
    </row>
    <row r="105" spans="2:28" ht="13" x14ac:dyDescent="0.3">
      <c r="B105" s="1" t="s">
        <v>45</v>
      </c>
      <c r="C105" s="5">
        <v>-19.752409999999973</v>
      </c>
      <c r="D105" s="26">
        <f t="shared" si="26"/>
        <v>-7.2865963753919474E-2</v>
      </c>
      <c r="E105" s="5">
        <v>-30.253059999999941</v>
      </c>
      <c r="F105" s="26">
        <f>IF(E$96=0,"N.D.",E105/E$96)</f>
        <v>-0.10894836567872175</v>
      </c>
      <c r="G105" s="5">
        <v>-26.942019999999989</v>
      </c>
      <c r="H105" s="26">
        <f>IF(G$96=0,"N.D.",G105/G$96)</f>
        <v>-9.0630153593809853E-2</v>
      </c>
      <c r="I105" s="5">
        <v>-11.748969999999943</v>
      </c>
      <c r="J105" s="26">
        <f>IF(I$96=0,"N.D.",I105/I$96)</f>
        <v>-4.163620755374639E-2</v>
      </c>
      <c r="K105" s="5">
        <v>-31.422119999999996</v>
      </c>
      <c r="L105" s="26">
        <f>IF(K$96=0,"N.D.",K105/K$96)</f>
        <v>-0.11745600724514867</v>
      </c>
      <c r="M105" s="5">
        <v>-31.286760000000008</v>
      </c>
      <c r="N105" s="26">
        <f>IF(M$96=0,"N.D.",M105/M$96)</f>
        <v>-0.12429416822004122</v>
      </c>
      <c r="O105" s="5">
        <v>-48.055360000000015</v>
      </c>
      <c r="P105" s="26">
        <f>IF(O$96=0,"N.D.",O105/O$96)</f>
        <v>-0.18832450135725481</v>
      </c>
      <c r="Q105" s="5">
        <v>-34.015350000000005</v>
      </c>
      <c r="R105" s="26">
        <f>IF(Q$96=0,"N.D.",Q105/Q$96)</f>
        <v>-0.13940513818732811</v>
      </c>
      <c r="S105" s="5">
        <v>-16.714489999999991</v>
      </c>
      <c r="T105" s="26">
        <f>IF(S$96=0,"N.D.",S105/S$96)</f>
        <v>-6.4622154929104211E-2</v>
      </c>
      <c r="U105" s="5">
        <v>-19.219799999999989</v>
      </c>
      <c r="V105" s="26">
        <f>IF(U$96=0,"N.D.",U105/U$96)</f>
        <v>-6.8614322200002215E-2</v>
      </c>
      <c r="W105" s="5">
        <v>-38.550470000000004</v>
      </c>
      <c r="X105" s="26">
        <v>-7.0538563298989679E-2</v>
      </c>
      <c r="Y105" s="5">
        <v>-17.26592000000004</v>
      </c>
      <c r="Z105" s="26">
        <f>IF(Y$96=0,"N.D.",Y105/Y$96)</f>
        <v>-6.0742540006849109E-2</v>
      </c>
      <c r="AA105" s="5">
        <f t="shared" si="27"/>
        <v>-325.22672999999998</v>
      </c>
      <c r="AB105" s="26">
        <f>IF(AA$96=0,"N.D.",AA105/AA$96)</f>
        <v>-0.10161971290147419</v>
      </c>
    </row>
    <row r="106" spans="2:28" x14ac:dyDescent="0.25">
      <c r="B106" s="9"/>
      <c r="C106" s="74"/>
      <c r="D106" s="157"/>
      <c r="E106" s="74"/>
      <c r="F106" s="157"/>
      <c r="G106" s="74"/>
      <c r="H106" s="157"/>
      <c r="I106" s="74"/>
      <c r="J106" s="157"/>
      <c r="K106" s="74"/>
      <c r="L106" s="157"/>
      <c r="M106" s="74"/>
      <c r="N106" s="157"/>
      <c r="O106" s="74"/>
      <c r="P106" s="157"/>
      <c r="Q106" s="74"/>
      <c r="R106" s="157"/>
      <c r="S106" s="74"/>
      <c r="T106" s="157"/>
      <c r="U106" s="74"/>
      <c r="V106" s="157"/>
      <c r="W106" s="74"/>
      <c r="X106" s="157"/>
      <c r="Y106" s="74"/>
      <c r="Z106" s="157"/>
      <c r="AA106" s="74"/>
      <c r="AB106" s="157"/>
    </row>
    <row r="107" spans="2:28" x14ac:dyDescent="0.25">
      <c r="B107" s="9"/>
      <c r="C107" s="158">
        <v>0</v>
      </c>
      <c r="D107" s="162">
        <f t="shared" si="26"/>
        <v>0</v>
      </c>
      <c r="E107" s="158">
        <v>0</v>
      </c>
      <c r="F107" s="162">
        <f t="shared" ref="F107:F113" si="28">IF(E$96=0,"N.D.",E107/E$96)</f>
        <v>0</v>
      </c>
      <c r="G107" s="158">
        <v>0</v>
      </c>
      <c r="H107" s="162">
        <f t="shared" ref="H107:H113" si="29">IF(G$96=0,"N.D.",G107/G$96)</f>
        <v>0</v>
      </c>
      <c r="I107" s="158">
        <v>0</v>
      </c>
      <c r="J107" s="162">
        <f t="shared" ref="J107:J113" si="30">IF(I$96=0,"N.D.",I107/I$96)</f>
        <v>0</v>
      </c>
      <c r="K107" s="158">
        <v>0</v>
      </c>
      <c r="L107" s="162">
        <f t="shared" ref="L107:L113" si="31">IF(K$96=0,"N.D.",K107/K$96)</f>
        <v>0</v>
      </c>
      <c r="M107" s="158">
        <v>0</v>
      </c>
      <c r="N107" s="162">
        <f t="shared" ref="N107:N113" si="32">IF(M$96=0,"N.D.",M107/M$96)</f>
        <v>0</v>
      </c>
      <c r="O107" s="158">
        <v>0</v>
      </c>
      <c r="P107" s="162">
        <f t="shared" ref="P107:P113" si="33">IF(O$96=0,"N.D.",O107/O$96)</f>
        <v>0</v>
      </c>
      <c r="Q107" s="158">
        <v>0</v>
      </c>
      <c r="R107" s="162">
        <f t="shared" ref="R107:R113" si="34">IF(Q$96=0,"N.D.",Q107/Q$96)</f>
        <v>0</v>
      </c>
      <c r="S107" s="158">
        <v>0</v>
      </c>
      <c r="T107" s="162">
        <f t="shared" ref="T107:T113" si="35">IF(S$96=0,"N.D.",S107/S$96)</f>
        <v>0</v>
      </c>
      <c r="U107" s="158">
        <v>0</v>
      </c>
      <c r="V107" s="162">
        <f t="shared" ref="V107:V113" si="36">IF(U$96=0,"N.D.",U107/U$96)</f>
        <v>0</v>
      </c>
      <c r="W107" s="158">
        <v>0</v>
      </c>
      <c r="X107" s="162">
        <v>0</v>
      </c>
      <c r="Y107" s="158">
        <v>0</v>
      </c>
      <c r="Z107" s="162">
        <f t="shared" ref="Z107:Z113" si="37">IF(Y$96=0,"N.D.",Y107/Y$96)</f>
        <v>0</v>
      </c>
      <c r="AA107" s="158">
        <f t="shared" si="27"/>
        <v>0</v>
      </c>
      <c r="AB107" s="162">
        <f t="shared" ref="AB107:AB113" si="38">IF(AA$96=0,"N.D.",AA107/AA$96)</f>
        <v>0</v>
      </c>
    </row>
    <row r="108" spans="2:28" x14ac:dyDescent="0.25">
      <c r="B108" s="9" t="s">
        <v>52</v>
      </c>
      <c r="C108" s="154">
        <v>-5.0335600000000005</v>
      </c>
      <c r="D108" s="163">
        <f t="shared" si="26"/>
        <v>-1.8568630385516472E-2</v>
      </c>
      <c r="E108" s="154">
        <v>-10.07282</v>
      </c>
      <c r="F108" s="163">
        <f t="shared" si="28"/>
        <v>-3.6274587654139587E-2</v>
      </c>
      <c r="G108" s="154">
        <v>-15.45974</v>
      </c>
      <c r="H108" s="163">
        <f t="shared" si="29"/>
        <v>-5.2004957709940326E-2</v>
      </c>
      <c r="I108" s="154">
        <v>-6.5668500000000005</v>
      </c>
      <c r="J108" s="163">
        <f t="shared" si="30"/>
        <v>-2.3271719101701754E-2</v>
      </c>
      <c r="K108" s="154">
        <v>-9.6129999999999993E-2</v>
      </c>
      <c r="L108" s="163">
        <f t="shared" si="31"/>
        <v>-3.5933431533187899E-4</v>
      </c>
      <c r="M108" s="154">
        <v>-0.71384000000000003</v>
      </c>
      <c r="N108" s="163">
        <f t="shared" si="32"/>
        <v>-2.8359008424711988E-3</v>
      </c>
      <c r="O108" s="154">
        <v>-24.661470000000001</v>
      </c>
      <c r="P108" s="163">
        <f t="shared" si="33"/>
        <v>-9.6646014939580055E-2</v>
      </c>
      <c r="Q108" s="154">
        <v>-6.1757900000000001</v>
      </c>
      <c r="R108" s="163">
        <f t="shared" si="34"/>
        <v>-2.5310245473467684E-2</v>
      </c>
      <c r="S108" s="154">
        <v>-0.93901999999999997</v>
      </c>
      <c r="T108" s="163">
        <f t="shared" si="35"/>
        <v>-3.6304724775645249E-3</v>
      </c>
      <c r="U108" s="154">
        <v>-4.36496</v>
      </c>
      <c r="V108" s="163">
        <f t="shared" si="36"/>
        <v>-1.5582824578305801E-2</v>
      </c>
      <c r="W108" s="154">
        <v>-0.56735000000000002</v>
      </c>
      <c r="X108" s="163">
        <v>-4.581110152598173E-2</v>
      </c>
      <c r="Y108" s="154">
        <v>-8.2569999999999991E-2</v>
      </c>
      <c r="Z108" s="163">
        <f t="shared" si="37"/>
        <v>-2.9048620220443035E-4</v>
      </c>
      <c r="AA108" s="154">
        <f t="shared" si="27"/>
        <v>-74.734100000000012</v>
      </c>
      <c r="AB108" s="163">
        <f t="shared" si="38"/>
        <v>-2.3351271852562871E-2</v>
      </c>
    </row>
    <row r="109" spans="2:28" x14ac:dyDescent="0.25">
      <c r="B109" s="9" t="s">
        <v>46</v>
      </c>
      <c r="C109" s="154">
        <v>0.92361000000000004</v>
      </c>
      <c r="D109" s="163">
        <f t="shared" si="26"/>
        <v>3.4071656462557054E-3</v>
      </c>
      <c r="E109" s="154">
        <v>0.82428000000000001</v>
      </c>
      <c r="F109" s="163">
        <f t="shared" si="28"/>
        <v>2.9684256356764223E-3</v>
      </c>
      <c r="G109" s="154">
        <v>0.90404999999999991</v>
      </c>
      <c r="H109" s="163">
        <f t="shared" si="29"/>
        <v>3.0411301883260357E-3</v>
      </c>
      <c r="I109" s="154">
        <v>0.83971000000000007</v>
      </c>
      <c r="J109" s="163">
        <f t="shared" si="30"/>
        <v>2.9757791402102956E-3</v>
      </c>
      <c r="K109" s="154">
        <v>0.98021999999999998</v>
      </c>
      <c r="L109" s="163">
        <f t="shared" si="31"/>
        <v>3.6640661871904135E-3</v>
      </c>
      <c r="M109" s="154">
        <v>0.98505999999999994</v>
      </c>
      <c r="N109" s="163">
        <f t="shared" si="32"/>
        <v>3.9133874311956165E-3</v>
      </c>
      <c r="O109" s="154">
        <v>0.89376999999999995</v>
      </c>
      <c r="P109" s="163">
        <f t="shared" si="33"/>
        <v>3.5026017821544481E-3</v>
      </c>
      <c r="Q109" s="154">
        <v>0.88915999999999995</v>
      </c>
      <c r="R109" s="163">
        <f t="shared" si="34"/>
        <v>3.6440451934389808E-3</v>
      </c>
      <c r="S109" s="154">
        <v>0.96875</v>
      </c>
      <c r="T109" s="163">
        <f t="shared" si="35"/>
        <v>3.7454156595606415E-3</v>
      </c>
      <c r="U109" s="154">
        <v>0.78498000000000001</v>
      </c>
      <c r="V109" s="163">
        <f t="shared" si="36"/>
        <v>2.8023637415872057E-3</v>
      </c>
      <c r="W109" s="154">
        <v>0.90952999999999995</v>
      </c>
      <c r="X109" s="163">
        <v>3.9638945122089262E-3</v>
      </c>
      <c r="Y109" s="154">
        <v>0.89173000000000002</v>
      </c>
      <c r="Z109" s="163">
        <f t="shared" si="37"/>
        <v>3.1371595142516257E-3</v>
      </c>
      <c r="AA109" s="154">
        <f t="shared" si="27"/>
        <v>10.79485</v>
      </c>
      <c r="AB109" s="163">
        <f t="shared" si="38"/>
        <v>3.3729378818723749E-3</v>
      </c>
    </row>
    <row r="110" spans="2:28" x14ac:dyDescent="0.25">
      <c r="B110" s="1" t="s">
        <v>47</v>
      </c>
      <c r="C110" s="154">
        <v>0</v>
      </c>
      <c r="D110" s="163">
        <f t="shared" si="26"/>
        <v>0</v>
      </c>
      <c r="E110" s="154">
        <v>0</v>
      </c>
      <c r="F110" s="163">
        <f t="shared" si="28"/>
        <v>0</v>
      </c>
      <c r="G110" s="154">
        <v>0</v>
      </c>
      <c r="H110" s="163">
        <f t="shared" si="29"/>
        <v>0</v>
      </c>
      <c r="I110" s="154">
        <v>0</v>
      </c>
      <c r="J110" s="163">
        <f t="shared" si="30"/>
        <v>0</v>
      </c>
      <c r="K110" s="154">
        <v>0</v>
      </c>
      <c r="L110" s="163">
        <f t="shared" si="31"/>
        <v>0</v>
      </c>
      <c r="M110" s="154">
        <v>0</v>
      </c>
      <c r="N110" s="163">
        <f t="shared" si="32"/>
        <v>0</v>
      </c>
      <c r="O110" s="154">
        <v>0</v>
      </c>
      <c r="P110" s="163">
        <f t="shared" si="33"/>
        <v>0</v>
      </c>
      <c r="Q110" s="154">
        <v>0</v>
      </c>
      <c r="R110" s="163">
        <f t="shared" si="34"/>
        <v>0</v>
      </c>
      <c r="S110" s="154">
        <v>0</v>
      </c>
      <c r="T110" s="163">
        <f t="shared" si="35"/>
        <v>0</v>
      </c>
      <c r="U110" s="154">
        <v>0</v>
      </c>
      <c r="V110" s="163">
        <f t="shared" si="36"/>
        <v>0</v>
      </c>
      <c r="W110" s="154">
        <v>0</v>
      </c>
      <c r="X110" s="163">
        <v>0</v>
      </c>
      <c r="Y110" s="154">
        <v>0</v>
      </c>
      <c r="Z110" s="163">
        <f t="shared" si="37"/>
        <v>0</v>
      </c>
      <c r="AA110" s="154">
        <f t="shared" si="27"/>
        <v>0</v>
      </c>
      <c r="AB110" s="163">
        <f t="shared" si="38"/>
        <v>0</v>
      </c>
    </row>
    <row r="111" spans="2:28" x14ac:dyDescent="0.25">
      <c r="B111" s="9"/>
      <c r="C111" s="154">
        <v>0</v>
      </c>
      <c r="D111" s="163">
        <f t="shared" si="26"/>
        <v>0</v>
      </c>
      <c r="E111" s="154">
        <v>0</v>
      </c>
      <c r="F111" s="163">
        <f t="shared" si="28"/>
        <v>0</v>
      </c>
      <c r="G111" s="154">
        <v>0</v>
      </c>
      <c r="H111" s="163">
        <f t="shared" si="29"/>
        <v>0</v>
      </c>
      <c r="I111" s="154">
        <v>0</v>
      </c>
      <c r="J111" s="163">
        <f t="shared" si="30"/>
        <v>0</v>
      </c>
      <c r="K111" s="154">
        <v>0</v>
      </c>
      <c r="L111" s="163">
        <f t="shared" si="31"/>
        <v>0</v>
      </c>
      <c r="M111" s="154">
        <v>0</v>
      </c>
      <c r="N111" s="163">
        <f t="shared" si="32"/>
        <v>0</v>
      </c>
      <c r="O111" s="154">
        <v>0</v>
      </c>
      <c r="P111" s="163">
        <f t="shared" si="33"/>
        <v>0</v>
      </c>
      <c r="Q111" s="154">
        <v>0</v>
      </c>
      <c r="R111" s="163">
        <f t="shared" si="34"/>
        <v>0</v>
      </c>
      <c r="S111" s="154">
        <v>0</v>
      </c>
      <c r="T111" s="163">
        <f t="shared" si="35"/>
        <v>0</v>
      </c>
      <c r="U111" s="154">
        <v>0</v>
      </c>
      <c r="V111" s="163">
        <f t="shared" si="36"/>
        <v>0</v>
      </c>
      <c r="W111" s="154">
        <v>0</v>
      </c>
      <c r="X111" s="163">
        <v>0</v>
      </c>
      <c r="Y111" s="154">
        <v>0</v>
      </c>
      <c r="Z111" s="163">
        <f t="shared" si="37"/>
        <v>0</v>
      </c>
      <c r="AA111" s="154">
        <f t="shared" si="27"/>
        <v>0</v>
      </c>
      <c r="AB111" s="163">
        <f t="shared" si="38"/>
        <v>0</v>
      </c>
    </row>
    <row r="112" spans="2:28" ht="13" x14ac:dyDescent="0.3">
      <c r="B112" s="9" t="s">
        <v>48</v>
      </c>
      <c r="C112" s="5">
        <v>-4.1099500000000004</v>
      </c>
      <c r="D112" s="26">
        <f t="shared" si="26"/>
        <v>-1.5161464739260768E-2</v>
      </c>
      <c r="E112" s="5">
        <v>-9.2485400000000002</v>
      </c>
      <c r="F112" s="26">
        <f t="shared" si="28"/>
        <v>-3.3306162018463162E-2</v>
      </c>
      <c r="G112" s="5">
        <v>-14.55569</v>
      </c>
      <c r="H112" s="26">
        <f t="shared" si="29"/>
        <v>-4.8963827521614288E-2</v>
      </c>
      <c r="I112" s="5">
        <v>-5.7271400000000003</v>
      </c>
      <c r="J112" s="26">
        <f t="shared" si="30"/>
        <v>-2.0295939961491458E-2</v>
      </c>
      <c r="K112" s="5">
        <v>0.88409000000000004</v>
      </c>
      <c r="L112" s="26">
        <f t="shared" si="31"/>
        <v>3.3047318718585346E-3</v>
      </c>
      <c r="M112" s="5">
        <v>0.27121999999999991</v>
      </c>
      <c r="N112" s="26">
        <f t="shared" si="32"/>
        <v>1.0774865887244174E-3</v>
      </c>
      <c r="O112" s="5">
        <v>-23.767700000000001</v>
      </c>
      <c r="P112" s="26">
        <f t="shared" si="33"/>
        <v>-9.3143413157425609E-2</v>
      </c>
      <c r="Q112" s="5">
        <v>-5.2866300000000006</v>
      </c>
      <c r="R112" s="26">
        <f t="shared" si="34"/>
        <v>-2.1666200280028705E-2</v>
      </c>
      <c r="S112" s="5">
        <v>2.9730000000000034E-2</v>
      </c>
      <c r="T112" s="26">
        <f t="shared" si="35"/>
        <v>1.1494318199611664E-4</v>
      </c>
      <c r="U112" s="5">
        <v>-3.5799799999999999</v>
      </c>
      <c r="V112" s="26">
        <f t="shared" si="36"/>
        <v>-1.2780460836718596E-2</v>
      </c>
      <c r="W112" s="5">
        <v>0.34217999999999993</v>
      </c>
      <c r="X112" s="26">
        <v>-4.18472070137728E-2</v>
      </c>
      <c r="Y112" s="5">
        <v>0.80915999999999999</v>
      </c>
      <c r="Z112" s="26">
        <f t="shared" si="37"/>
        <v>2.846673312047195E-3</v>
      </c>
      <c r="AA112" s="5">
        <f t="shared" si="27"/>
        <v>-63.939249999999994</v>
      </c>
      <c r="AB112" s="26">
        <f t="shared" si="38"/>
        <v>-1.9978333970690491E-2</v>
      </c>
    </row>
    <row r="113" spans="1:28" ht="13" x14ac:dyDescent="0.3">
      <c r="B113" s="1" t="s">
        <v>49</v>
      </c>
      <c r="C113" s="5">
        <v>-15.642459999999973</v>
      </c>
      <c r="D113" s="26">
        <f t="shared" si="26"/>
        <v>-5.7704499014658711E-2</v>
      </c>
      <c r="E113" s="5">
        <v>-21.004519999999939</v>
      </c>
      <c r="F113" s="26">
        <f t="shared" si="28"/>
        <v>-7.5642203660258575E-2</v>
      </c>
      <c r="G113" s="5">
        <v>-12.386329999999989</v>
      </c>
      <c r="H113" s="26">
        <f t="shared" si="29"/>
        <v>-4.1666326072195559E-2</v>
      </c>
      <c r="I113" s="5">
        <v>-6.0218299999999427</v>
      </c>
      <c r="J113" s="26">
        <f t="shared" si="30"/>
        <v>-2.1340267592254936E-2</v>
      </c>
      <c r="K113" s="5">
        <v>-32.306209999999993</v>
      </c>
      <c r="L113" s="26">
        <f t="shared" si="31"/>
        <v>-0.12076073911700719</v>
      </c>
      <c r="M113" s="5">
        <v>-31.557980000000011</v>
      </c>
      <c r="N113" s="26">
        <f t="shared" si="32"/>
        <v>-0.12537165480876564</v>
      </c>
      <c r="O113" s="5">
        <v>-24.287660000000013</v>
      </c>
      <c r="P113" s="26">
        <f t="shared" si="33"/>
        <v>-9.5181088199829206E-2</v>
      </c>
      <c r="Q113" s="5">
        <v>-28.728720000000006</v>
      </c>
      <c r="R113" s="26">
        <f t="shared" si="34"/>
        <v>-0.11773893790729942</v>
      </c>
      <c r="S113" s="5">
        <v>-16.744219999999991</v>
      </c>
      <c r="T113" s="26">
        <f t="shared" si="35"/>
        <v>-6.473709811110033E-2</v>
      </c>
      <c r="U113" s="5">
        <v>-15.63981999999999</v>
      </c>
      <c r="V113" s="26">
        <f t="shared" si="36"/>
        <v>-5.5833861363283624E-2</v>
      </c>
      <c r="W113" s="5">
        <v>-38.892650000000003</v>
      </c>
      <c r="X113" s="26">
        <v>-2.8691356285216879E-2</v>
      </c>
      <c r="Y113" s="5">
        <v>-18.075080000000042</v>
      </c>
      <c r="Z113" s="26">
        <f t="shared" si="37"/>
        <v>-6.3589213318896304E-2</v>
      </c>
      <c r="AA113" s="5">
        <f t="shared" si="27"/>
        <v>-261.2874799999999</v>
      </c>
      <c r="AB113" s="26">
        <f t="shared" si="38"/>
        <v>-8.1641378930783673E-2</v>
      </c>
    </row>
    <row r="114" spans="1:28" x14ac:dyDescent="0.25">
      <c r="B114" s="9"/>
      <c r="C114" s="74"/>
      <c r="D114" s="157"/>
      <c r="E114" s="74"/>
      <c r="F114" s="157"/>
      <c r="G114" s="74"/>
      <c r="H114" s="157"/>
      <c r="I114" s="74"/>
      <c r="J114" s="157"/>
      <c r="K114" s="74"/>
      <c r="L114" s="157"/>
      <c r="M114" s="74"/>
      <c r="N114" s="157"/>
      <c r="O114" s="74"/>
      <c r="P114" s="157"/>
      <c r="Q114" s="74"/>
      <c r="R114" s="157"/>
      <c r="S114" s="74"/>
      <c r="T114" s="157"/>
      <c r="U114" s="74"/>
      <c r="V114" s="157"/>
      <c r="W114" s="74"/>
      <c r="X114" s="157"/>
      <c r="Y114" s="74"/>
      <c r="Z114" s="157"/>
      <c r="AA114" s="74"/>
      <c r="AB114" s="157"/>
    </row>
    <row r="115" spans="1:28" x14ac:dyDescent="0.25">
      <c r="B115" s="9" t="s">
        <v>50</v>
      </c>
      <c r="C115" s="158">
        <v>0</v>
      </c>
      <c r="D115" s="156">
        <f t="shared" si="26"/>
        <v>0</v>
      </c>
      <c r="E115" s="158">
        <v>0</v>
      </c>
      <c r="F115" s="156">
        <f>IF(E$96=0,"N.D.",E115/E$96)</f>
        <v>0</v>
      </c>
      <c r="G115" s="158">
        <v>0</v>
      </c>
      <c r="H115" s="156">
        <f>IF(G$96=0,"N.D.",G115/G$96)</f>
        <v>0</v>
      </c>
      <c r="I115" s="158">
        <v>0</v>
      </c>
      <c r="J115" s="156">
        <f>IF(I$96=0,"N.D.",I115/I$96)</f>
        <v>0</v>
      </c>
      <c r="K115" s="158">
        <v>0</v>
      </c>
      <c r="L115" s="156">
        <f>IF(K$96=0,"N.D.",K115/K$96)</f>
        <v>0</v>
      </c>
      <c r="M115" s="158">
        <v>0</v>
      </c>
      <c r="N115" s="156">
        <f>IF(M$96=0,"N.D.",M115/M$96)</f>
        <v>0</v>
      </c>
      <c r="O115" s="158">
        <v>0</v>
      </c>
      <c r="P115" s="156">
        <f>IF(O$96=0,"N.D.",O115/O$96)</f>
        <v>0</v>
      </c>
      <c r="Q115" s="158">
        <v>0</v>
      </c>
      <c r="R115" s="156">
        <f>IF(Q$96=0,"N.D.",Q115/Q$96)</f>
        <v>0</v>
      </c>
      <c r="S115" s="158">
        <v>0</v>
      </c>
      <c r="T115" s="156">
        <f>IF(S$96=0,"N.D.",S115/S$96)</f>
        <v>0</v>
      </c>
      <c r="U115" s="158">
        <v>0</v>
      </c>
      <c r="V115" s="156">
        <f>IF(U$96=0,"N.D.",U115/U$96)</f>
        <v>0</v>
      </c>
      <c r="W115" s="158">
        <v>0</v>
      </c>
      <c r="X115" s="156">
        <v>0</v>
      </c>
      <c r="Y115" s="158">
        <v>0</v>
      </c>
      <c r="Z115" s="156">
        <f>IF(Y$96=0,"N.D.",Y115/Y$96)</f>
        <v>0</v>
      </c>
      <c r="AA115" s="158">
        <f t="shared" si="27"/>
        <v>0</v>
      </c>
      <c r="AB115" s="156">
        <f>IF(AA$96=0,"N.D.",AA115/AA$96)</f>
        <v>0</v>
      </c>
    </row>
    <row r="116" spans="1:28" x14ac:dyDescent="0.25">
      <c r="B116" s="80" t="s">
        <v>51</v>
      </c>
      <c r="C116" s="154">
        <v>0</v>
      </c>
      <c r="D116" s="155">
        <f t="shared" si="26"/>
        <v>0</v>
      </c>
      <c r="E116" s="154">
        <v>0</v>
      </c>
      <c r="F116" s="155">
        <f>IF(E$96=0,"N.D.",E116/E$96)</f>
        <v>0</v>
      </c>
      <c r="G116" s="154">
        <v>0</v>
      </c>
      <c r="H116" s="155">
        <f>IF(G$96=0,"N.D.",G116/G$96)</f>
        <v>0</v>
      </c>
      <c r="I116" s="154">
        <v>0</v>
      </c>
      <c r="J116" s="155">
        <f>IF(I$96=0,"N.D.",I116/I$96)</f>
        <v>0</v>
      </c>
      <c r="K116" s="154">
        <v>0</v>
      </c>
      <c r="L116" s="155">
        <f>IF(K$96=0,"N.D.",K116/K$96)</f>
        <v>0</v>
      </c>
      <c r="M116" s="154">
        <v>0</v>
      </c>
      <c r="N116" s="155">
        <f>IF(M$96=0,"N.D.",M116/M$96)</f>
        <v>0</v>
      </c>
      <c r="O116" s="154">
        <v>0</v>
      </c>
      <c r="P116" s="155">
        <f>IF(O$96=0,"N.D.",O116/O$96)</f>
        <v>0</v>
      </c>
      <c r="Q116" s="154">
        <v>0</v>
      </c>
      <c r="R116" s="155">
        <f>IF(Q$96=0,"N.D.",Q116/Q$96)</f>
        <v>0</v>
      </c>
      <c r="S116" s="154">
        <v>0</v>
      </c>
      <c r="T116" s="155">
        <f>IF(S$96=0,"N.D.",S116/S$96)</f>
        <v>0</v>
      </c>
      <c r="U116" s="154">
        <v>0</v>
      </c>
      <c r="V116" s="155">
        <f>IF(U$96=0,"N.D.",U116/U$96)</f>
        <v>0</v>
      </c>
      <c r="W116" s="154">
        <v>0</v>
      </c>
      <c r="X116" s="155">
        <v>0</v>
      </c>
      <c r="Y116" s="154">
        <v>0</v>
      </c>
      <c r="Z116" s="155">
        <f>IF(Y$96=0,"N.D.",Y116/Y$96)</f>
        <v>0</v>
      </c>
      <c r="AA116" s="154">
        <f t="shared" si="27"/>
        <v>0</v>
      </c>
      <c r="AB116" s="155">
        <f>IF(AA$96=0,"N.D.",AA116/AA$96)</f>
        <v>0</v>
      </c>
    </row>
    <row r="117" spans="1:28" ht="13" x14ac:dyDescent="0.3">
      <c r="B117" s="1" t="s">
        <v>53</v>
      </c>
      <c r="C117" s="5">
        <v>-15.642459999999973</v>
      </c>
      <c r="D117" s="26">
        <f t="shared" si="26"/>
        <v>-5.7704499014658711E-2</v>
      </c>
      <c r="E117" s="5">
        <v>-21.004519999999939</v>
      </c>
      <c r="F117" s="26">
        <f>IF(E$96=0,"N.D.",E117/E$96)</f>
        <v>-7.5642203660258575E-2</v>
      </c>
      <c r="G117" s="5">
        <v>-12.386329999999989</v>
      </c>
      <c r="H117" s="26">
        <f>IF(G$96=0,"N.D.",G117/G$96)</f>
        <v>-4.1666326072195559E-2</v>
      </c>
      <c r="I117" s="5">
        <v>-6.0218299999999427</v>
      </c>
      <c r="J117" s="26">
        <f>IF(I$96=0,"N.D.",I117/I$96)</f>
        <v>-2.1340267592254936E-2</v>
      </c>
      <c r="K117" s="5">
        <v>-32.306209999999993</v>
      </c>
      <c r="L117" s="26">
        <f>IF(K$96=0,"N.D.",K117/K$96)</f>
        <v>-0.12076073911700719</v>
      </c>
      <c r="M117" s="5">
        <v>-31.557980000000011</v>
      </c>
      <c r="N117" s="26">
        <f>IF(M$96=0,"N.D.",M117/M$96)</f>
        <v>-0.12537165480876564</v>
      </c>
      <c r="O117" s="5">
        <v>-24.287660000000013</v>
      </c>
      <c r="P117" s="26">
        <f>IF(O$96=0,"N.D.",O117/O$96)</f>
        <v>-9.5181088199829206E-2</v>
      </c>
      <c r="Q117" s="5">
        <v>-28.728720000000006</v>
      </c>
      <c r="R117" s="26">
        <f>IF(Q$96=0,"N.D.",Q117/Q$96)</f>
        <v>-0.11773893790729942</v>
      </c>
      <c r="S117" s="5">
        <v>-16.744219999999991</v>
      </c>
      <c r="T117" s="26">
        <f>IF(S$96=0,"N.D.",S117/S$96)</f>
        <v>-6.473709811110033E-2</v>
      </c>
      <c r="U117" s="5">
        <v>-15.63981999999999</v>
      </c>
      <c r="V117" s="26">
        <f>IF(U$96=0,"N.D.",U117/U$96)</f>
        <v>-5.5833861363283624E-2</v>
      </c>
      <c r="W117" s="5">
        <v>-38.892650000000003</v>
      </c>
      <c r="X117" s="26">
        <v>-2.8691356285216879E-2</v>
      </c>
      <c r="Y117" s="5">
        <v>-18.075080000000042</v>
      </c>
      <c r="Z117" s="26">
        <f>IF(Y$96=0,"N.D.",Y117/Y$96)</f>
        <v>-6.3589213318896304E-2</v>
      </c>
      <c r="AA117" s="5">
        <f t="shared" si="27"/>
        <v>-261.2874799999999</v>
      </c>
      <c r="AB117" s="26">
        <f>IF(AA$96=0,"N.D.",AA117/AA$96)</f>
        <v>-8.1641378930783673E-2</v>
      </c>
    </row>
    <row r="118" spans="1:28" ht="13" x14ac:dyDescent="0.3">
      <c r="B118" s="1" t="s">
        <v>122</v>
      </c>
      <c r="C118" s="5">
        <v>-7.3437299999999741</v>
      </c>
      <c r="D118" s="26">
        <f t="shared" si="26"/>
        <v>-2.7090768366926865E-2</v>
      </c>
      <c r="E118" s="5">
        <v>-17.844379999999941</v>
      </c>
      <c r="F118" s="26">
        <f>IF(E$96=0,"N.D.",E118/E$96)</f>
        <v>-6.4261798229668876E-2</v>
      </c>
      <c r="G118" s="5">
        <v>-14.533339999999988</v>
      </c>
      <c r="H118" s="26">
        <f>IF(G$96=0,"N.D.",G118/G$96)</f>
        <v>-4.8888644445778749E-2</v>
      </c>
      <c r="I118" s="5">
        <v>0.65971000000005731</v>
      </c>
      <c r="J118" s="26">
        <f>IF(I$96=0,"N.D.",I118/I$96)</f>
        <v>2.3378919586384637E-3</v>
      </c>
      <c r="K118" s="5">
        <v>-19.013439999999996</v>
      </c>
      <c r="L118" s="26">
        <f>IF(K$96=0,"N.D.",K118/K$96)</f>
        <v>-7.1072312956452305E-2</v>
      </c>
      <c r="M118" s="5">
        <v>-18.878080000000008</v>
      </c>
      <c r="N118" s="26">
        <f>IF(M$96=0,"N.D.",M118/M$96)</f>
        <v>-7.4997706735737288E-2</v>
      </c>
      <c r="O118" s="5">
        <v>-35.646680000000018</v>
      </c>
      <c r="P118" s="26">
        <f>IF(O$96=0,"N.D.",O118/O$96)</f>
        <v>-0.13969603465756222</v>
      </c>
      <c r="Q118" s="5">
        <v>-21.606670000000005</v>
      </c>
      <c r="R118" s="26">
        <f>IF(Q$96=0,"N.D.",Q118/Q$96)</f>
        <v>-8.8550634261237854E-2</v>
      </c>
      <c r="S118" s="5">
        <v>-4.3058099999999904</v>
      </c>
      <c r="T118" s="26">
        <f>IF(S$96=0,"N.D.",S118/S$96)</f>
        <v>-1.6647275562418341E-2</v>
      </c>
      <c r="U118" s="5">
        <v>-6.8111199999999883</v>
      </c>
      <c r="V118" s="26">
        <f>IF(U$96=0,"N.D.",U118/U$96)</f>
        <v>-2.4315569476419035E-2</v>
      </c>
      <c r="W118" s="5">
        <v>-26.14179</v>
      </c>
      <c r="X118" s="26">
        <v>-2.1440202594419117E-2</v>
      </c>
      <c r="Y118" s="5">
        <v>-4.8572400000000417</v>
      </c>
      <c r="Z118" s="26">
        <f>IF(Y$96=0,"N.D.",Y118/Y$96)</f>
        <v>-1.7088061048752084E-2</v>
      </c>
      <c r="AA118" s="5">
        <f t="shared" si="27"/>
        <v>-176.3225699999999</v>
      </c>
      <c r="AB118" s="26">
        <f>IF(AA$96=0,"N.D.",AA118/AA$96)</f>
        <v>-5.5093408040138882E-2</v>
      </c>
    </row>
    <row r="119" spans="1:28" x14ac:dyDescent="0.25">
      <c r="C119" s="159"/>
      <c r="D119" s="160"/>
      <c r="E119" s="159"/>
      <c r="F119" s="160"/>
      <c r="G119" s="159"/>
      <c r="H119" s="160"/>
      <c r="I119" s="159"/>
      <c r="J119" s="160"/>
      <c r="K119" s="159"/>
      <c r="L119" s="160"/>
      <c r="M119" s="159"/>
      <c r="N119" s="160"/>
      <c r="O119" s="159"/>
      <c r="P119" s="160"/>
      <c r="Q119" s="159"/>
      <c r="R119" s="160"/>
      <c r="S119" s="159"/>
      <c r="T119" s="160"/>
      <c r="U119" s="159"/>
      <c r="V119" s="160"/>
      <c r="W119" s="159"/>
      <c r="X119" s="160"/>
      <c r="Y119" s="159"/>
      <c r="Z119" s="160"/>
      <c r="AA119" s="159"/>
      <c r="AB119" s="160"/>
    </row>
    <row r="120" spans="1:28" x14ac:dyDescent="0.25">
      <c r="C120" s="161"/>
      <c r="D120" s="161"/>
      <c r="E120" s="161"/>
      <c r="F120" s="161"/>
      <c r="G120" s="16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</row>
    <row r="121" spans="1:28" x14ac:dyDescent="0.25">
      <c r="C121" s="161"/>
      <c r="D121" s="161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</row>
    <row r="122" spans="1:28" x14ac:dyDescent="0.25">
      <c r="C122" s="161"/>
      <c r="D122" s="161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</row>
    <row r="123" spans="1:28" ht="13" x14ac:dyDescent="0.3">
      <c r="C123" s="8"/>
      <c r="D123" s="23"/>
      <c r="E123" s="8"/>
      <c r="F123" s="23"/>
      <c r="G123" s="8"/>
      <c r="H123" s="23"/>
      <c r="I123" s="8"/>
      <c r="J123" s="23"/>
      <c r="K123" s="8"/>
      <c r="L123" s="23"/>
      <c r="M123" s="8"/>
      <c r="N123" s="23"/>
      <c r="O123" s="8"/>
      <c r="P123" s="23"/>
      <c r="Q123" s="8"/>
      <c r="R123" s="23"/>
      <c r="S123" s="8"/>
      <c r="T123" s="23"/>
      <c r="U123" s="8"/>
      <c r="V123" s="23"/>
      <c r="W123" s="8"/>
      <c r="X123" s="23"/>
      <c r="Y123" s="8"/>
      <c r="Z123" s="23"/>
      <c r="AA123" s="8"/>
      <c r="AB123" s="23"/>
    </row>
    <row r="124" spans="1:28" ht="13" x14ac:dyDescent="0.3">
      <c r="A124" s="114"/>
      <c r="B124" s="9"/>
      <c r="C124" s="112" t="s">
        <v>195</v>
      </c>
      <c r="D124" s="115"/>
      <c r="E124" s="112" t="s">
        <v>197</v>
      </c>
      <c r="F124" s="115"/>
      <c r="G124" s="112" t="s">
        <v>198</v>
      </c>
      <c r="H124" s="115"/>
      <c r="I124" s="112" t="s">
        <v>199</v>
      </c>
      <c r="J124" s="115"/>
      <c r="K124" s="112" t="s">
        <v>200</v>
      </c>
      <c r="L124" s="115"/>
      <c r="M124" s="112" t="s">
        <v>201</v>
      </c>
      <c r="N124" s="115"/>
      <c r="O124" s="112" t="s">
        <v>202</v>
      </c>
      <c r="P124" s="115"/>
      <c r="Q124" s="112" t="s">
        <v>203</v>
      </c>
      <c r="R124" s="115"/>
      <c r="S124" s="112" t="s">
        <v>204</v>
      </c>
      <c r="T124" s="115"/>
      <c r="U124" s="112" t="s">
        <v>205</v>
      </c>
      <c r="V124" s="115"/>
      <c r="W124" s="112" t="s">
        <v>206</v>
      </c>
      <c r="X124" s="115"/>
      <c r="Y124" s="112" t="s">
        <v>207</v>
      </c>
      <c r="Z124" s="115"/>
      <c r="AA124" s="112" t="s">
        <v>208</v>
      </c>
      <c r="AB124" s="115"/>
    </row>
    <row r="125" spans="1:28" x14ac:dyDescent="0.25">
      <c r="A125" t="s">
        <v>209</v>
      </c>
      <c r="B125" s="102" t="s">
        <v>38</v>
      </c>
      <c r="C125" s="154">
        <v>122.63865000000001</v>
      </c>
      <c r="D125" s="155">
        <f>IF(C$125=0,"N.D.",C125/C$125)</f>
        <v>1</v>
      </c>
      <c r="E125" s="154">
        <v>122.60011</v>
      </c>
      <c r="F125" s="155">
        <f>IF(E$125=0,"N.D.",E125/E$125)</f>
        <v>1</v>
      </c>
      <c r="G125" s="154">
        <v>127.01692</v>
      </c>
      <c r="H125" s="171"/>
      <c r="I125" s="154">
        <v>124.91256</v>
      </c>
      <c r="J125" s="155">
        <f>IF(I$125=0,"N.D.",I125/I$125)</f>
        <v>1</v>
      </c>
      <c r="K125" s="154">
        <v>128.89507</v>
      </c>
      <c r="L125" s="155">
        <f>IF(K$125=0,"N.D.",K125/K$125)</f>
        <v>1</v>
      </c>
      <c r="M125" s="154">
        <v>126.12284999999999</v>
      </c>
      <c r="N125" s="155">
        <f>IF(M$125=0,"N.D.",M125/M$125)</f>
        <v>1</v>
      </c>
      <c r="O125" s="154">
        <v>125.96178</v>
      </c>
      <c r="P125" s="155">
        <f>IF(O$125=0,"N.D.",O125/O$125)</f>
        <v>1</v>
      </c>
      <c r="Q125" s="154">
        <v>85.831190000000007</v>
      </c>
      <c r="R125" s="155">
        <f>IF(Q$125=0,"N.D.",Q125/Q$125)</f>
        <v>1</v>
      </c>
      <c r="S125" s="154">
        <v>118.26432000000001</v>
      </c>
      <c r="T125" s="155">
        <f>IF(S$125=0,"N.D.",S125/S$125)</f>
        <v>1</v>
      </c>
      <c r="U125" s="154">
        <v>123.34474</v>
      </c>
      <c r="V125" s="155">
        <f>IF(U$125=0,"N.D.",U125/U$125)</f>
        <v>1</v>
      </c>
      <c r="W125" s="154">
        <v>117.02817</v>
      </c>
      <c r="X125" s="155">
        <v>1</v>
      </c>
      <c r="Y125" s="154">
        <v>122.08870999999999</v>
      </c>
      <c r="Z125" s="155">
        <f>IF(Y$125=0,"N.D.",Y125/Y$125)</f>
        <v>1</v>
      </c>
      <c r="AA125" s="154">
        <f>+Y125+W125+U125+S125+Q125+O125+M125+K125+I125+G125+E125+C125</f>
        <v>1444.7050700000002</v>
      </c>
      <c r="AB125" s="155">
        <f>IF(AA$125=0,"N.D.",AA125/AA$125)</f>
        <v>1</v>
      </c>
    </row>
    <row r="126" spans="1:28" x14ac:dyDescent="0.25">
      <c r="B126" s="9" t="s">
        <v>39</v>
      </c>
      <c r="C126" s="154">
        <v>0</v>
      </c>
      <c r="D126" s="155">
        <f t="shared" ref="D126:D147" si="39">IF(C$125=0,"N.D.",C126/C$125)</f>
        <v>0</v>
      </c>
      <c r="E126" s="154">
        <v>0</v>
      </c>
      <c r="F126" s="155">
        <f>IF(E$125=0,"N.D.",E126/E$125)</f>
        <v>0</v>
      </c>
      <c r="G126" s="154">
        <v>0</v>
      </c>
      <c r="H126" s="171"/>
      <c r="I126" s="154">
        <v>0</v>
      </c>
      <c r="J126" s="155">
        <f>IF(I$125=0,"N.D.",I126/I$125)</f>
        <v>0</v>
      </c>
      <c r="K126" s="154">
        <v>0</v>
      </c>
      <c r="L126" s="155">
        <f>IF(K$125=0,"N.D.",K126/K$125)</f>
        <v>0</v>
      </c>
      <c r="M126" s="154">
        <v>0</v>
      </c>
      <c r="N126" s="155">
        <f>IF(M$125=0,"N.D.",M126/M$125)</f>
        <v>0</v>
      </c>
      <c r="O126" s="154">
        <v>0</v>
      </c>
      <c r="P126" s="155">
        <f>IF(O$125=0,"N.D.",O126/O$125)</f>
        <v>0</v>
      </c>
      <c r="Q126" s="154">
        <v>0</v>
      </c>
      <c r="R126" s="155">
        <f>IF(Q$125=0,"N.D.",Q126/Q$125)</f>
        <v>0</v>
      </c>
      <c r="S126" s="154">
        <v>0</v>
      </c>
      <c r="T126" s="155">
        <f>IF(S$125=0,"N.D.",S126/S$125)</f>
        <v>0</v>
      </c>
      <c r="U126" s="154">
        <v>0</v>
      </c>
      <c r="V126" s="155">
        <f>IF(U$125=0,"N.D.",U126/U$125)</f>
        <v>0</v>
      </c>
      <c r="W126" s="154">
        <v>0</v>
      </c>
      <c r="X126" s="155">
        <v>0</v>
      </c>
      <c r="Y126" s="154">
        <v>0</v>
      </c>
      <c r="Z126" s="155">
        <f>IF(Y$125=0,"N.D.",Y126/Y$125)</f>
        <v>0</v>
      </c>
      <c r="AA126" s="154">
        <f t="shared" ref="AA126:AA147" si="40">+Y126+W126+U126+S126+Q126+O126+M126+K126+I126+G126+E126+C126</f>
        <v>0</v>
      </c>
      <c r="AB126" s="155">
        <f>IF(AA$125=0,"N.D.",AA126/AA$125)</f>
        <v>0</v>
      </c>
    </row>
    <row r="127" spans="1:28" x14ac:dyDescent="0.25">
      <c r="B127" s="9" t="s">
        <v>219</v>
      </c>
      <c r="C127" s="154"/>
      <c r="D127" s="155"/>
      <c r="E127" s="154"/>
      <c r="F127" s="155"/>
      <c r="G127" s="154"/>
      <c r="H127" s="171"/>
      <c r="I127" s="154"/>
      <c r="J127" s="155"/>
      <c r="K127" s="154"/>
      <c r="L127" s="155"/>
      <c r="M127" s="154"/>
      <c r="N127" s="155"/>
      <c r="O127" s="154"/>
      <c r="P127" s="155"/>
      <c r="Q127" s="154"/>
      <c r="R127" s="155"/>
      <c r="S127" s="154"/>
      <c r="T127" s="155"/>
      <c r="U127" s="154"/>
      <c r="V127" s="155"/>
      <c r="W127" s="154"/>
      <c r="X127" s="155"/>
      <c r="Y127" s="154"/>
      <c r="Z127" s="155"/>
      <c r="AA127" s="154"/>
      <c r="AB127" s="155"/>
    </row>
    <row r="128" spans="1:28" ht="13" x14ac:dyDescent="0.3">
      <c r="B128" s="9" t="s">
        <v>40</v>
      </c>
      <c r="C128" s="5">
        <v>122.63865000000001</v>
      </c>
      <c r="D128" s="26">
        <f t="shared" si="39"/>
        <v>1</v>
      </c>
      <c r="E128" s="5">
        <v>122.60011</v>
      </c>
      <c r="F128" s="26">
        <f>IF(E$125=0,"N.D.",E128/E$125)</f>
        <v>1</v>
      </c>
      <c r="G128" s="5">
        <v>127.01692</v>
      </c>
      <c r="H128" s="171"/>
      <c r="I128" s="5">
        <v>124.91256</v>
      </c>
      <c r="J128" s="26">
        <f>IF(I$125=0,"N.D.",I128/I$125)</f>
        <v>1</v>
      </c>
      <c r="K128" s="5">
        <v>128.89507</v>
      </c>
      <c r="L128" s="26">
        <f>IF(K$125=0,"N.D.",K128/K$125)</f>
        <v>1</v>
      </c>
      <c r="M128" s="5">
        <v>126.12284999999999</v>
      </c>
      <c r="N128" s="26">
        <f>IF(M$125=0,"N.D.",M128/M$125)</f>
        <v>1</v>
      </c>
      <c r="O128" s="5">
        <v>125.96178</v>
      </c>
      <c r="P128" s="26">
        <f>IF(O$125=0,"N.D.",O128/O$125)</f>
        <v>1</v>
      </c>
      <c r="Q128" s="5">
        <v>85.831190000000007</v>
      </c>
      <c r="R128" s="26">
        <f>IF(Q$125=0,"N.D.",Q128/Q$125)</f>
        <v>1</v>
      </c>
      <c r="S128" s="5">
        <v>118.26432000000001</v>
      </c>
      <c r="T128" s="26">
        <f>IF(S$125=0,"N.D.",S128/S$125)</f>
        <v>1</v>
      </c>
      <c r="U128" s="5">
        <v>123.34474</v>
      </c>
      <c r="V128" s="26">
        <f>IF(U$125=0,"N.D.",U128/U$125)</f>
        <v>1</v>
      </c>
      <c r="W128" s="5">
        <v>117.02817</v>
      </c>
      <c r="X128" s="26">
        <v>1</v>
      </c>
      <c r="Y128" s="5">
        <v>122.08870999999999</v>
      </c>
      <c r="Z128" s="26">
        <f>IF(Y$125=0,"N.D.",Y128/Y$125)</f>
        <v>1</v>
      </c>
      <c r="AA128" s="5">
        <f t="shared" si="40"/>
        <v>1444.7050700000002</v>
      </c>
      <c r="AB128" s="26">
        <f>IF(AA$125=0,"N.D.",AA128/AA$125)</f>
        <v>1</v>
      </c>
    </row>
    <row r="129" spans="2:28" x14ac:dyDescent="0.25">
      <c r="B129" s="9"/>
      <c r="C129" s="74"/>
      <c r="D129" s="157"/>
      <c r="E129" s="74"/>
      <c r="F129" s="157"/>
      <c r="G129" s="74"/>
      <c r="H129" s="171"/>
      <c r="I129" s="74"/>
      <c r="J129" s="157"/>
      <c r="K129" s="74"/>
      <c r="L129" s="157"/>
      <c r="M129" s="74"/>
      <c r="N129" s="157"/>
      <c r="O129" s="74"/>
      <c r="P129" s="157"/>
      <c r="Q129" s="74"/>
      <c r="R129" s="157"/>
      <c r="S129" s="74"/>
      <c r="T129" s="157"/>
      <c r="U129" s="74"/>
      <c r="V129" s="157"/>
      <c r="W129" s="74"/>
      <c r="X129" s="157"/>
      <c r="Y129" s="74"/>
      <c r="Z129" s="157"/>
      <c r="AA129" s="74"/>
      <c r="AB129" s="157"/>
    </row>
    <row r="130" spans="2:28" x14ac:dyDescent="0.25">
      <c r="B130" s="9" t="s">
        <v>41</v>
      </c>
      <c r="C130" s="158">
        <v>39.214490000000005</v>
      </c>
      <c r="D130" s="156">
        <f t="shared" si="39"/>
        <v>0.3197563737043746</v>
      </c>
      <c r="E130" s="158">
        <v>22.46876</v>
      </c>
      <c r="F130" s="156">
        <f>IF(E$125=0,"N.D.",E130/E$125)</f>
        <v>0.18326867732826665</v>
      </c>
      <c r="G130" s="158">
        <v>18.483930000000001</v>
      </c>
      <c r="H130" s="171"/>
      <c r="I130" s="158">
        <v>6.2608699999999997</v>
      </c>
      <c r="J130" s="156">
        <f>IF(I$125=0,"N.D.",I130/I$125)</f>
        <v>5.0122021356379214E-2</v>
      </c>
      <c r="K130" s="158">
        <v>13.839210000000001</v>
      </c>
      <c r="L130" s="156">
        <f>IF(K$125=0,"N.D.",K130/K$125)</f>
        <v>0.10736803199687933</v>
      </c>
      <c r="M130" s="158">
        <v>28.334430000000001</v>
      </c>
      <c r="N130" s="156">
        <f>IF(M$125=0,"N.D.",M130/M$125)</f>
        <v>0.22465738761850057</v>
      </c>
      <c r="O130" s="158">
        <v>8.2189999999999994</v>
      </c>
      <c r="P130" s="156">
        <f>IF(O$125=0,"N.D.",O130/O$125)</f>
        <v>6.5249951215360716E-2</v>
      </c>
      <c r="Q130" s="158">
        <v>9.9739400000000007</v>
      </c>
      <c r="R130" s="156">
        <f>IF(Q$125=0,"N.D.",Q130/Q$125)</f>
        <v>0.1162041444374708</v>
      </c>
      <c r="S130" s="158">
        <v>4.0057600000000004</v>
      </c>
      <c r="T130" s="156">
        <f>IF(S$125=0,"N.D.",S130/S$125)</f>
        <v>3.3871247050674284E-2</v>
      </c>
      <c r="U130" s="158">
        <v>6.5587399999999993</v>
      </c>
      <c r="V130" s="156">
        <f>IF(U$125=0,"N.D.",U130/U$125)</f>
        <v>5.3174055091445321E-2</v>
      </c>
      <c r="W130" s="158">
        <v>19.096860000000003</v>
      </c>
      <c r="X130" s="156">
        <v>0.14368178650208008</v>
      </c>
      <c r="Y130" s="158">
        <v>14.756819999999999</v>
      </c>
      <c r="Z130" s="156">
        <f>IF(Y$125=0,"N.D.",Y130/Y$125)</f>
        <v>0.12086965289419473</v>
      </c>
      <c r="AA130" s="158">
        <f t="shared" si="40"/>
        <v>191.21281000000002</v>
      </c>
      <c r="AB130" s="156">
        <f>IF(AA$125=0,"N.D.",AA130/AA$125)</f>
        <v>0.13235421815194431</v>
      </c>
    </row>
    <row r="131" spans="2:28" x14ac:dyDescent="0.25">
      <c r="B131" s="9" t="s">
        <v>42</v>
      </c>
      <c r="C131" s="154">
        <v>0</v>
      </c>
      <c r="D131" s="155">
        <f t="shared" si="39"/>
        <v>0</v>
      </c>
      <c r="E131" s="154">
        <v>0</v>
      </c>
      <c r="F131" s="155">
        <f>IF(E$125=0,"N.D.",E131/E$125)</f>
        <v>0</v>
      </c>
      <c r="G131" s="154">
        <v>0</v>
      </c>
      <c r="H131" s="171"/>
      <c r="I131" s="154">
        <v>0</v>
      </c>
      <c r="J131" s="155">
        <f>IF(I$125=0,"N.D.",I131/I$125)</f>
        <v>0</v>
      </c>
      <c r="K131" s="154">
        <v>0</v>
      </c>
      <c r="L131" s="155">
        <f>IF(K$125=0,"N.D.",K131/K$125)</f>
        <v>0</v>
      </c>
      <c r="M131" s="154">
        <v>0</v>
      </c>
      <c r="N131" s="155">
        <f>IF(M$125=0,"N.D.",M131/M$125)</f>
        <v>0</v>
      </c>
      <c r="O131" s="154">
        <v>0</v>
      </c>
      <c r="P131" s="155">
        <f>IF(O$125=0,"N.D.",O131/O$125)</f>
        <v>0</v>
      </c>
      <c r="Q131" s="154">
        <v>0</v>
      </c>
      <c r="R131" s="155">
        <f>IF(Q$125=0,"N.D.",Q131/Q$125)</f>
        <v>0</v>
      </c>
      <c r="S131" s="154">
        <v>0</v>
      </c>
      <c r="T131" s="155">
        <f>IF(S$125=0,"N.D.",S131/S$125)</f>
        <v>0</v>
      </c>
      <c r="U131" s="154">
        <v>0</v>
      </c>
      <c r="V131" s="155">
        <f>IF(U$125=0,"N.D.",U131/U$125)</f>
        <v>0</v>
      </c>
      <c r="W131" s="154">
        <v>0</v>
      </c>
      <c r="X131" s="155">
        <v>0</v>
      </c>
      <c r="Y131" s="154">
        <v>0</v>
      </c>
      <c r="Z131" s="155">
        <f>IF(Y$125=0,"N.D.",Y131/Y$125)</f>
        <v>0</v>
      </c>
      <c r="AA131" s="154">
        <f t="shared" si="40"/>
        <v>0</v>
      </c>
      <c r="AB131" s="155">
        <f>IF(AA$125=0,"N.D.",AA131/AA$125)</f>
        <v>0</v>
      </c>
    </row>
    <row r="132" spans="2:28" x14ac:dyDescent="0.25">
      <c r="B132" s="102" t="s">
        <v>43</v>
      </c>
      <c r="C132" s="154">
        <v>44.596330000000002</v>
      </c>
      <c r="D132" s="164">
        <f t="shared" si="39"/>
        <v>0.36364009225476635</v>
      </c>
      <c r="E132" s="154">
        <v>44.596330000000002</v>
      </c>
      <c r="F132" s="164">
        <f>IF(E$125=0,"N.D.",E132/E$125)</f>
        <v>0.36375440446179047</v>
      </c>
      <c r="G132" s="154">
        <v>44.596330000000002</v>
      </c>
      <c r="H132" s="171"/>
      <c r="I132" s="154">
        <v>44.596330000000002</v>
      </c>
      <c r="J132" s="164">
        <f>IF(I$125=0,"N.D.",I132/I$125)</f>
        <v>0.357020382898245</v>
      </c>
      <c r="K132" s="154">
        <v>44.596330000000002</v>
      </c>
      <c r="L132" s="164">
        <f>IF(K$125=0,"N.D.",K132/K$125)</f>
        <v>0.34598941604205652</v>
      </c>
      <c r="M132" s="154">
        <v>38.698209999999996</v>
      </c>
      <c r="N132" s="164">
        <f>IF(M$125=0,"N.D.",M132/M$125)</f>
        <v>0.30682949203891285</v>
      </c>
      <c r="O132" s="154">
        <v>41.507330000000003</v>
      </c>
      <c r="P132" s="164">
        <f>IF(O$125=0,"N.D.",O132/O$125)</f>
        <v>0.32952320934175433</v>
      </c>
      <c r="Q132" s="154">
        <v>41.507330000000003</v>
      </c>
      <c r="R132" s="164">
        <f>IF(Q$125=0,"N.D.",Q132/Q$125)</f>
        <v>0.48359261941958398</v>
      </c>
      <c r="S132" s="154">
        <v>41.507330000000003</v>
      </c>
      <c r="T132" s="164">
        <f>IF(S$125=0,"N.D.",S132/S$125)</f>
        <v>0.35097085917375587</v>
      </c>
      <c r="U132" s="154">
        <v>41.507330000000003</v>
      </c>
      <c r="V132" s="164">
        <f>IF(U$125=0,"N.D.",U132/U$125)</f>
        <v>0.33651479584780025</v>
      </c>
      <c r="W132" s="154">
        <v>41.507330000000003</v>
      </c>
      <c r="X132" s="164">
        <v>0.3023715125343987</v>
      </c>
      <c r="Y132" s="154">
        <v>41.507330000000003</v>
      </c>
      <c r="Z132" s="164">
        <f>IF(Y$125=0,"N.D.",Y132/Y$125)</f>
        <v>0.33997680866641972</v>
      </c>
      <c r="AA132" s="154">
        <f t="shared" si="40"/>
        <v>510.72384000000011</v>
      </c>
      <c r="AB132" s="164">
        <f>IF(AA$125=0,"N.D.",AA132/AA$125)</f>
        <v>0.35351425741172215</v>
      </c>
    </row>
    <row r="133" spans="2:28" ht="13" x14ac:dyDescent="0.3">
      <c r="B133" s="9" t="s">
        <v>44</v>
      </c>
      <c r="C133" s="5">
        <v>83.810820000000007</v>
      </c>
      <c r="D133" s="26">
        <f t="shared" si="39"/>
        <v>0.68339646595914094</v>
      </c>
      <c r="E133" s="5">
        <v>67.065089999999998</v>
      </c>
      <c r="F133" s="26">
        <f>IF(E$125=0,"N.D.",E133/E$125)</f>
        <v>0.5470230817900571</v>
      </c>
      <c r="G133" s="5">
        <v>63.080260000000003</v>
      </c>
      <c r="H133" s="171"/>
      <c r="I133" s="5">
        <v>50.857200000000006</v>
      </c>
      <c r="J133" s="26">
        <f>IF(I$125=0,"N.D.",I133/I$125)</f>
        <v>0.40714240425462422</v>
      </c>
      <c r="K133" s="5">
        <v>58.435540000000003</v>
      </c>
      <c r="L133" s="26">
        <f>IF(K$125=0,"N.D.",K133/K$125)</f>
        <v>0.45335744803893585</v>
      </c>
      <c r="M133" s="5">
        <v>67.032640000000001</v>
      </c>
      <c r="N133" s="26">
        <f>IF(M$125=0,"N.D.",M133/M$125)</f>
        <v>0.53148687965741348</v>
      </c>
      <c r="O133" s="5">
        <v>49.726330000000004</v>
      </c>
      <c r="P133" s="26">
        <f>IF(O$125=0,"N.D.",O133/O$125)</f>
        <v>0.39477316055711503</v>
      </c>
      <c r="Q133" s="5">
        <v>51.481270000000002</v>
      </c>
      <c r="R133" s="26">
        <f>IF(Q$125=0,"N.D.",Q133/Q$125)</f>
        <v>0.59979676385705472</v>
      </c>
      <c r="S133" s="5">
        <v>45.513090000000005</v>
      </c>
      <c r="T133" s="26">
        <f>IF(S$125=0,"N.D.",S133/S$125)</f>
        <v>0.38484210622443016</v>
      </c>
      <c r="U133" s="5">
        <v>48.066069999999996</v>
      </c>
      <c r="V133" s="26">
        <f>IF(U$125=0,"N.D.",U133/U$125)</f>
        <v>0.38968885093924555</v>
      </c>
      <c r="W133" s="5">
        <v>60.604190000000003</v>
      </c>
      <c r="X133" s="26">
        <v>0.44605329903647872</v>
      </c>
      <c r="Y133" s="5">
        <v>56.264150000000001</v>
      </c>
      <c r="Z133" s="26">
        <f>IF(Y$125=0,"N.D.",Y133/Y$125)</f>
        <v>0.46084646156061443</v>
      </c>
      <c r="AA133" s="5">
        <f t="shared" si="40"/>
        <v>701.93664999999999</v>
      </c>
      <c r="AB133" s="26">
        <f>IF(AA$125=0,"N.D.",AA133/AA$125)</f>
        <v>0.48586847556366636</v>
      </c>
    </row>
    <row r="134" spans="2:28" ht="13" x14ac:dyDescent="0.3">
      <c r="B134" s="1" t="s">
        <v>45</v>
      </c>
      <c r="C134" s="5">
        <v>38.827829999999999</v>
      </c>
      <c r="D134" s="26">
        <f t="shared" si="39"/>
        <v>0.316603534040859</v>
      </c>
      <c r="E134" s="5">
        <v>55.535020000000003</v>
      </c>
      <c r="F134" s="26">
        <f>IF(E$125=0,"N.D.",E134/E$125)</f>
        <v>0.4529769182099429</v>
      </c>
      <c r="G134" s="5">
        <v>63.936659999999996</v>
      </c>
      <c r="H134" s="171"/>
      <c r="I134" s="5">
        <v>74.055359999999979</v>
      </c>
      <c r="J134" s="26">
        <f>IF(I$125=0,"N.D.",I134/I$125)</f>
        <v>0.59285759574537567</v>
      </c>
      <c r="K134" s="5">
        <v>70.459530000000001</v>
      </c>
      <c r="L134" s="26">
        <f>IF(K$125=0,"N.D.",K134/K$125)</f>
        <v>0.54664255196106415</v>
      </c>
      <c r="M134" s="5">
        <v>59.090209999999992</v>
      </c>
      <c r="N134" s="26">
        <f>IF(M$125=0,"N.D.",M134/M$125)</f>
        <v>0.46851312034258658</v>
      </c>
      <c r="O134" s="5">
        <v>76.23545</v>
      </c>
      <c r="P134" s="26">
        <f>IF(O$125=0,"N.D.",O134/O$125)</f>
        <v>0.60522683944288491</v>
      </c>
      <c r="Q134" s="5">
        <v>34.349919999999997</v>
      </c>
      <c r="R134" s="26">
        <f>IF(Q$125=0,"N.D.",Q134/Q$125)</f>
        <v>0.40020323614294517</v>
      </c>
      <c r="S134" s="5">
        <v>72.751230000000007</v>
      </c>
      <c r="T134" s="26">
        <f>IF(S$125=0,"N.D.",S134/S$125)</f>
        <v>0.61515789377556984</v>
      </c>
      <c r="U134" s="5">
        <v>75.27867000000002</v>
      </c>
      <c r="V134" s="26">
        <f>IF(U$125=0,"N.D.",U134/U$125)</f>
        <v>0.61031114906075457</v>
      </c>
      <c r="W134" s="5">
        <v>56.423979999999993</v>
      </c>
      <c r="X134" s="26">
        <v>0.55394670096352128</v>
      </c>
      <c r="Y134" s="5">
        <v>65.824559999999991</v>
      </c>
      <c r="Z134" s="26">
        <f>IF(Y$125=0,"N.D.",Y134/Y$125)</f>
        <v>0.53915353843938552</v>
      </c>
      <c r="AA134" s="5">
        <f t="shared" si="40"/>
        <v>742.76841999999999</v>
      </c>
      <c r="AB134" s="26">
        <f>IF(AA$125=0,"N.D.",AA134/AA$125)</f>
        <v>0.51413152443633348</v>
      </c>
    </row>
    <row r="135" spans="2:28" x14ac:dyDescent="0.25">
      <c r="B135" s="9"/>
      <c r="C135" s="74"/>
      <c r="D135" s="157"/>
      <c r="E135" s="74"/>
      <c r="F135" s="157"/>
      <c r="G135" s="74"/>
      <c r="H135" s="171"/>
      <c r="I135" s="74"/>
      <c r="J135" s="157"/>
      <c r="K135" s="74"/>
      <c r="L135" s="157"/>
      <c r="M135" s="74"/>
      <c r="N135" s="157"/>
      <c r="O135" s="74"/>
      <c r="P135" s="157"/>
      <c r="Q135" s="74"/>
      <c r="R135" s="157"/>
      <c r="S135" s="74"/>
      <c r="T135" s="157"/>
      <c r="U135" s="74"/>
      <c r="V135" s="157"/>
      <c r="W135" s="74"/>
      <c r="X135" s="157"/>
      <c r="Y135" s="74"/>
      <c r="Z135" s="157"/>
      <c r="AA135" s="74"/>
      <c r="AB135" s="157"/>
    </row>
    <row r="136" spans="2:28" x14ac:dyDescent="0.25">
      <c r="B136" s="9"/>
      <c r="C136" s="158">
        <v>0</v>
      </c>
      <c r="D136" s="156">
        <f t="shared" si="39"/>
        <v>0</v>
      </c>
      <c r="E136" s="158">
        <v>0</v>
      </c>
      <c r="F136" s="156">
        <f t="shared" ref="F136:F142" si="41">IF(E$125=0,"N.D.",E136/E$125)</f>
        <v>0</v>
      </c>
      <c r="G136" s="158">
        <v>0</v>
      </c>
      <c r="H136" s="171"/>
      <c r="I136" s="158">
        <v>0</v>
      </c>
      <c r="J136" s="156">
        <f t="shared" ref="J136:J142" si="42">IF(I$125=0,"N.D.",I136/I$125)</f>
        <v>0</v>
      </c>
      <c r="K136" s="158">
        <v>0</v>
      </c>
      <c r="L136" s="156">
        <f t="shared" ref="L136:L142" si="43">IF(K$125=0,"N.D.",K136/K$125)</f>
        <v>0</v>
      </c>
      <c r="M136" s="158">
        <v>0</v>
      </c>
      <c r="N136" s="156">
        <f t="shared" ref="N136:N142" si="44">IF(M$125=0,"N.D.",M136/M$125)</f>
        <v>0</v>
      </c>
      <c r="O136" s="158">
        <v>0</v>
      </c>
      <c r="P136" s="156">
        <f t="shared" ref="P136:P142" si="45">IF(O$125=0,"N.D.",O136/O$125)</f>
        <v>0</v>
      </c>
      <c r="Q136" s="158">
        <v>0</v>
      </c>
      <c r="R136" s="156">
        <f t="shared" ref="R136:R142" si="46">IF(Q$125=0,"N.D.",Q136/Q$125)</f>
        <v>0</v>
      </c>
      <c r="S136" s="158">
        <v>0</v>
      </c>
      <c r="T136" s="156">
        <f t="shared" ref="T136:T142" si="47">IF(S$125=0,"N.D.",S136/S$125)</f>
        <v>0</v>
      </c>
      <c r="U136" s="158">
        <v>0</v>
      </c>
      <c r="V136" s="156">
        <f t="shared" ref="V136:V142" si="48">IF(U$125=0,"N.D.",U136/U$125)</f>
        <v>0</v>
      </c>
      <c r="W136" s="158">
        <v>0</v>
      </c>
      <c r="X136" s="156">
        <v>0</v>
      </c>
      <c r="Y136" s="158">
        <v>0</v>
      </c>
      <c r="Z136" s="156">
        <f t="shared" ref="Z136:Z142" si="49">IF(Y$125=0,"N.D.",Y136/Y$125)</f>
        <v>0</v>
      </c>
      <c r="AA136" s="158">
        <f t="shared" si="40"/>
        <v>0</v>
      </c>
      <c r="AB136" s="156">
        <f t="shared" ref="AB136:AB142" si="50">IF(AA$125=0,"N.D.",AA136/AA$125)</f>
        <v>0</v>
      </c>
    </row>
    <row r="137" spans="2:28" x14ac:dyDescent="0.25">
      <c r="B137" s="9" t="s">
        <v>52</v>
      </c>
      <c r="C137" s="154">
        <v>0</v>
      </c>
      <c r="D137" s="155">
        <f t="shared" si="39"/>
        <v>0</v>
      </c>
      <c r="E137" s="154">
        <v>4.7200000000000006E-2</v>
      </c>
      <c r="F137" s="155">
        <f t="shared" si="41"/>
        <v>3.8499149796847657E-4</v>
      </c>
      <c r="G137" s="154">
        <v>33.33334</v>
      </c>
      <c r="H137" s="171"/>
      <c r="I137" s="154">
        <v>32.717349999999996</v>
      </c>
      <c r="J137" s="155">
        <f t="shared" si="42"/>
        <v>0.26192201969121437</v>
      </c>
      <c r="K137" s="154">
        <v>0.31969999999999998</v>
      </c>
      <c r="L137" s="155">
        <f t="shared" si="43"/>
        <v>2.4803120864126142E-3</v>
      </c>
      <c r="M137" s="154">
        <v>-0.25780999999999998</v>
      </c>
      <c r="N137" s="155">
        <f t="shared" si="44"/>
        <v>-2.0441180959675427E-3</v>
      </c>
      <c r="O137" s="154">
        <v>0</v>
      </c>
      <c r="P137" s="155">
        <f t="shared" si="45"/>
        <v>0</v>
      </c>
      <c r="Q137" s="154">
        <v>0.15806999999999999</v>
      </c>
      <c r="R137" s="155">
        <f t="shared" si="46"/>
        <v>1.8416382203252685E-3</v>
      </c>
      <c r="S137" s="154">
        <v>1.1383800000000002</v>
      </c>
      <c r="T137" s="155">
        <f t="shared" si="47"/>
        <v>9.6257265082148203E-3</v>
      </c>
      <c r="U137" s="154">
        <v>-3.6</v>
      </c>
      <c r="V137" s="155">
        <f t="shared" si="48"/>
        <v>-2.9186489833291633E-2</v>
      </c>
      <c r="W137" s="154">
        <v>0</v>
      </c>
      <c r="X137" s="155">
        <v>-2.6261523096488645E-2</v>
      </c>
      <c r="Y137" s="154">
        <v>-0.15</v>
      </c>
      <c r="Z137" s="155">
        <f t="shared" si="49"/>
        <v>-1.2286148326081912E-3</v>
      </c>
      <c r="AA137" s="154">
        <f t="shared" si="40"/>
        <v>63.706229999999991</v>
      </c>
      <c r="AB137" s="155">
        <f t="shared" si="50"/>
        <v>4.4096356635614203E-2</v>
      </c>
    </row>
    <row r="138" spans="2:28" x14ac:dyDescent="0.25">
      <c r="B138" s="9" t="s">
        <v>184</v>
      </c>
      <c r="C138" s="154">
        <v>28.175810000000002</v>
      </c>
      <c r="D138" s="155">
        <f t="shared" si="39"/>
        <v>0.22974657662979819</v>
      </c>
      <c r="E138" s="154">
        <v>29.138900000000003</v>
      </c>
      <c r="F138" s="155">
        <f t="shared" si="41"/>
        <v>0.23767433813884836</v>
      </c>
      <c r="G138" s="154">
        <v>27.227760000000004</v>
      </c>
      <c r="H138" s="171"/>
      <c r="I138" s="154">
        <v>29.83867</v>
      </c>
      <c r="J138" s="155">
        <f t="shared" si="42"/>
        <v>0.2388764588605021</v>
      </c>
      <c r="K138" s="154">
        <v>29.354350000000004</v>
      </c>
      <c r="L138" s="155">
        <f t="shared" si="43"/>
        <v>0.22773834561709771</v>
      </c>
      <c r="M138" s="154">
        <v>31.377239999999997</v>
      </c>
      <c r="N138" s="155">
        <f t="shared" si="44"/>
        <v>0.24878315071376836</v>
      </c>
      <c r="O138" s="154">
        <v>25.548809999999996</v>
      </c>
      <c r="P138" s="155">
        <f t="shared" si="45"/>
        <v>0.20282985839037837</v>
      </c>
      <c r="Q138" s="154">
        <v>25.12032</v>
      </c>
      <c r="R138" s="155">
        <f t="shared" si="46"/>
        <v>0.29267123058645694</v>
      </c>
      <c r="S138" s="154">
        <v>26.444099999999999</v>
      </c>
      <c r="T138" s="155">
        <f t="shared" si="47"/>
        <v>0.22360167462172864</v>
      </c>
      <c r="U138" s="154">
        <v>23.72307</v>
      </c>
      <c r="V138" s="155">
        <f t="shared" si="48"/>
        <v>0.19233142815818494</v>
      </c>
      <c r="W138" s="154">
        <v>35.00029</v>
      </c>
      <c r="X138" s="155">
        <v>0.22599114796266626</v>
      </c>
      <c r="Y138" s="154">
        <v>25.785329999999998</v>
      </c>
      <c r="Z138" s="155">
        <f t="shared" si="49"/>
        <v>0.2112015926779798</v>
      </c>
      <c r="AA138" s="154">
        <f t="shared" si="40"/>
        <v>336.73464999999999</v>
      </c>
      <c r="AB138" s="155">
        <f t="shared" si="50"/>
        <v>0.23308193277123332</v>
      </c>
    </row>
    <row r="139" spans="2:28" x14ac:dyDescent="0.25">
      <c r="B139" s="1" t="s">
        <v>214</v>
      </c>
      <c r="C139" s="154">
        <v>0</v>
      </c>
      <c r="D139" s="155">
        <f t="shared" si="39"/>
        <v>0</v>
      </c>
      <c r="E139" s="154">
        <v>0</v>
      </c>
      <c r="F139" s="155">
        <f t="shared" si="41"/>
        <v>0</v>
      </c>
      <c r="G139" s="154">
        <v>0</v>
      </c>
      <c r="H139" s="171"/>
      <c r="I139" s="154">
        <v>0</v>
      </c>
      <c r="J139" s="155">
        <f t="shared" si="42"/>
        <v>0</v>
      </c>
      <c r="K139" s="154">
        <v>0</v>
      </c>
      <c r="L139" s="155">
        <f t="shared" si="43"/>
        <v>0</v>
      </c>
      <c r="M139" s="154">
        <v>0</v>
      </c>
      <c r="N139" s="155">
        <f t="shared" si="44"/>
        <v>0</v>
      </c>
      <c r="O139" s="154">
        <v>0</v>
      </c>
      <c r="P139" s="155">
        <f t="shared" si="45"/>
        <v>0</v>
      </c>
      <c r="Q139" s="154">
        <v>0</v>
      </c>
      <c r="R139" s="155">
        <f t="shared" si="46"/>
        <v>0</v>
      </c>
      <c r="S139" s="154">
        <v>0</v>
      </c>
      <c r="T139" s="155">
        <f t="shared" si="47"/>
        <v>0</v>
      </c>
      <c r="U139" s="154">
        <v>0</v>
      </c>
      <c r="V139" s="155">
        <f t="shared" si="48"/>
        <v>0</v>
      </c>
      <c r="W139" s="154">
        <v>0</v>
      </c>
      <c r="X139" s="155">
        <v>0</v>
      </c>
      <c r="Y139" s="154">
        <v>0</v>
      </c>
      <c r="Z139" s="155">
        <f t="shared" si="49"/>
        <v>0</v>
      </c>
      <c r="AA139" s="154">
        <f t="shared" si="40"/>
        <v>0</v>
      </c>
      <c r="AB139" s="155">
        <f t="shared" si="50"/>
        <v>0</v>
      </c>
    </row>
    <row r="140" spans="2:28" x14ac:dyDescent="0.25">
      <c r="B140" s="9"/>
      <c r="C140" s="154">
        <v>0</v>
      </c>
      <c r="D140" s="155">
        <f t="shared" si="39"/>
        <v>0</v>
      </c>
      <c r="E140" s="154">
        <v>0</v>
      </c>
      <c r="F140" s="155">
        <f t="shared" si="41"/>
        <v>0</v>
      </c>
      <c r="G140" s="154">
        <v>0</v>
      </c>
      <c r="H140" s="171"/>
      <c r="I140" s="154">
        <v>0</v>
      </c>
      <c r="J140" s="155">
        <f t="shared" si="42"/>
        <v>0</v>
      </c>
      <c r="K140" s="154">
        <v>0</v>
      </c>
      <c r="L140" s="155">
        <f t="shared" si="43"/>
        <v>0</v>
      </c>
      <c r="M140" s="154">
        <v>0</v>
      </c>
      <c r="N140" s="155">
        <f t="shared" si="44"/>
        <v>0</v>
      </c>
      <c r="O140" s="154">
        <v>0</v>
      </c>
      <c r="P140" s="155">
        <f t="shared" si="45"/>
        <v>0</v>
      </c>
      <c r="Q140" s="154">
        <v>0</v>
      </c>
      <c r="R140" s="155">
        <f t="shared" si="46"/>
        <v>0</v>
      </c>
      <c r="S140" s="154">
        <v>0</v>
      </c>
      <c r="T140" s="155">
        <f t="shared" si="47"/>
        <v>0</v>
      </c>
      <c r="U140" s="154">
        <v>0</v>
      </c>
      <c r="V140" s="155">
        <f t="shared" si="48"/>
        <v>0</v>
      </c>
      <c r="W140" s="154">
        <v>0</v>
      </c>
      <c r="X140" s="155">
        <v>0</v>
      </c>
      <c r="Y140" s="154">
        <v>0</v>
      </c>
      <c r="Z140" s="155">
        <f t="shared" si="49"/>
        <v>0</v>
      </c>
      <c r="AA140" s="154">
        <f t="shared" si="40"/>
        <v>0</v>
      </c>
      <c r="AB140" s="155">
        <f t="shared" si="50"/>
        <v>0</v>
      </c>
    </row>
    <row r="141" spans="2:28" ht="13" x14ac:dyDescent="0.3">
      <c r="B141" s="9" t="s">
        <v>48</v>
      </c>
      <c r="C141" s="5">
        <v>28.175810000000002</v>
      </c>
      <c r="D141" s="26">
        <f t="shared" si="39"/>
        <v>0.22974657662979819</v>
      </c>
      <c r="E141" s="5">
        <v>29.186100000000003</v>
      </c>
      <c r="F141" s="26">
        <f t="shared" si="41"/>
        <v>0.23805932963681684</v>
      </c>
      <c r="G141" s="5">
        <v>60.561100000000003</v>
      </c>
      <c r="H141" s="171"/>
      <c r="I141" s="5">
        <v>62.556019999999997</v>
      </c>
      <c r="J141" s="26">
        <f t="shared" si="42"/>
        <v>0.50079847855171644</v>
      </c>
      <c r="K141" s="5">
        <v>29.674050000000005</v>
      </c>
      <c r="L141" s="26">
        <f t="shared" si="43"/>
        <v>0.23021865770351033</v>
      </c>
      <c r="M141" s="5">
        <v>31.119429999999998</v>
      </c>
      <c r="N141" s="26">
        <f t="shared" si="44"/>
        <v>0.24673903261780084</v>
      </c>
      <c r="O141" s="5">
        <v>25.548809999999996</v>
      </c>
      <c r="P141" s="26">
        <f t="shared" si="45"/>
        <v>0.20282985839037837</v>
      </c>
      <c r="Q141" s="5">
        <v>25.278389999999998</v>
      </c>
      <c r="R141" s="26">
        <f t="shared" si="46"/>
        <v>0.29451286880678218</v>
      </c>
      <c r="S141" s="5">
        <v>27.58248</v>
      </c>
      <c r="T141" s="26">
        <f t="shared" si="47"/>
        <v>0.23322740112994347</v>
      </c>
      <c r="U141" s="5">
        <v>20.123069999999998</v>
      </c>
      <c r="V141" s="26">
        <f t="shared" si="48"/>
        <v>0.1631449383248933</v>
      </c>
      <c r="W141" s="5">
        <v>35.00029</v>
      </c>
      <c r="X141" s="26">
        <v>0.19972962486617762</v>
      </c>
      <c r="Y141" s="5">
        <v>25.63533</v>
      </c>
      <c r="Z141" s="26">
        <f t="shared" si="49"/>
        <v>0.20997297784537164</v>
      </c>
      <c r="AA141" s="5">
        <f t="shared" si="40"/>
        <v>400.44088000000005</v>
      </c>
      <c r="AB141" s="26">
        <f t="shared" si="50"/>
        <v>0.27717828940684758</v>
      </c>
    </row>
    <row r="142" spans="2:28" ht="13" x14ac:dyDescent="0.3">
      <c r="B142" s="1" t="s">
        <v>49</v>
      </c>
      <c r="C142" s="5">
        <v>10.65202</v>
      </c>
      <c r="D142" s="26">
        <f t="shared" si="39"/>
        <v>8.6856957411060864E-2</v>
      </c>
      <c r="E142" s="5">
        <v>26.348920000000003</v>
      </c>
      <c r="F142" s="26">
        <f t="shared" si="41"/>
        <v>0.21491758857312609</v>
      </c>
      <c r="G142" s="5">
        <v>3.3755599999999975</v>
      </c>
      <c r="H142" s="171"/>
      <c r="I142" s="5">
        <v>11.499339999999982</v>
      </c>
      <c r="J142" s="26">
        <f t="shared" si="42"/>
        <v>9.2059117193659168E-2</v>
      </c>
      <c r="K142" s="5">
        <v>40.785479999999993</v>
      </c>
      <c r="L142" s="26">
        <f t="shared" si="43"/>
        <v>0.31642389425755379</v>
      </c>
      <c r="M142" s="5">
        <v>27.970779999999994</v>
      </c>
      <c r="N142" s="26">
        <f t="shared" si="44"/>
        <v>0.22177408772478577</v>
      </c>
      <c r="O142" s="5">
        <v>50.686639999999997</v>
      </c>
      <c r="P142" s="26">
        <f t="shared" si="45"/>
        <v>0.40239698105250654</v>
      </c>
      <c r="Q142" s="5">
        <v>9.0715299999999992</v>
      </c>
      <c r="R142" s="26">
        <f t="shared" si="46"/>
        <v>0.10569036733616298</v>
      </c>
      <c r="S142" s="5">
        <v>45.168750000000017</v>
      </c>
      <c r="T142" s="26">
        <f t="shared" si="47"/>
        <v>0.38193049264562645</v>
      </c>
      <c r="U142" s="5">
        <v>55.155600000000014</v>
      </c>
      <c r="V142" s="26">
        <f t="shared" si="48"/>
        <v>0.44716621073586121</v>
      </c>
      <c r="W142" s="5">
        <v>21.423689999999993</v>
      </c>
      <c r="X142" s="26">
        <v>0.35421707609734365</v>
      </c>
      <c r="Y142" s="5">
        <v>40.189229999999995</v>
      </c>
      <c r="Z142" s="26">
        <f t="shared" si="49"/>
        <v>0.32918056059401396</v>
      </c>
      <c r="AA142" s="5">
        <f t="shared" si="40"/>
        <v>342.32754</v>
      </c>
      <c r="AB142" s="26">
        <f t="shared" si="50"/>
        <v>0.23695323502948595</v>
      </c>
    </row>
    <row r="143" spans="2:28" x14ac:dyDescent="0.25">
      <c r="B143" s="9"/>
      <c r="C143" s="74"/>
      <c r="D143" s="157"/>
      <c r="E143" s="74"/>
      <c r="F143" s="157"/>
      <c r="G143" s="74"/>
      <c r="H143" s="171"/>
      <c r="I143" s="74"/>
      <c r="J143" s="157"/>
      <c r="K143" s="74"/>
      <c r="L143" s="157"/>
      <c r="M143" s="74"/>
      <c r="N143" s="157"/>
      <c r="O143" s="74"/>
      <c r="P143" s="157"/>
      <c r="Q143" s="74"/>
      <c r="R143" s="157"/>
      <c r="S143" s="74"/>
      <c r="T143" s="157"/>
      <c r="U143" s="74"/>
      <c r="V143" s="157"/>
      <c r="W143" s="74"/>
      <c r="X143" s="157"/>
      <c r="Y143" s="74"/>
      <c r="Z143" s="157"/>
      <c r="AA143" s="74"/>
      <c r="AB143" s="157"/>
    </row>
    <row r="144" spans="2:28" x14ac:dyDescent="0.25">
      <c r="B144" s="9" t="s">
        <v>50</v>
      </c>
      <c r="C144" s="158">
        <v>0</v>
      </c>
      <c r="D144" s="156">
        <f t="shared" si="39"/>
        <v>0</v>
      </c>
      <c r="E144" s="158">
        <v>0</v>
      </c>
      <c r="F144" s="156">
        <f>IF(E$125=0,"N.D.",E144/E$125)</f>
        <v>0</v>
      </c>
      <c r="G144" s="158">
        <v>0</v>
      </c>
      <c r="H144" s="171"/>
      <c r="I144" s="158">
        <v>50</v>
      </c>
      <c r="J144" s="156">
        <f>IF(I$125=0,"N.D.",I144/I$125)</f>
        <v>0.40028000386830598</v>
      </c>
      <c r="K144" s="158">
        <v>0</v>
      </c>
      <c r="L144" s="156">
        <f>IF(K$125=0,"N.D.",K144/K$125)</f>
        <v>0</v>
      </c>
      <c r="M144" s="158">
        <v>0</v>
      </c>
      <c r="N144" s="156">
        <f>IF(M$125=0,"N.D.",M144/M$125)</f>
        <v>0</v>
      </c>
      <c r="O144" s="158">
        <v>0</v>
      </c>
      <c r="P144" s="156">
        <f>IF(O$125=0,"N.D.",O144/O$125)</f>
        <v>0</v>
      </c>
      <c r="Q144" s="158">
        <v>-50</v>
      </c>
      <c r="R144" s="156">
        <f>IF(Q$125=0,"N.D.",Q144/Q$125)</f>
        <v>-0.58253881834796883</v>
      </c>
      <c r="S144" s="158">
        <v>0</v>
      </c>
      <c r="T144" s="156">
        <f>IF(S$125=0,"N.D.",S144/S$125)</f>
        <v>0</v>
      </c>
      <c r="U144" s="158">
        <v>0</v>
      </c>
      <c r="V144" s="156">
        <f>IF(U$125=0,"N.D.",U144/U$125)</f>
        <v>0</v>
      </c>
      <c r="W144" s="158">
        <v>0</v>
      </c>
      <c r="X144" s="156">
        <v>0</v>
      </c>
      <c r="Y144" s="158">
        <v>0</v>
      </c>
      <c r="Z144" s="156">
        <f>IF(Y$125=0,"N.D.",Y144/Y$125)</f>
        <v>0</v>
      </c>
      <c r="AA144" s="158">
        <f t="shared" si="40"/>
        <v>0</v>
      </c>
      <c r="AB144" s="156">
        <f>IF(AA$125=0,"N.D.",AA144/AA$125)</f>
        <v>0</v>
      </c>
    </row>
    <row r="145" spans="1:28" x14ac:dyDescent="0.25">
      <c r="B145" s="80" t="s">
        <v>51</v>
      </c>
      <c r="C145" s="154">
        <v>0</v>
      </c>
      <c r="D145" s="155">
        <f t="shared" si="39"/>
        <v>0</v>
      </c>
      <c r="E145" s="154">
        <v>0</v>
      </c>
      <c r="F145" s="155">
        <f>IF(E$125=0,"N.D.",E145/E$125)</f>
        <v>0</v>
      </c>
      <c r="G145" s="154">
        <v>0</v>
      </c>
      <c r="H145" s="171"/>
      <c r="I145" s="154">
        <v>0</v>
      </c>
      <c r="J145" s="155">
        <f>IF(I$125=0,"N.D.",I145/I$125)</f>
        <v>0</v>
      </c>
      <c r="K145" s="154">
        <v>0</v>
      </c>
      <c r="L145" s="155">
        <f>IF(K$125=0,"N.D.",K145/K$125)</f>
        <v>0</v>
      </c>
      <c r="M145" s="154">
        <v>0</v>
      </c>
      <c r="N145" s="155">
        <f>IF(M$125=0,"N.D.",M145/M$125)</f>
        <v>0</v>
      </c>
      <c r="O145" s="154">
        <v>0</v>
      </c>
      <c r="P145" s="155">
        <f>IF(O$125=0,"N.D.",O145/O$125)</f>
        <v>0</v>
      </c>
      <c r="Q145" s="154">
        <v>0</v>
      </c>
      <c r="R145" s="155">
        <f>IF(Q$125=0,"N.D.",Q145/Q$125)</f>
        <v>0</v>
      </c>
      <c r="S145" s="154">
        <v>0</v>
      </c>
      <c r="T145" s="155">
        <f>IF(S$125=0,"N.D.",S145/S$125)</f>
        <v>0</v>
      </c>
      <c r="U145" s="154">
        <v>0</v>
      </c>
      <c r="V145" s="155">
        <f>IF(U$125=0,"N.D.",U145/U$125)</f>
        <v>0</v>
      </c>
      <c r="W145" s="154">
        <v>0</v>
      </c>
      <c r="X145" s="155">
        <v>0</v>
      </c>
      <c r="Y145" s="154">
        <v>0</v>
      </c>
      <c r="Z145" s="155">
        <f>IF(Y$125=0,"N.D.",Y145/Y$125)</f>
        <v>0</v>
      </c>
      <c r="AA145" s="154">
        <f t="shared" si="40"/>
        <v>0</v>
      </c>
      <c r="AB145" s="155">
        <f>IF(AA$125=0,"N.D.",AA145/AA$125)</f>
        <v>0</v>
      </c>
    </row>
    <row r="146" spans="1:28" ht="13" x14ac:dyDescent="0.3">
      <c r="B146" s="1" t="s">
        <v>53</v>
      </c>
      <c r="C146" s="5">
        <v>10.65202</v>
      </c>
      <c r="D146" s="26">
        <f t="shared" si="39"/>
        <v>8.6856957411060864E-2</v>
      </c>
      <c r="E146" s="5">
        <v>26.348920000000003</v>
      </c>
      <c r="F146" s="26">
        <f>IF(E$125=0,"N.D.",E146/E$125)</f>
        <v>0.21491758857312609</v>
      </c>
      <c r="G146" s="5">
        <v>3.3755599999999975</v>
      </c>
      <c r="H146" s="171"/>
      <c r="I146" s="5">
        <v>-38.500660000000018</v>
      </c>
      <c r="J146" s="26">
        <f>IF(I$125=0,"N.D.",I146/I$125)</f>
        <v>-0.30822088667464681</v>
      </c>
      <c r="K146" s="5">
        <v>40.785479999999993</v>
      </c>
      <c r="L146" s="26">
        <f>IF(K$125=0,"N.D.",K146/K$125)</f>
        <v>0.31642389425755379</v>
      </c>
      <c r="M146" s="5">
        <v>27.970779999999994</v>
      </c>
      <c r="N146" s="26">
        <f>IF(M$125=0,"N.D.",M146/M$125)</f>
        <v>0.22177408772478577</v>
      </c>
      <c r="O146" s="5">
        <v>50.686639999999997</v>
      </c>
      <c r="P146" s="26">
        <f>IF(O$125=0,"N.D.",O146/O$125)</f>
        <v>0.40239698105250654</v>
      </c>
      <c r="Q146" s="5">
        <v>59.071529999999996</v>
      </c>
      <c r="R146" s="26">
        <f>IF(Q$125=0,"N.D.",Q146/Q$125)</f>
        <v>0.68822918568413172</v>
      </c>
      <c r="S146" s="5">
        <v>45.168750000000017</v>
      </c>
      <c r="T146" s="26">
        <f>IF(S$125=0,"N.D.",S146/S$125)</f>
        <v>0.38193049264562645</v>
      </c>
      <c r="U146" s="5">
        <v>55.155600000000014</v>
      </c>
      <c r="V146" s="26">
        <f>IF(U$125=0,"N.D.",U146/U$125)</f>
        <v>0.44716621073586121</v>
      </c>
      <c r="W146" s="5">
        <v>21.423689999999993</v>
      </c>
      <c r="X146" s="26">
        <v>0.35421707609734365</v>
      </c>
      <c r="Y146" s="5">
        <v>40.189229999999995</v>
      </c>
      <c r="Z146" s="26">
        <f>IF(Y$125=0,"N.D.",Y146/Y$125)</f>
        <v>0.32918056059401396</v>
      </c>
      <c r="AA146" s="5">
        <f t="shared" si="40"/>
        <v>342.32754</v>
      </c>
      <c r="AB146" s="26">
        <f>IF(AA$125=0,"N.D.",AA146/AA$125)</f>
        <v>0.23695323502948595</v>
      </c>
    </row>
    <row r="147" spans="1:28" ht="13" x14ac:dyDescent="0.3">
      <c r="B147" s="1" t="s">
        <v>122</v>
      </c>
      <c r="C147" s="5">
        <v>83.424160000000001</v>
      </c>
      <c r="D147" s="26">
        <f t="shared" si="39"/>
        <v>0.68024362629562529</v>
      </c>
      <c r="E147" s="5">
        <v>100.13135000000001</v>
      </c>
      <c r="F147" s="26">
        <f>IF(E$125=0,"N.D.",E147/E$125)</f>
        <v>0.81673132267173343</v>
      </c>
      <c r="G147" s="5">
        <v>108.53298999999998</v>
      </c>
      <c r="H147" s="171"/>
      <c r="I147" s="5">
        <v>118.65168999999999</v>
      </c>
      <c r="J147" s="26">
        <f>IF(I$125=0,"N.D.",I147/I$125)</f>
        <v>0.94987797864362067</v>
      </c>
      <c r="K147" s="5">
        <v>115.05586</v>
      </c>
      <c r="L147" s="26">
        <f>IF(K$125=0,"N.D.",K147/K$125)</f>
        <v>0.89263196800312061</v>
      </c>
      <c r="M147" s="5">
        <v>97.788419999999988</v>
      </c>
      <c r="N147" s="26">
        <f>IF(M$125=0,"N.D.",M147/M$125)</f>
        <v>0.77534261238149949</v>
      </c>
      <c r="O147" s="5">
        <v>117.74278</v>
      </c>
      <c r="P147" s="26">
        <f>IF(O$125=0,"N.D.",O147/O$125)</f>
        <v>0.93475004878463919</v>
      </c>
      <c r="Q147" s="5">
        <v>75.857249999999993</v>
      </c>
      <c r="R147" s="26">
        <f>IF(Q$125=0,"N.D.",Q147/Q$125)</f>
        <v>0.88379585556252904</v>
      </c>
      <c r="S147" s="5">
        <v>114.25856000000002</v>
      </c>
      <c r="T147" s="26">
        <f>IF(S$125=0,"N.D.",S147/S$125)</f>
        <v>0.96612875294932576</v>
      </c>
      <c r="U147" s="5">
        <v>116.78600000000002</v>
      </c>
      <c r="V147" s="26">
        <f>IF(U$125=0,"N.D.",U147/U$125)</f>
        <v>0.94682594490855476</v>
      </c>
      <c r="W147" s="5">
        <v>97.931309999999996</v>
      </c>
      <c r="X147" s="26">
        <v>0.85631821349791992</v>
      </c>
      <c r="Y147" s="5">
        <v>107.33189</v>
      </c>
      <c r="Z147" s="26">
        <f>IF(Y$125=0,"N.D.",Y147/Y$125)</f>
        <v>0.8791303471058054</v>
      </c>
      <c r="AA147" s="5">
        <f t="shared" si="40"/>
        <v>1253.4922600000002</v>
      </c>
      <c r="AB147" s="26">
        <f>IF(AA$125=0,"N.D.",AA147/AA$125)</f>
        <v>0.86764578184805574</v>
      </c>
    </row>
    <row r="148" spans="1:28" ht="13" x14ac:dyDescent="0.3">
      <c r="C148" s="39"/>
      <c r="D148" s="34"/>
      <c r="E148" s="39"/>
      <c r="F148" s="34"/>
      <c r="G148" s="39"/>
      <c r="H148" s="170"/>
      <c r="I148" s="39"/>
      <c r="J148" s="34"/>
      <c r="K148" s="39"/>
      <c r="L148" s="34"/>
      <c r="M148" s="39"/>
      <c r="N148" s="34"/>
      <c r="O148" s="39"/>
      <c r="P148" s="34"/>
      <c r="Q148" s="39"/>
      <c r="R148" s="34"/>
      <c r="S148" s="39"/>
      <c r="T148" s="34"/>
      <c r="U148" s="39"/>
      <c r="V148" s="34"/>
      <c r="W148" s="39"/>
      <c r="X148" s="34"/>
      <c r="Y148" s="39"/>
      <c r="Z148" s="34"/>
      <c r="AA148" s="39"/>
      <c r="AB148" s="34"/>
    </row>
    <row r="149" spans="1:28" x14ac:dyDescent="0.25">
      <c r="C149" s="161"/>
      <c r="D149" s="161"/>
      <c r="E149" s="161"/>
      <c r="F149" s="161"/>
      <c r="G149" s="161"/>
      <c r="H149" s="161"/>
      <c r="I149" s="161"/>
      <c r="J149" s="161"/>
      <c r="K149" s="161"/>
      <c r="L149" s="161"/>
      <c r="M149" s="161"/>
      <c r="N149" s="16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</row>
    <row r="150" spans="1:28" x14ac:dyDescent="0.25"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M150" s="161"/>
      <c r="N150" s="16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</row>
    <row r="151" spans="1:28" x14ac:dyDescent="0.25">
      <c r="C151" s="161"/>
      <c r="D151" s="161"/>
      <c r="E151" s="161"/>
      <c r="F151" s="161"/>
      <c r="G151" s="161"/>
      <c r="H151" s="161"/>
      <c r="I151" s="161"/>
      <c r="J151" s="161"/>
      <c r="K151" s="161"/>
      <c r="L151" s="161"/>
      <c r="M151" s="161"/>
      <c r="N151" s="16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</row>
    <row r="152" spans="1:28" ht="13" x14ac:dyDescent="0.3">
      <c r="C152" s="8"/>
      <c r="D152" s="23"/>
      <c r="E152" s="8"/>
      <c r="F152" s="23"/>
      <c r="G152" s="8"/>
      <c r="H152" s="23"/>
      <c r="I152" s="8"/>
      <c r="J152" s="23"/>
      <c r="K152" s="8"/>
      <c r="L152" s="23"/>
      <c r="M152" s="8"/>
      <c r="N152" s="23"/>
      <c r="O152" s="8"/>
      <c r="P152" s="23"/>
      <c r="Q152" s="8"/>
      <c r="R152" s="23"/>
      <c r="S152" s="8"/>
      <c r="T152" s="23"/>
      <c r="U152" s="8"/>
      <c r="V152" s="23"/>
      <c r="W152" s="8"/>
      <c r="X152" s="23"/>
      <c r="Y152" s="8"/>
      <c r="Z152" s="23"/>
      <c r="AA152" s="8"/>
      <c r="AB152" s="23"/>
    </row>
    <row r="153" spans="1:28" ht="13" x14ac:dyDescent="0.3">
      <c r="A153" s="114"/>
      <c r="B153" s="9"/>
      <c r="C153" s="112" t="s">
        <v>195</v>
      </c>
      <c r="D153" s="115"/>
      <c r="E153" s="112" t="s">
        <v>197</v>
      </c>
      <c r="F153" s="115"/>
      <c r="G153" s="112" t="s">
        <v>198</v>
      </c>
      <c r="H153" s="115"/>
      <c r="I153" s="112" t="s">
        <v>199</v>
      </c>
      <c r="J153" s="115"/>
      <c r="K153" s="112" t="s">
        <v>200</v>
      </c>
      <c r="L153" s="115"/>
      <c r="M153" s="112" t="s">
        <v>201</v>
      </c>
      <c r="N153" s="115"/>
      <c r="O153" s="112" t="s">
        <v>202</v>
      </c>
      <c r="P153" s="115"/>
      <c r="Q153" s="112" t="s">
        <v>203</v>
      </c>
      <c r="R153" s="115"/>
      <c r="S153" s="112" t="s">
        <v>204</v>
      </c>
      <c r="T153" s="115"/>
      <c r="U153" s="112" t="s">
        <v>205</v>
      </c>
      <c r="V153" s="115"/>
      <c r="W153" s="112" t="s">
        <v>206</v>
      </c>
      <c r="X153" s="115"/>
      <c r="Y153" s="112" t="s">
        <v>207</v>
      </c>
      <c r="Z153" s="115"/>
      <c r="AA153" s="112" t="s">
        <v>208</v>
      </c>
      <c r="AB153" s="115"/>
    </row>
    <row r="154" spans="1:28" x14ac:dyDescent="0.25">
      <c r="A154" t="s">
        <v>196</v>
      </c>
      <c r="B154" s="102" t="s">
        <v>38</v>
      </c>
      <c r="C154" s="154">
        <v>3214.1568999999995</v>
      </c>
      <c r="D154" s="165">
        <f>IF(C$154=0,"N.D.",C154/C$154)</f>
        <v>1</v>
      </c>
      <c r="E154" s="154">
        <v>3145.4248199999997</v>
      </c>
      <c r="F154" s="165">
        <f>IF(E$154=0,"N.D.",E154/E$154)</f>
        <v>1</v>
      </c>
      <c r="G154" s="154">
        <v>3624.6297500000001</v>
      </c>
      <c r="H154" s="165">
        <f>IF(G$154=0,"N.D.",G154/G$154)</f>
        <v>1</v>
      </c>
      <c r="I154" s="154">
        <v>3400.2090900000003</v>
      </c>
      <c r="J154" s="165">
        <f>IF(I$154=0,"N.D.",I154/I$154)</f>
        <v>1</v>
      </c>
      <c r="K154" s="154">
        <v>3371.9118600000002</v>
      </c>
      <c r="L154" s="165">
        <f>IF(K$154=0,"N.D.",K154/K$154)</f>
        <v>1</v>
      </c>
      <c r="M154" s="154">
        <v>3295.3780999999999</v>
      </c>
      <c r="N154" s="165">
        <f>IF(M$154=0,"N.D.",M154/M$154)</f>
        <v>1</v>
      </c>
      <c r="O154" s="154">
        <v>3380.9116099999997</v>
      </c>
      <c r="P154" s="165">
        <f>IF(O$154=0,"N.D.",O154/O$154)</f>
        <v>1</v>
      </c>
      <c r="Q154" s="154">
        <v>3358.1374300000007</v>
      </c>
      <c r="R154" s="165">
        <f>IF(Q$154=0,"N.D.",Q154/Q$154)</f>
        <v>1</v>
      </c>
      <c r="S154" s="154">
        <v>3227.1446000000001</v>
      </c>
      <c r="T154" s="165">
        <f>IF(S$154=0,"N.D.",S154/S$154)</f>
        <v>1</v>
      </c>
      <c r="U154" s="154">
        <v>3345.5548800000001</v>
      </c>
      <c r="V154" s="165">
        <f>IF(U$154=0,"N.D.",U154/U$154)</f>
        <v>1</v>
      </c>
      <c r="W154" s="154">
        <v>3004.4278899999999</v>
      </c>
      <c r="X154" s="165">
        <v>1</v>
      </c>
      <c r="Y154" s="154">
        <v>3352.6807100000001</v>
      </c>
      <c r="Z154" s="165">
        <f>IF(Y$154=0,"N.D.",Y154/Y$154)</f>
        <v>1</v>
      </c>
      <c r="AA154" s="158">
        <f>+AA9+AA38+AA67+AA96+AA125+AA184</f>
        <v>39720.567640000001</v>
      </c>
      <c r="AB154" s="165">
        <f>IF(AA$154=0,"N.D.",AA154/AA$154)</f>
        <v>1</v>
      </c>
    </row>
    <row r="155" spans="1:28" x14ac:dyDescent="0.25">
      <c r="B155" s="9" t="s">
        <v>39</v>
      </c>
      <c r="C155" s="154">
        <v>1942.3057000000001</v>
      </c>
      <c r="D155" s="166">
        <f t="shared" ref="D155:D176" si="51">IF(C$154=0,"N.D.",C155/C$154)</f>
        <v>0.60429710198652731</v>
      </c>
      <c r="E155" s="154">
        <v>1857.10626</v>
      </c>
      <c r="F155" s="166">
        <f>IF(E$154=0,"N.D.",E155/E$154)</f>
        <v>0.59041508421746358</v>
      </c>
      <c r="G155" s="154">
        <v>2144.1814899999999</v>
      </c>
      <c r="H155" s="166">
        <f>IF(G$154=0,"N.D.",G155/G$154)</f>
        <v>0.59155876265706864</v>
      </c>
      <c r="I155" s="154">
        <v>2015.07871</v>
      </c>
      <c r="J155" s="166">
        <f>IF(I$154=0,"N.D.",I155/I$154)</f>
        <v>0.592633763590109</v>
      </c>
      <c r="K155" s="154">
        <v>2054.83646</v>
      </c>
      <c r="L155" s="166">
        <f>IF(K$154=0,"N.D.",K155/K$154)</f>
        <v>0.60939803450259811</v>
      </c>
      <c r="M155" s="154">
        <v>1988.7100599999999</v>
      </c>
      <c r="N155" s="166">
        <f>IF(M$154=0,"N.D.",M155/M$154)</f>
        <v>0.60348463807536989</v>
      </c>
      <c r="O155" s="154">
        <v>1268.2674199999999</v>
      </c>
      <c r="P155" s="166">
        <f>IF(O$154=0,"N.D.",O155/O$154)</f>
        <v>0.37512587322565349</v>
      </c>
      <c r="Q155" s="154">
        <v>1264.37742</v>
      </c>
      <c r="R155" s="166">
        <f>IF(Q$154=0,"N.D.",Q155/Q$154)</f>
        <v>0.37651151757657514</v>
      </c>
      <c r="S155" s="154">
        <v>1188.39977</v>
      </c>
      <c r="T155" s="166">
        <f>IF(S$154=0,"N.D.",S155/S$154)</f>
        <v>0.3682511685407589</v>
      </c>
      <c r="U155" s="154">
        <v>2085.2575900000002</v>
      </c>
      <c r="V155" s="166">
        <f>IF(U$154=0,"N.D.",U155/U$154)</f>
        <v>0.62329199932299428</v>
      </c>
      <c r="W155" s="154">
        <v>1920.38923</v>
      </c>
      <c r="X155" s="166">
        <v>0.63290152861580395</v>
      </c>
      <c r="Y155" s="154">
        <v>2072.6846300000002</v>
      </c>
      <c r="Z155" s="166">
        <f>IF(Y$154=0,"N.D.",Y155/Y$154)</f>
        <v>0.61821712512552385</v>
      </c>
      <c r="AA155" s="154">
        <f>+AA10+AA39+AA68+AA97+AA126+AA185</f>
        <v>24289.110699999997</v>
      </c>
      <c r="AB155" s="166">
        <f>IF(AA$154=0,"N.D.",AA155/AA$154)</f>
        <v>0.61149958681708294</v>
      </c>
    </row>
    <row r="156" spans="1:28" x14ac:dyDescent="0.25">
      <c r="B156" s="9" t="s">
        <v>219</v>
      </c>
      <c r="C156" s="154"/>
      <c r="D156" s="166"/>
      <c r="E156" s="154"/>
      <c r="F156" s="166"/>
      <c r="G156" s="154"/>
      <c r="H156" s="166"/>
      <c r="I156" s="154"/>
      <c r="J156" s="166"/>
      <c r="K156" s="154"/>
      <c r="L156" s="166"/>
      <c r="M156" s="154"/>
      <c r="N156" s="166"/>
      <c r="O156" s="154">
        <v>845.96124999999995</v>
      </c>
      <c r="P156" s="166"/>
      <c r="Q156" s="154">
        <v>832.56347999999991</v>
      </c>
      <c r="R156" s="166"/>
      <c r="S156" s="154">
        <v>808.99161000000004</v>
      </c>
      <c r="T156" s="166"/>
      <c r="U156" s="154"/>
      <c r="V156" s="166"/>
      <c r="W156" s="154"/>
      <c r="X156" s="166"/>
      <c r="Y156" s="154"/>
      <c r="Z156" s="166"/>
      <c r="AA156" s="154"/>
      <c r="AB156" s="166"/>
    </row>
    <row r="157" spans="1:28" ht="13" x14ac:dyDescent="0.3">
      <c r="B157" s="9" t="s">
        <v>40</v>
      </c>
      <c r="C157" s="5">
        <v>1271.8512000000001</v>
      </c>
      <c r="D157" s="30">
        <f t="shared" si="51"/>
        <v>0.39570289801347291</v>
      </c>
      <c r="E157" s="5">
        <v>1288.3185599999999</v>
      </c>
      <c r="F157" s="30">
        <f>IF(E$154=0,"N.D.",E157/E$154)</f>
        <v>0.40958491578253653</v>
      </c>
      <c r="G157" s="5">
        <v>1480.4482599999999</v>
      </c>
      <c r="H157" s="30">
        <f>IF(G$154=0,"N.D.",G157/G$154)</f>
        <v>0.40844123734293131</v>
      </c>
      <c r="I157" s="5">
        <v>1385.1303800000003</v>
      </c>
      <c r="J157" s="30">
        <f>IF(I$154=0,"N.D.",I157/I$154)</f>
        <v>0.40736623640989095</v>
      </c>
      <c r="K157" s="5">
        <v>1317.0754000000004</v>
      </c>
      <c r="L157" s="30">
        <f>IF(K$154=0,"N.D.",K157/K$154)</f>
        <v>0.39060196549740195</v>
      </c>
      <c r="M157" s="5">
        <v>1306.6680399999998</v>
      </c>
      <c r="N157" s="30">
        <f>IF(M$154=0,"N.D.",M157/M$154)</f>
        <v>0.39651536192463011</v>
      </c>
      <c r="O157" s="5">
        <v>1269.7211599999996</v>
      </c>
      <c r="P157" s="30">
        <f>IF(O$154=0,"N.D.",O157/O$154)</f>
        <v>0.3755558578474637</v>
      </c>
      <c r="Q157" s="5">
        <v>1304.3653400000003</v>
      </c>
      <c r="R157" s="30">
        <f>IF(Q$154=0,"N.D.",Q157/Q$154)</f>
        <v>0.3884192851511738</v>
      </c>
      <c r="S157" s="5">
        <v>1240.4888999999998</v>
      </c>
      <c r="T157" s="30">
        <f>IF(S$154=0,"N.D.",S157/S$154)</f>
        <v>0.38439210316141392</v>
      </c>
      <c r="U157" s="5">
        <v>1260.2972900000002</v>
      </c>
      <c r="V157" s="30">
        <f>IF(U$154=0,"N.D.",U157/U$154)</f>
        <v>0.37670800067700583</v>
      </c>
      <c r="W157" s="5">
        <v>1084.0386599999999</v>
      </c>
      <c r="X157" s="30">
        <v>0.36709847138419599</v>
      </c>
      <c r="Y157" s="5">
        <v>1279.9960799999994</v>
      </c>
      <c r="Z157" s="30">
        <f>IF(Y$154=0,"N.D.",Y157/Y$154)</f>
        <v>0.38178287487447604</v>
      </c>
      <c r="AA157" s="5">
        <f>+AA12+AA41+AA70+AA99+AA128+AA187</f>
        <v>15431.45694</v>
      </c>
      <c r="AB157" s="30">
        <f>IF(AA$154=0,"N.D.",AA157/AA$154)</f>
        <v>0.38850041318291695</v>
      </c>
    </row>
    <row r="158" spans="1:28" x14ac:dyDescent="0.25">
      <c r="B158" s="9"/>
      <c r="C158" s="74"/>
      <c r="D158" s="167"/>
      <c r="E158" s="74"/>
      <c r="F158" s="167"/>
      <c r="G158" s="74"/>
      <c r="H158" s="167"/>
      <c r="I158" s="74"/>
      <c r="J158" s="167"/>
      <c r="K158" s="74"/>
      <c r="L158" s="167"/>
      <c r="M158" s="74"/>
      <c r="N158" s="167"/>
      <c r="O158" s="74"/>
      <c r="P158" s="167"/>
      <c r="Q158" s="74"/>
      <c r="R158" s="167"/>
      <c r="S158" s="74"/>
      <c r="T158" s="167"/>
      <c r="U158" s="74"/>
      <c r="V158" s="167"/>
      <c r="W158" s="74"/>
      <c r="X158" s="167"/>
      <c r="Y158" s="74"/>
      <c r="Z158" s="167"/>
      <c r="AA158" s="74"/>
      <c r="AB158" s="167"/>
    </row>
    <row r="159" spans="1:28" x14ac:dyDescent="0.25">
      <c r="B159" s="9" t="s">
        <v>41</v>
      </c>
      <c r="C159" s="158">
        <v>1012.4137899999999</v>
      </c>
      <c r="D159" s="165">
        <f t="shared" si="51"/>
        <v>0.31498580234213214</v>
      </c>
      <c r="E159" s="158">
        <v>1004.81918</v>
      </c>
      <c r="F159" s="165">
        <f>IF(E$154=0,"N.D.",E159/E$154)</f>
        <v>0.31945420332761287</v>
      </c>
      <c r="G159" s="158">
        <v>1043.58115</v>
      </c>
      <c r="H159" s="165">
        <f>IF(G$154=0,"N.D.",G159/G$154)</f>
        <v>0.2879138620986047</v>
      </c>
      <c r="I159" s="158">
        <v>1026.4192399999999</v>
      </c>
      <c r="J159" s="165">
        <f>IF(I$154=0,"N.D.",I159/I$154)</f>
        <v>0.30186944768152474</v>
      </c>
      <c r="K159" s="158">
        <v>1050.9660699999999</v>
      </c>
      <c r="L159" s="165">
        <f>IF(K$154=0,"N.D.",K159/K$154)</f>
        <v>0.3116825449879938</v>
      </c>
      <c r="M159" s="158">
        <v>1077.0629900000001</v>
      </c>
      <c r="N159" s="165">
        <f>IF(M$154=0,"N.D.",M159/M$154)</f>
        <v>0.32684048910806324</v>
      </c>
      <c r="O159" s="158">
        <v>1004.6574600000001</v>
      </c>
      <c r="P159" s="165">
        <f>IF(O$154=0,"N.D.",O159/O$154)</f>
        <v>0.29715578988472879</v>
      </c>
      <c r="Q159" s="158">
        <v>1002.37884</v>
      </c>
      <c r="R159" s="165">
        <f>IF(Q$154=0,"N.D.",Q159/Q$154)</f>
        <v>0.29849250094568042</v>
      </c>
      <c r="S159" s="158">
        <v>1008.1018100000001</v>
      </c>
      <c r="T159" s="165">
        <f>IF(S$154=0,"N.D.",S159/S$154)</f>
        <v>0.31238197693403641</v>
      </c>
      <c r="U159" s="158">
        <v>1028.4663700000001</v>
      </c>
      <c r="V159" s="165">
        <f>IF(U$154=0,"N.D.",U159/U$154)</f>
        <v>0.30741279306110203</v>
      </c>
      <c r="W159" s="158">
        <v>990.51337999999998</v>
      </c>
      <c r="X159" s="165">
        <v>0.30391831093900079</v>
      </c>
      <c r="Y159" s="158">
        <v>979.70693000000006</v>
      </c>
      <c r="Z159" s="165">
        <f>IF(Y$154=0,"N.D.",Y159/Y$154)</f>
        <v>0.29221599512230317</v>
      </c>
      <c r="AA159" s="158">
        <f>+AA14+AA43+AA72+AA101+AA130+AA189</f>
        <v>12229.107210000004</v>
      </c>
      <c r="AB159" s="165">
        <f>IF(AA$154=0,"N.D.",AA159/AA$154)</f>
        <v>0.30787846036935446</v>
      </c>
    </row>
    <row r="160" spans="1:28" x14ac:dyDescent="0.25">
      <c r="B160" s="9" t="s">
        <v>42</v>
      </c>
      <c r="C160" s="154">
        <v>183.90543000000002</v>
      </c>
      <c r="D160" s="166">
        <f t="shared" si="51"/>
        <v>5.7217315682380053E-2</v>
      </c>
      <c r="E160" s="154">
        <v>182.68237999999999</v>
      </c>
      <c r="F160" s="166">
        <f>IF(E$154=0,"N.D.",E160/E$154)</f>
        <v>5.8078762155885831E-2</v>
      </c>
      <c r="G160" s="154">
        <v>176.68868000000001</v>
      </c>
      <c r="H160" s="166">
        <f>IF(G$154=0,"N.D.",G160/G$154)</f>
        <v>4.8746683713005445E-2</v>
      </c>
      <c r="I160" s="154">
        <v>172.67991999999998</v>
      </c>
      <c r="J160" s="166">
        <f>IF(I$154=0,"N.D.",I160/I$154)</f>
        <v>5.0785088631122965E-2</v>
      </c>
      <c r="K160" s="154">
        <v>210.12078</v>
      </c>
      <c r="L160" s="166">
        <f>IF(K$154=0,"N.D.",K160/K$154)</f>
        <v>6.231502741593014E-2</v>
      </c>
      <c r="M160" s="154">
        <v>180.36579000000003</v>
      </c>
      <c r="N160" s="166">
        <f>IF(M$154=0,"N.D.",M160/M$154)</f>
        <v>5.4732957653630107E-2</v>
      </c>
      <c r="O160" s="154">
        <v>171.60853999999998</v>
      </c>
      <c r="P160" s="166">
        <f>IF(O$154=0,"N.D.",O160/O$154)</f>
        <v>5.0758067585209656E-2</v>
      </c>
      <c r="Q160" s="154">
        <v>218.50415000000001</v>
      </c>
      <c r="R160" s="166">
        <f>IF(Q$154=0,"N.D.",Q160/Q$154)</f>
        <v>6.5067066061081355E-2</v>
      </c>
      <c r="S160" s="154">
        <v>166.22757000000001</v>
      </c>
      <c r="T160" s="166">
        <f>IF(S$154=0,"N.D.",S160/S$154)</f>
        <v>5.1509179353165645E-2</v>
      </c>
      <c r="U160" s="154">
        <v>174.82680999999997</v>
      </c>
      <c r="V160" s="166">
        <f>IF(U$154=0,"N.D.",U160/U$154)</f>
        <v>5.2256446619700934E-2</v>
      </c>
      <c r="W160" s="154">
        <v>222.54967000000002</v>
      </c>
      <c r="X160" s="166">
        <v>5.0995025079668896E-2</v>
      </c>
      <c r="Y160" s="154">
        <v>188.08559</v>
      </c>
      <c r="Z160" s="166">
        <f>IF(Y$154=0,"N.D.",Y160/Y$154)</f>
        <v>5.610006030070188E-2</v>
      </c>
      <c r="AA160" s="154">
        <f>+AA15+AA44+AA73+AA102+AA131+AA190</f>
        <v>2248.2453099999998</v>
      </c>
      <c r="AB160" s="166">
        <f>IF(AA$154=0,"N.D.",AA160/AA$154)</f>
        <v>5.6601540299639076E-2</v>
      </c>
    </row>
    <row r="161" spans="2:28" x14ac:dyDescent="0.25">
      <c r="B161" s="102" t="s">
        <v>43</v>
      </c>
      <c r="C161" s="154">
        <v>114.30674999999999</v>
      </c>
      <c r="D161" s="166">
        <f t="shared" si="51"/>
        <v>3.556352522803103E-2</v>
      </c>
      <c r="E161" s="154">
        <v>114.30674999999999</v>
      </c>
      <c r="F161" s="166">
        <f>IF(E$154=0,"N.D.",E161/E$154)</f>
        <v>3.6340639672322546E-2</v>
      </c>
      <c r="G161" s="154">
        <v>114.30674999999999</v>
      </c>
      <c r="H161" s="166">
        <f>IF(G$154=0,"N.D.",G161/G$154)</f>
        <v>3.1536117585527185E-2</v>
      </c>
      <c r="I161" s="154">
        <v>114.30674999999999</v>
      </c>
      <c r="J161" s="166">
        <f>IF(I$154=0,"N.D.",I161/I$154)</f>
        <v>3.3617564971570611E-2</v>
      </c>
      <c r="K161" s="154">
        <v>114.38175</v>
      </c>
      <c r="L161" s="166">
        <f>IF(K$154=0,"N.D.",K161/K$154)</f>
        <v>3.3921927603410132E-2</v>
      </c>
      <c r="M161" s="154">
        <v>108.48362999999999</v>
      </c>
      <c r="N161" s="166">
        <f>IF(M$154=0,"N.D.",M161/M$154)</f>
        <v>3.2919934134416927E-2</v>
      </c>
      <c r="O161" s="154">
        <v>111.29275</v>
      </c>
      <c r="P161" s="166">
        <f>IF(O$154=0,"N.D.",O161/O$154)</f>
        <v>3.2917970901936718E-2</v>
      </c>
      <c r="Q161" s="154">
        <v>111.29275</v>
      </c>
      <c r="R161" s="166">
        <f>IF(Q$154=0,"N.D.",Q161/Q$154)</f>
        <v>3.3141213639967075E-2</v>
      </c>
      <c r="S161" s="154">
        <v>111.29275</v>
      </c>
      <c r="T161" s="166">
        <f>IF(S$154=0,"N.D.",S161/S$154)</f>
        <v>3.4486446625292218E-2</v>
      </c>
      <c r="U161" s="154">
        <v>111.29275</v>
      </c>
      <c r="V161" s="166">
        <f>IF(U$154=0,"N.D.",U161/U$154)</f>
        <v>3.3265856933125545E-2</v>
      </c>
      <c r="W161" s="154">
        <v>111.29275</v>
      </c>
      <c r="X161" s="166">
        <v>3.2177359162237656E-2</v>
      </c>
      <c r="Y161" s="154">
        <v>111.29275</v>
      </c>
      <c r="Z161" s="166">
        <f>IF(Y$154=0,"N.D.",Y161/Y$154)</f>
        <v>3.3195153259911826E-2</v>
      </c>
      <c r="AA161" s="154">
        <f>+AA16+AA45+AA74+AA103+AA132+AA191</f>
        <v>1347.84888</v>
      </c>
      <c r="AB161" s="166">
        <f>IF(AA$154=0,"N.D.",AA161/AA$154)</f>
        <v>3.3933273366483038E-2</v>
      </c>
    </row>
    <row r="162" spans="2:28" ht="13" x14ac:dyDescent="0.3">
      <c r="B162" s="9" t="s">
        <v>44</v>
      </c>
      <c r="C162" s="5">
        <v>1310.6259699999998</v>
      </c>
      <c r="D162" s="30">
        <f t="shared" si="51"/>
        <v>0.40776664325254314</v>
      </c>
      <c r="E162" s="5">
        <v>1301.8083100000001</v>
      </c>
      <c r="F162" s="30">
        <f>IF(E$154=0,"N.D.",E162/E$154)</f>
        <v>0.41387360515582128</v>
      </c>
      <c r="G162" s="5">
        <v>1334.5765799999999</v>
      </c>
      <c r="H162" s="30">
        <f>IF(G$154=0,"N.D.",G162/G$154)</f>
        <v>0.3681966633971373</v>
      </c>
      <c r="I162" s="5">
        <v>1313.4059099999999</v>
      </c>
      <c r="J162" s="30">
        <f>IF(I$154=0,"N.D.",I162/I$154)</f>
        <v>0.38627210128421835</v>
      </c>
      <c r="K162" s="5">
        <v>1375.4685999999999</v>
      </c>
      <c r="L162" s="30">
        <f>IF(K$154=0,"N.D.",K162/K$154)</f>
        <v>0.40791950000733407</v>
      </c>
      <c r="M162" s="5">
        <v>1365.9124099999997</v>
      </c>
      <c r="N162" s="30">
        <f>IF(M$154=0,"N.D.",M162/M$154)</f>
        <v>0.41449338089611015</v>
      </c>
      <c r="O162" s="5">
        <v>1287.5587499999999</v>
      </c>
      <c r="P162" s="30">
        <f>IF(O$154=0,"N.D.",O162/O$154)</f>
        <v>0.38083182837187513</v>
      </c>
      <c r="Q162" s="5">
        <v>1332.1757399999999</v>
      </c>
      <c r="R162" s="30">
        <f>IF(Q$154=0,"N.D.",Q162/Q$154)</f>
        <v>0.39670078064672881</v>
      </c>
      <c r="S162" s="5">
        <v>1285.62213</v>
      </c>
      <c r="T162" s="30">
        <f>IF(S$154=0,"N.D.",S162/S$154)</f>
        <v>0.39837760291249419</v>
      </c>
      <c r="U162" s="5">
        <v>1314.5859300000002</v>
      </c>
      <c r="V162" s="30">
        <f>IF(U$154=0,"N.D.",U162/U$154)</f>
        <v>0.39293509661392856</v>
      </c>
      <c r="W162" s="5">
        <v>1324.3557999999998</v>
      </c>
      <c r="X162" s="30">
        <v>0.38709069518090744</v>
      </c>
      <c r="Y162" s="5">
        <v>1279.08527</v>
      </c>
      <c r="Z162" s="30">
        <f>IF(Y$154=0,"N.D.",Y162/Y$154)</f>
        <v>0.38151120868291688</v>
      </c>
      <c r="AA162" s="5">
        <f>+AA17+AA46+AA75+AA104+AA133+AA192</f>
        <v>15825.201399999998</v>
      </c>
      <c r="AB162" s="30">
        <f>IF(AA$154=0,"N.D.",AA162/AA$154)</f>
        <v>0.39841327403547644</v>
      </c>
    </row>
    <row r="163" spans="2:28" ht="13" x14ac:dyDescent="0.3">
      <c r="B163" s="1" t="s">
        <v>45</v>
      </c>
      <c r="C163" s="5">
        <v>-38.774769999999918</v>
      </c>
      <c r="D163" s="30">
        <f t="shared" si="51"/>
        <v>-1.206374523907029E-2</v>
      </c>
      <c r="E163" s="5">
        <v>-13.489749999999958</v>
      </c>
      <c r="F163" s="30">
        <f>IF(E$154=0,"N.D.",E163/E$154)</f>
        <v>-4.2886893732847061E-3</v>
      </c>
      <c r="G163" s="5">
        <v>145.87167999999994</v>
      </c>
      <c r="H163" s="30">
        <f>IF(G$154=0,"N.D.",G163/G$154)</f>
        <v>4.0244573945794032E-2</v>
      </c>
      <c r="I163" s="5">
        <v>71.724470000000281</v>
      </c>
      <c r="J163" s="30">
        <f>IF(I$154=0,"N.D.",I163/I$154)</f>
        <v>2.1094135125672601E-2</v>
      </c>
      <c r="K163" s="5">
        <v>-58.393199999999808</v>
      </c>
      <c r="L163" s="30">
        <f>IF(K$154=0,"N.D.",K163/K$154)</f>
        <v>-1.7317534509932238E-2</v>
      </c>
      <c r="M163" s="5">
        <v>-59.244370000000188</v>
      </c>
      <c r="N163" s="30">
        <f>IF(M$154=0,"N.D.",M163/M$154)</f>
        <v>-1.7978018971480145E-2</v>
      </c>
      <c r="O163" s="5">
        <v>-20.875810000000286</v>
      </c>
      <c r="P163" s="30">
        <f>IF(O$154=0,"N.D.",O163/O$154)</f>
        <v>-6.1746098118194478E-3</v>
      </c>
      <c r="Q163" s="5">
        <v>-70.979209999999895</v>
      </c>
      <c r="R163" s="30">
        <f>IF(Q$154=0,"N.D.",Q163/Q$154)</f>
        <v>-2.1136481600158897E-2</v>
      </c>
      <c r="S163" s="5">
        <v>-55.868910000000049</v>
      </c>
      <c r="T163" s="30">
        <f>IF(S$154=0,"N.D.",S163/S$154)</f>
        <v>-1.7312180557388115E-2</v>
      </c>
      <c r="U163" s="5">
        <v>-54.288640000000029</v>
      </c>
      <c r="V163" s="30">
        <f>IF(U$154=0,"N.D.",U163/U$154)</f>
        <v>-1.6227095936922734E-2</v>
      </c>
      <c r="W163" s="5">
        <v>-240.31714000000011</v>
      </c>
      <c r="X163" s="30">
        <v>-1.9992223796711367E-2</v>
      </c>
      <c r="Y163" s="5">
        <v>0.91080999999977941</v>
      </c>
      <c r="Z163" s="30">
        <f>IF(Y$154=0,"N.D.",Y163/Y$154)</f>
        <v>2.7166619155922529E-4</v>
      </c>
      <c r="AA163" s="5">
        <f>+AA18+AA47+AA76+AA105+AA134+AA193</f>
        <v>-393.74446000000069</v>
      </c>
      <c r="AB163" s="30">
        <f>IF(AA$154=0,"N.D.",AA163/AA$154)</f>
        <v>-9.9128608525595758E-3</v>
      </c>
    </row>
    <row r="164" spans="2:28" x14ac:dyDescent="0.25">
      <c r="B164" s="9"/>
      <c r="C164" s="74"/>
      <c r="D164" s="168"/>
      <c r="E164" s="74"/>
      <c r="F164" s="168"/>
      <c r="G164" s="74"/>
      <c r="H164" s="168"/>
      <c r="I164" s="74"/>
      <c r="J164" s="168"/>
      <c r="K164" s="74"/>
      <c r="L164" s="168"/>
      <c r="M164" s="74"/>
      <c r="N164" s="168"/>
      <c r="O164" s="74"/>
      <c r="P164" s="168"/>
      <c r="Q164" s="74"/>
      <c r="R164" s="168"/>
      <c r="S164" s="74"/>
      <c r="T164" s="168"/>
      <c r="U164" s="74"/>
      <c r="V164" s="168"/>
      <c r="W164" s="74"/>
      <c r="X164" s="168"/>
      <c r="Y164" s="74"/>
      <c r="Z164" s="168"/>
      <c r="AA164" s="169"/>
      <c r="AB164" s="168"/>
    </row>
    <row r="165" spans="2:28" x14ac:dyDescent="0.25">
      <c r="B165" s="9"/>
      <c r="C165" s="158">
        <v>0</v>
      </c>
      <c r="D165" s="165">
        <f t="shared" si="51"/>
        <v>0</v>
      </c>
      <c r="E165" s="158">
        <v>0</v>
      </c>
      <c r="F165" s="165">
        <f t="shared" ref="F165:F171" si="52">IF(E$154=0,"N.D.",E165/E$154)</f>
        <v>0</v>
      </c>
      <c r="G165" s="158">
        <v>0</v>
      </c>
      <c r="H165" s="165">
        <f t="shared" ref="H165:H171" si="53">IF(G$154=0,"N.D.",G165/G$154)</f>
        <v>0</v>
      </c>
      <c r="I165" s="158">
        <v>0</v>
      </c>
      <c r="J165" s="165">
        <f t="shared" ref="J165:J171" si="54">IF(I$154=0,"N.D.",I165/I$154)</f>
        <v>0</v>
      </c>
      <c r="K165" s="158">
        <v>0</v>
      </c>
      <c r="L165" s="165">
        <f t="shared" ref="L165:L171" si="55">IF(K$154=0,"N.D.",K165/K$154)</f>
        <v>0</v>
      </c>
      <c r="M165" s="158">
        <v>0</v>
      </c>
      <c r="N165" s="165">
        <f t="shared" ref="N165:N171" si="56">IF(M$154=0,"N.D.",M165/M$154)</f>
        <v>0</v>
      </c>
      <c r="O165" s="158">
        <v>0</v>
      </c>
      <c r="P165" s="165">
        <f t="shared" ref="P165:P171" si="57">IF(O$154=0,"N.D.",O165/O$154)</f>
        <v>0</v>
      </c>
      <c r="Q165" s="158">
        <v>0</v>
      </c>
      <c r="R165" s="165">
        <f t="shared" ref="R165:R171" si="58">IF(Q$154=0,"N.D.",Q165/Q$154)</f>
        <v>0</v>
      </c>
      <c r="S165" s="158">
        <v>0</v>
      </c>
      <c r="T165" s="165">
        <f t="shared" ref="T165:T171" si="59">IF(S$154=0,"N.D.",S165/S$154)</f>
        <v>0</v>
      </c>
      <c r="U165" s="158">
        <v>0</v>
      </c>
      <c r="V165" s="165">
        <f t="shared" ref="V165:V171" si="60">IF(U$154=0,"N.D.",U165/U$154)</f>
        <v>0</v>
      </c>
      <c r="W165" s="158">
        <v>0</v>
      </c>
      <c r="X165" s="165">
        <v>0</v>
      </c>
      <c r="Y165" s="158">
        <v>0</v>
      </c>
      <c r="Z165" s="165">
        <f t="shared" ref="Z165:Z171" si="61">IF(Y$154=0,"N.D.",Y165/Y$154)</f>
        <v>0</v>
      </c>
      <c r="AA165" s="158">
        <f>+AA20+AA49+AA78+AA107+AA136+AA195</f>
        <v>0</v>
      </c>
      <c r="AB165" s="165">
        <f t="shared" ref="AB165:AB171" si="62">IF(AA$154=0,"N.D.",AA165/AA$154)</f>
        <v>0</v>
      </c>
    </row>
    <row r="166" spans="2:28" x14ac:dyDescent="0.25">
      <c r="B166" s="9" t="s">
        <v>52</v>
      </c>
      <c r="C166" s="154">
        <v>-64.026870000000002</v>
      </c>
      <c r="D166" s="166">
        <f t="shared" si="51"/>
        <v>-1.9920268982512961E-2</v>
      </c>
      <c r="E166" s="154">
        <v>-61.376249999999999</v>
      </c>
      <c r="F166" s="166">
        <f t="shared" si="52"/>
        <v>-1.9512865038052319E-2</v>
      </c>
      <c r="G166" s="154">
        <v>-25.534800000000004</v>
      </c>
      <c r="H166" s="166">
        <f t="shared" si="53"/>
        <v>-7.044802300152175E-3</v>
      </c>
      <c r="I166" s="154">
        <v>-58.861530000000002</v>
      </c>
      <c r="J166" s="166">
        <f t="shared" si="54"/>
        <v>-1.7311150121065055E-2</v>
      </c>
      <c r="K166" s="154">
        <v>-44.564350000000005</v>
      </c>
      <c r="L166" s="166">
        <f t="shared" si="55"/>
        <v>-1.3216344866143684E-2</v>
      </c>
      <c r="M166" s="154">
        <v>-91.784150000000011</v>
      </c>
      <c r="N166" s="166">
        <f t="shared" si="56"/>
        <v>-2.7852388167536834E-2</v>
      </c>
      <c r="O166" s="154">
        <v>-119.14348999999999</v>
      </c>
      <c r="P166" s="166">
        <f t="shared" si="57"/>
        <v>-3.524004876306127E-2</v>
      </c>
      <c r="Q166" s="154">
        <v>-54.959949999999999</v>
      </c>
      <c r="R166" s="166">
        <f t="shared" si="58"/>
        <v>-1.6366200355296356E-2</v>
      </c>
      <c r="S166" s="154">
        <v>-51.534750000000003</v>
      </c>
      <c r="T166" s="166">
        <f t="shared" si="59"/>
        <v>-1.5969148082177663E-2</v>
      </c>
      <c r="U166" s="154">
        <v>-54.102409999999992</v>
      </c>
      <c r="V166" s="166">
        <f t="shared" si="60"/>
        <v>-1.6171431030298923E-2</v>
      </c>
      <c r="W166" s="154">
        <v>-44.809699999999999</v>
      </c>
      <c r="X166" s="166">
        <v>-1.8118089471229393E-2</v>
      </c>
      <c r="Y166" s="154">
        <v>-64.908510000000021</v>
      </c>
      <c r="Z166" s="166">
        <f t="shared" si="61"/>
        <v>-1.9360182377760635E-2</v>
      </c>
      <c r="AA166" s="154">
        <f>+AA21+AA50+AA79+AA108+AA137+AA196</f>
        <v>-735.60676000000001</v>
      </c>
      <c r="AB166" s="166">
        <f t="shared" si="62"/>
        <v>-1.8519542990096099E-2</v>
      </c>
    </row>
    <row r="167" spans="2:28" x14ac:dyDescent="0.25">
      <c r="B167" s="9" t="s">
        <v>184</v>
      </c>
      <c r="C167" s="154">
        <v>71.447519999999997</v>
      </c>
      <c r="D167" s="166">
        <f>IF(C$154=0,"N.D.",C167/C$154)</f>
        <v>2.2229008173185325E-2</v>
      </c>
      <c r="E167" s="154">
        <v>71.945300000000017</v>
      </c>
      <c r="F167" s="166">
        <f t="shared" si="52"/>
        <v>2.2872999393449188E-2</v>
      </c>
      <c r="G167" s="154">
        <v>67.197860000000006</v>
      </c>
      <c r="H167" s="166">
        <f t="shared" si="53"/>
        <v>1.8539234248684297E-2</v>
      </c>
      <c r="I167" s="154">
        <v>74.312039999999982</v>
      </c>
      <c r="J167" s="166">
        <f t="shared" si="54"/>
        <v>2.1855138326213927E-2</v>
      </c>
      <c r="K167" s="154">
        <v>74.115610000000004</v>
      </c>
      <c r="L167" s="166">
        <f t="shared" si="55"/>
        <v>2.198029280634874E-2</v>
      </c>
      <c r="M167" s="154">
        <v>78.052570000000003</v>
      </c>
      <c r="N167" s="166">
        <f t="shared" si="56"/>
        <v>2.3685467230603979E-2</v>
      </c>
      <c r="O167" s="154">
        <v>74.66476999999999</v>
      </c>
      <c r="P167" s="166">
        <f t="shared" si="57"/>
        <v>2.2084212370166046E-2</v>
      </c>
      <c r="Q167" s="154">
        <v>76.156849999999991</v>
      </c>
      <c r="R167" s="166">
        <f t="shared" si="58"/>
        <v>2.2678300572112075E-2</v>
      </c>
      <c r="S167" s="154">
        <v>78.600700000000003</v>
      </c>
      <c r="T167" s="166">
        <f t="shared" si="59"/>
        <v>2.4356113450881626E-2</v>
      </c>
      <c r="U167" s="154">
        <v>71.690689999999989</v>
      </c>
      <c r="V167" s="166">
        <f t="shared" si="60"/>
        <v>2.1428639664102592E-2</v>
      </c>
      <c r="W167" s="154">
        <v>106.98018</v>
      </c>
      <c r="X167" s="166">
        <v>2.2775409739057364E-2</v>
      </c>
      <c r="Y167" s="154">
        <v>73.93701999999999</v>
      </c>
      <c r="Z167" s="166">
        <f t="shared" si="61"/>
        <v>2.2053105080799652E-2</v>
      </c>
      <c r="AA167" s="154">
        <f>+AA22+AA51+AA80+AA109+AA138+AA197</f>
        <v>919.10110999999995</v>
      </c>
      <c r="AB167" s="166">
        <f t="shared" si="62"/>
        <v>2.3139173597167655E-2</v>
      </c>
    </row>
    <row r="168" spans="2:28" x14ac:dyDescent="0.25">
      <c r="B168" s="1" t="s">
        <v>47</v>
      </c>
      <c r="C168" s="154">
        <v>0</v>
      </c>
      <c r="D168" s="166">
        <f>IF(C$154=0,"N.D.",C168/C$154)</f>
        <v>0</v>
      </c>
      <c r="E168" s="154">
        <v>0</v>
      </c>
      <c r="F168" s="166">
        <f t="shared" si="52"/>
        <v>0</v>
      </c>
      <c r="G168" s="154">
        <v>0</v>
      </c>
      <c r="H168" s="166">
        <f t="shared" si="53"/>
        <v>0</v>
      </c>
      <c r="I168" s="154">
        <v>0</v>
      </c>
      <c r="J168" s="166">
        <f t="shared" si="54"/>
        <v>0</v>
      </c>
      <c r="K168" s="154">
        <v>0</v>
      </c>
      <c r="L168" s="166">
        <f t="shared" si="55"/>
        <v>0</v>
      </c>
      <c r="M168" s="154">
        <v>0</v>
      </c>
      <c r="N168" s="166">
        <f t="shared" si="56"/>
        <v>0</v>
      </c>
      <c r="O168" s="154">
        <v>0</v>
      </c>
      <c r="P168" s="166">
        <f t="shared" si="57"/>
        <v>0</v>
      </c>
      <c r="Q168" s="154">
        <v>0</v>
      </c>
      <c r="R168" s="166">
        <f t="shared" si="58"/>
        <v>0</v>
      </c>
      <c r="S168" s="154">
        <v>0</v>
      </c>
      <c r="T168" s="166">
        <f t="shared" si="59"/>
        <v>0</v>
      </c>
      <c r="U168" s="154">
        <v>0</v>
      </c>
      <c r="V168" s="166">
        <f t="shared" si="60"/>
        <v>0</v>
      </c>
      <c r="W168" s="154">
        <v>0</v>
      </c>
      <c r="X168" s="166">
        <v>0</v>
      </c>
      <c r="Y168" s="154">
        <v>0</v>
      </c>
      <c r="Z168" s="166">
        <f t="shared" si="61"/>
        <v>0</v>
      </c>
      <c r="AA168" s="154">
        <f>+AA23+AA52+AA81+AA110+AA139+AA198</f>
        <v>0</v>
      </c>
      <c r="AB168" s="166">
        <f t="shared" si="62"/>
        <v>0</v>
      </c>
    </row>
    <row r="169" spans="2:28" x14ac:dyDescent="0.25">
      <c r="B169" s="9"/>
      <c r="C169" s="154">
        <v>0</v>
      </c>
      <c r="D169" s="166">
        <f t="shared" si="51"/>
        <v>0</v>
      </c>
      <c r="E169" s="154">
        <v>0</v>
      </c>
      <c r="F169" s="166">
        <f t="shared" si="52"/>
        <v>0</v>
      </c>
      <c r="G169" s="154">
        <v>0</v>
      </c>
      <c r="H169" s="166">
        <f t="shared" si="53"/>
        <v>0</v>
      </c>
      <c r="I169" s="154">
        <v>0</v>
      </c>
      <c r="J169" s="166">
        <f t="shared" si="54"/>
        <v>0</v>
      </c>
      <c r="K169" s="154">
        <v>0</v>
      </c>
      <c r="L169" s="166">
        <f t="shared" si="55"/>
        <v>0</v>
      </c>
      <c r="M169" s="154">
        <v>0</v>
      </c>
      <c r="N169" s="166">
        <f t="shared" si="56"/>
        <v>0</v>
      </c>
      <c r="O169" s="154">
        <v>0</v>
      </c>
      <c r="P169" s="166">
        <f t="shared" si="57"/>
        <v>0</v>
      </c>
      <c r="Q169" s="154">
        <v>0</v>
      </c>
      <c r="R169" s="166">
        <f t="shared" si="58"/>
        <v>0</v>
      </c>
      <c r="S169" s="154">
        <v>0</v>
      </c>
      <c r="T169" s="166">
        <f t="shared" si="59"/>
        <v>0</v>
      </c>
      <c r="U169" s="154">
        <v>0</v>
      </c>
      <c r="V169" s="166">
        <f t="shared" si="60"/>
        <v>0</v>
      </c>
      <c r="W169" s="154">
        <v>0</v>
      </c>
      <c r="X169" s="166">
        <v>0</v>
      </c>
      <c r="Y169" s="154">
        <v>0</v>
      </c>
      <c r="Z169" s="166">
        <f t="shared" si="61"/>
        <v>0</v>
      </c>
      <c r="AA169" s="154">
        <f>+AA24+AA53+AA82+AA111+AA140+AA199</f>
        <v>0</v>
      </c>
      <c r="AB169" s="166">
        <f t="shared" si="62"/>
        <v>0</v>
      </c>
    </row>
    <row r="170" spans="2:28" ht="13" x14ac:dyDescent="0.3">
      <c r="B170" s="9" t="s">
        <v>48</v>
      </c>
      <c r="C170" s="5">
        <v>7.4206499999999949</v>
      </c>
      <c r="D170" s="30">
        <f t="shared" si="51"/>
        <v>2.3087391906723644E-3</v>
      </c>
      <c r="E170" s="5">
        <v>10.569050000000018</v>
      </c>
      <c r="F170" s="30">
        <f t="shared" si="52"/>
        <v>3.3601343553968711E-3</v>
      </c>
      <c r="G170" s="5">
        <v>41.663060000000002</v>
      </c>
      <c r="H170" s="30">
        <f t="shared" si="53"/>
        <v>1.1494431948532122E-2</v>
      </c>
      <c r="I170" s="5">
        <v>15.45050999999998</v>
      </c>
      <c r="J170" s="30">
        <f t="shared" si="54"/>
        <v>4.5439882051488715E-3</v>
      </c>
      <c r="K170" s="5">
        <v>29.551259999999999</v>
      </c>
      <c r="L170" s="30">
        <f t="shared" si="55"/>
        <v>8.7639479402050555E-3</v>
      </c>
      <c r="M170" s="5">
        <v>-13.731580000000008</v>
      </c>
      <c r="N170" s="30">
        <f t="shared" si="56"/>
        <v>-4.1669209369328544E-3</v>
      </c>
      <c r="O170" s="5">
        <v>-44.478719999999996</v>
      </c>
      <c r="P170" s="30">
        <f t="shared" si="57"/>
        <v>-1.3155836392895229E-2</v>
      </c>
      <c r="Q170" s="5">
        <v>21.196899999999992</v>
      </c>
      <c r="R170" s="30">
        <f t="shared" si="58"/>
        <v>6.3121002168157209E-3</v>
      </c>
      <c r="S170" s="5">
        <v>27.065950000000001</v>
      </c>
      <c r="T170" s="30">
        <f t="shared" si="59"/>
        <v>8.3869653687039629E-3</v>
      </c>
      <c r="U170" s="5">
        <v>17.588279999999997</v>
      </c>
      <c r="V170" s="30">
        <f t="shared" si="60"/>
        <v>5.2572086338036686E-3</v>
      </c>
      <c r="W170" s="5">
        <v>62.170480000000005</v>
      </c>
      <c r="X170" s="30">
        <v>4.6573202678279729E-3</v>
      </c>
      <c r="Y170" s="5">
        <v>9.0285099999999687</v>
      </c>
      <c r="Z170" s="30">
        <f t="shared" si="61"/>
        <v>2.6929227030390163E-3</v>
      </c>
      <c r="AA170" s="5">
        <f>+AA166+AA167</f>
        <v>183.49434999999994</v>
      </c>
      <c r="AB170" s="30">
        <f t="shared" si="62"/>
        <v>4.6196306070715541E-3</v>
      </c>
    </row>
    <row r="171" spans="2:28" ht="13" x14ac:dyDescent="0.3">
      <c r="B171" s="6" t="s">
        <v>49</v>
      </c>
      <c r="C171" s="5">
        <v>-46.195419999999913</v>
      </c>
      <c r="D171" s="30">
        <f t="shared" si="51"/>
        <v>-1.4372484429742656E-2</v>
      </c>
      <c r="E171" s="5">
        <v>-24.058799999999977</v>
      </c>
      <c r="F171" s="30">
        <f t="shared" si="52"/>
        <v>-7.6488237286815768E-3</v>
      </c>
      <c r="G171" s="5">
        <v>104.20861999999994</v>
      </c>
      <c r="H171" s="30">
        <f t="shared" si="53"/>
        <v>2.8750141997261908E-2</v>
      </c>
      <c r="I171" s="5">
        <v>56.273960000000301</v>
      </c>
      <c r="J171" s="30">
        <f t="shared" si="54"/>
        <v>1.6550146920523732E-2</v>
      </c>
      <c r="K171" s="5">
        <v>-87.944459999999808</v>
      </c>
      <c r="L171" s="30">
        <f t="shared" si="55"/>
        <v>-2.6081482450137295E-2</v>
      </c>
      <c r="M171" s="5">
        <v>-45.51279000000018</v>
      </c>
      <c r="N171" s="30">
        <f t="shared" si="56"/>
        <v>-1.3811098034547289E-2</v>
      </c>
      <c r="O171" s="5">
        <v>23.60290999999971</v>
      </c>
      <c r="P171" s="30">
        <f t="shared" si="57"/>
        <v>6.9812265810757805E-3</v>
      </c>
      <c r="Q171" s="5">
        <v>-92.176109999999881</v>
      </c>
      <c r="R171" s="30">
        <f t="shared" si="58"/>
        <v>-2.7448581816974616E-2</v>
      </c>
      <c r="S171" s="5">
        <v>-82.934860000000043</v>
      </c>
      <c r="T171" s="30">
        <f t="shared" si="59"/>
        <v>-2.5699145926092074E-2</v>
      </c>
      <c r="U171" s="5">
        <v>-71.876920000000027</v>
      </c>
      <c r="V171" s="30">
        <f t="shared" si="60"/>
        <v>-2.1484304570726403E-2</v>
      </c>
      <c r="W171" s="5">
        <v>-302.48762000000011</v>
      </c>
      <c r="X171" s="30">
        <v>-2.4649544064539342E-2</v>
      </c>
      <c r="Y171" s="5">
        <v>-8.1177000000001893</v>
      </c>
      <c r="Z171" s="30">
        <f t="shared" si="61"/>
        <v>-2.4212565114797909E-3</v>
      </c>
      <c r="AA171" s="5">
        <f>+AA163-AA170</f>
        <v>-577.23881000000063</v>
      </c>
      <c r="AB171" s="30">
        <f t="shared" si="62"/>
        <v>-1.453249145963113E-2</v>
      </c>
    </row>
    <row r="172" spans="2:28" x14ac:dyDescent="0.25">
      <c r="B172" s="9"/>
      <c r="C172" s="74"/>
      <c r="D172" s="167"/>
      <c r="E172" s="74"/>
      <c r="F172" s="167"/>
      <c r="G172" s="74"/>
      <c r="H172" s="167"/>
      <c r="I172" s="74"/>
      <c r="J172" s="167"/>
      <c r="K172" s="74"/>
      <c r="L172" s="167"/>
      <c r="M172" s="74"/>
      <c r="N172" s="167"/>
      <c r="O172" s="74"/>
      <c r="P172" s="167"/>
      <c r="Q172" s="74"/>
      <c r="R172" s="167"/>
      <c r="S172" s="74"/>
      <c r="T172" s="167"/>
      <c r="U172" s="74"/>
      <c r="V172" s="167"/>
      <c r="W172" s="74"/>
      <c r="X172" s="167"/>
      <c r="Y172" s="74"/>
      <c r="Z172" s="167"/>
      <c r="AA172" s="74"/>
      <c r="AB172" s="167"/>
    </row>
    <row r="173" spans="2:28" x14ac:dyDescent="0.25">
      <c r="B173" s="9" t="s">
        <v>50</v>
      </c>
      <c r="C173" s="158">
        <v>0</v>
      </c>
      <c r="D173" s="165">
        <f t="shared" si="51"/>
        <v>0</v>
      </c>
      <c r="E173" s="158">
        <v>0</v>
      </c>
      <c r="F173" s="165">
        <f>IF(E$154=0,"N.D.",E173/E$154)</f>
        <v>0</v>
      </c>
      <c r="G173" s="158">
        <v>0</v>
      </c>
      <c r="H173" s="165">
        <f>IF(G$154=0,"N.D.",G173/G$154)</f>
        <v>0</v>
      </c>
      <c r="I173" s="158">
        <v>50</v>
      </c>
      <c r="J173" s="165">
        <f>IF(I$154=0,"N.D.",I173/I$154)</f>
        <v>1.4704978040041648E-2</v>
      </c>
      <c r="K173" s="158">
        <v>0</v>
      </c>
      <c r="L173" s="165">
        <f>IF(K$154=0,"N.D.",K173/K$154)</f>
        <v>0</v>
      </c>
      <c r="M173" s="158">
        <v>0</v>
      </c>
      <c r="N173" s="165">
        <f>IF(M$154=0,"N.D.",M173/M$154)</f>
        <v>0</v>
      </c>
      <c r="O173" s="158">
        <v>0</v>
      </c>
      <c r="P173" s="165">
        <f>IF(O$154=0,"N.D.",O173/O$154)</f>
        <v>0</v>
      </c>
      <c r="Q173" s="158">
        <v>-50</v>
      </c>
      <c r="R173" s="165">
        <f>IF(Q$154=0,"N.D.",Q173/Q$154)</f>
        <v>-1.4889206008462849E-2</v>
      </c>
      <c r="S173" s="158">
        <v>0</v>
      </c>
      <c r="T173" s="165">
        <f>IF(S$154=0,"N.D.",S173/S$154)</f>
        <v>0</v>
      </c>
      <c r="U173" s="158">
        <v>0</v>
      </c>
      <c r="V173" s="165">
        <f>IF(U$154=0,"N.D.",U173/U$154)</f>
        <v>0</v>
      </c>
      <c r="W173" s="158">
        <v>0</v>
      </c>
      <c r="X173" s="165">
        <v>0</v>
      </c>
      <c r="Y173" s="158">
        <v>0</v>
      </c>
      <c r="Z173" s="165">
        <f>IF(Y$154=0,"N.D.",Y173/Y$154)</f>
        <v>0</v>
      </c>
      <c r="AA173" s="158">
        <f>+AA28+AA57+AA86+AA115+AA144+AA203</f>
        <v>0</v>
      </c>
      <c r="AB173" s="165">
        <f>IF(AA$154=0,"N.D.",AA173/AA$154)</f>
        <v>0</v>
      </c>
    </row>
    <row r="174" spans="2:28" x14ac:dyDescent="0.25">
      <c r="B174" s="80" t="s">
        <v>51</v>
      </c>
      <c r="C174" s="154">
        <v>4.1669999999999998</v>
      </c>
      <c r="D174" s="166">
        <f t="shared" si="51"/>
        <v>1.2964519560323892E-3</v>
      </c>
      <c r="E174" s="154">
        <v>4.1669999999999998</v>
      </c>
      <c r="F174" s="166">
        <f>IF(E$154=0,"N.D.",E174/E$154)</f>
        <v>1.3247813056933913E-3</v>
      </c>
      <c r="G174" s="154">
        <v>4.1669999999999998</v>
      </c>
      <c r="H174" s="166">
        <f>IF(G$154=0,"N.D.",G174/G$154)</f>
        <v>1.1496346626852026E-3</v>
      </c>
      <c r="I174" s="154">
        <v>4.1669999999999998</v>
      </c>
      <c r="J174" s="166">
        <f>IF(I$154=0,"N.D.",I174/I$154)</f>
        <v>1.2255128698570709E-3</v>
      </c>
      <c r="K174" s="154">
        <v>4.1669999999999998</v>
      </c>
      <c r="L174" s="166">
        <f>IF(K$154=0,"N.D.",K174/K$154)</f>
        <v>1.2357974268046258E-3</v>
      </c>
      <c r="M174" s="154">
        <v>4.1669999999999998</v>
      </c>
      <c r="N174" s="166">
        <f>IF(M$154=0,"N.D.",M174/M$154)</f>
        <v>1.2644982983894928E-3</v>
      </c>
      <c r="O174" s="154">
        <v>4.1669999999999998</v>
      </c>
      <c r="P174" s="166">
        <f>IF(O$154=0,"N.D.",O174/O$154)</f>
        <v>1.2325078205756466E-3</v>
      </c>
      <c r="Q174" s="154">
        <v>4.1669999999999998</v>
      </c>
      <c r="R174" s="166">
        <f>IF(Q$154=0,"N.D.",Q174/Q$154)</f>
        <v>1.2408664287452938E-3</v>
      </c>
      <c r="S174" s="154">
        <v>4.1669999999999998</v>
      </c>
      <c r="T174" s="166">
        <f>IF(S$154=0,"N.D.",S174/S$154)</f>
        <v>1.291234362414377E-3</v>
      </c>
      <c r="U174" s="154">
        <v>4.1669999999999998</v>
      </c>
      <c r="V174" s="166">
        <f>IF(U$154=0,"N.D.",U174/U$154)</f>
        <v>1.2455332970057271E-3</v>
      </c>
      <c r="W174" s="154">
        <v>5.33</v>
      </c>
      <c r="X174" s="166">
        <v>0</v>
      </c>
      <c r="Y174" s="154">
        <v>0</v>
      </c>
      <c r="Z174" s="166">
        <f>IF(Y$154=0,"N.D.",Y174/Y$154)</f>
        <v>0</v>
      </c>
      <c r="AA174" s="154">
        <f>+AA29+AA58+AA87+AA116+AA145+AA204</f>
        <v>47.000000000000007</v>
      </c>
      <c r="AB174" s="166">
        <f>IF(AA$154=0,"N.D.",AA174/AA$154)</f>
        <v>1.1832660707665557E-3</v>
      </c>
    </row>
    <row r="175" spans="2:28" ht="13" x14ac:dyDescent="0.3">
      <c r="B175" s="1" t="s">
        <v>53</v>
      </c>
      <c r="C175" s="5">
        <v>-50.362419999999922</v>
      </c>
      <c r="D175" s="30">
        <f t="shared" si="51"/>
        <v>-1.5668936385775049E-2</v>
      </c>
      <c r="E175" s="5">
        <v>-28.22579999999996</v>
      </c>
      <c r="F175" s="30">
        <f>IF(E$154=0,"N.D.",E175/E$154)</f>
        <v>-8.9736050343749638E-3</v>
      </c>
      <c r="G175" s="5">
        <v>100.04161999999994</v>
      </c>
      <c r="H175" s="30">
        <f>IF(G$154=0,"N.D.",G175/G$154)</f>
        <v>2.7600507334576706E-2</v>
      </c>
      <c r="I175" s="5">
        <v>2.1069600000002788</v>
      </c>
      <c r="J175" s="30">
        <f>IF(I$154=0,"N.D.",I175/I$154)</f>
        <v>6.19656010625005E-4</v>
      </c>
      <c r="K175" s="5">
        <v>-92.111459999999795</v>
      </c>
      <c r="L175" s="30">
        <f>IF(K$154=0,"N.D.",K175/K$154)</f>
        <v>-2.7317279876941918E-2</v>
      </c>
      <c r="M175" s="5">
        <v>-49.679790000000182</v>
      </c>
      <c r="N175" s="30">
        <f>IF(M$154=0,"N.D.",M175/M$154)</f>
        <v>-1.5075596332936782E-2</v>
      </c>
      <c r="O175" s="5">
        <v>19.435909999999716</v>
      </c>
      <c r="P175" s="30">
        <f>IF(O$154=0,"N.D.",O175/O$154)</f>
        <v>5.7487187605001358E-3</v>
      </c>
      <c r="Q175" s="5">
        <v>-46.343109999999889</v>
      </c>
      <c r="R175" s="30">
        <f>IF(Q$154=0,"N.D.",Q175/Q$154)</f>
        <v>-1.3800242237257062E-2</v>
      </c>
      <c r="S175" s="5">
        <v>-87.10186000000003</v>
      </c>
      <c r="T175" s="30">
        <f>IF(S$154=0,"N.D.",S175/S$154)</f>
        <v>-2.6990380288506449E-2</v>
      </c>
      <c r="U175" s="5">
        <v>-76.043920000000043</v>
      </c>
      <c r="V175" s="30">
        <f>IF(U$154=0,"N.D.",U175/U$154)</f>
        <v>-2.2729837867732135E-2</v>
      </c>
      <c r="W175" s="5">
        <v>-307.81762000000003</v>
      </c>
      <c r="X175" s="30">
        <v>-2.4649544064539338E-2</v>
      </c>
      <c r="Y175" s="5">
        <v>-8.1177000000002213</v>
      </c>
      <c r="Z175" s="30">
        <f>IF(Y$154=0,"N.D.",Y175/Y$154)</f>
        <v>-2.4212565114798005E-3</v>
      </c>
      <c r="AA175" s="5">
        <f>+AA30+AA59+AA88+AA117+AA146+AA205</f>
        <v>-624.23881000000017</v>
      </c>
      <c r="AB175" s="30">
        <f>IF(AA$154=0,"N.D.",AA175/AA$154)</f>
        <v>-1.5715757530397674E-2</v>
      </c>
    </row>
    <row r="176" spans="2:28" ht="13" x14ac:dyDescent="0.3">
      <c r="B176" s="1" t="s">
        <v>122</v>
      </c>
      <c r="C176" s="5">
        <v>75.531980000000075</v>
      </c>
      <c r="D176" s="30">
        <f t="shared" si="51"/>
        <v>2.3499779988960742E-2</v>
      </c>
      <c r="E176" s="5">
        <v>100.81700000000004</v>
      </c>
      <c r="F176" s="30">
        <f>IF(E$154=0,"N.D.",E176/E$154)</f>
        <v>3.2051950299037839E-2</v>
      </c>
      <c r="G176" s="5">
        <v>260.17842999999993</v>
      </c>
      <c r="H176" s="30">
        <f>IF(G$154=0,"N.D.",G176/G$154)</f>
        <v>7.1780691531321217E-2</v>
      </c>
      <c r="I176" s="5">
        <v>186.0312200000003</v>
      </c>
      <c r="J176" s="30">
        <f>IF(I$154=0,"N.D.",I176/I$154)</f>
        <v>5.4711700097243222E-2</v>
      </c>
      <c r="K176" s="5">
        <v>55.988550000000188</v>
      </c>
      <c r="L176" s="30">
        <f>IF(K$154=0,"N.D.",K176/K$154)</f>
        <v>1.6604393093477891E-2</v>
      </c>
      <c r="M176" s="5">
        <v>49.239259999999817</v>
      </c>
      <c r="N176" s="30">
        <f>IF(M$154=0,"N.D.",M176/M$154)</f>
        <v>1.4941915162936787E-2</v>
      </c>
      <c r="O176" s="5">
        <v>90.416939999999713</v>
      </c>
      <c r="P176" s="30">
        <f>IF(O$154=0,"N.D.",O176/O$154)</f>
        <v>2.6743361090117265E-2</v>
      </c>
      <c r="Q176" s="5">
        <v>40.313540000000103</v>
      </c>
      <c r="R176" s="30">
        <f>IF(Q$154=0,"N.D.",Q176/Q$154)</f>
        <v>1.2004732039808178E-2</v>
      </c>
      <c r="S176" s="5">
        <v>55.423839999999956</v>
      </c>
      <c r="T176" s="30">
        <f>IF(S$154=0,"N.D.",S176/S$154)</f>
        <v>1.7174266067904103E-2</v>
      </c>
      <c r="U176" s="5">
        <v>57.004109999999955</v>
      </c>
      <c r="V176" s="30">
        <f>IF(U$154=0,"N.D.",U176/U$154)</f>
        <v>1.7038760996202804E-2</v>
      </c>
      <c r="W176" s="5">
        <v>-129.02439000000007</v>
      </c>
      <c r="X176" s="30">
        <v>1.21851353655263E-2</v>
      </c>
      <c r="Y176" s="5">
        <v>112.20355999999978</v>
      </c>
      <c r="Z176" s="30">
        <f>IF(Y$154=0,"N.D.",Y176/Y$154)</f>
        <v>3.346681945147105E-2</v>
      </c>
      <c r="AA176" s="5">
        <f>+AA31+AA60+AA89+AA118+AA147+AA206</f>
        <v>954.10441999999989</v>
      </c>
      <c r="AB176" s="30">
        <f>IF(AA$154=0,"N.D.",AA176/AA$154)</f>
        <v>2.4020412513923475E-2</v>
      </c>
    </row>
    <row r="177" spans="1:28" x14ac:dyDescent="0.25">
      <c r="C177" s="159"/>
      <c r="D177" s="160"/>
      <c r="E177" s="159"/>
      <c r="F177" s="160"/>
      <c r="G177" s="159"/>
      <c r="H177" s="160"/>
      <c r="I177" s="159"/>
      <c r="J177" s="160"/>
      <c r="K177" s="159"/>
      <c r="L177" s="160"/>
      <c r="M177" s="159"/>
      <c r="N177" s="160"/>
      <c r="O177" s="159"/>
      <c r="P177" s="160"/>
      <c r="Q177" s="159"/>
      <c r="R177" s="160"/>
      <c r="S177" s="159"/>
      <c r="T177" s="160"/>
      <c r="U177" s="159"/>
      <c r="V177" s="160"/>
      <c r="W177" s="159"/>
      <c r="X177" s="160"/>
      <c r="Y177" s="159"/>
      <c r="Z177" s="160"/>
      <c r="AA177" s="159"/>
      <c r="AB177" s="160"/>
    </row>
    <row r="178" spans="1:28" x14ac:dyDescent="0.25">
      <c r="C178" s="159"/>
      <c r="D178" s="160"/>
      <c r="E178" s="159"/>
      <c r="F178" s="160"/>
      <c r="G178" s="159"/>
      <c r="H178" s="160"/>
      <c r="I178" s="159"/>
      <c r="J178" s="160"/>
      <c r="K178" s="159"/>
      <c r="L178" s="160"/>
      <c r="M178" s="159"/>
      <c r="N178" s="160"/>
      <c r="O178" s="159"/>
      <c r="P178" s="160"/>
      <c r="Q178" s="159"/>
      <c r="R178" s="160"/>
      <c r="S178" s="159"/>
      <c r="T178" s="160"/>
      <c r="U178" s="159"/>
      <c r="V178" s="160"/>
      <c r="W178" s="159"/>
      <c r="X178" s="160"/>
      <c r="Y178" s="159"/>
      <c r="Z178" s="160"/>
      <c r="AA178" s="159"/>
      <c r="AB178" s="160"/>
    </row>
    <row r="179" spans="1:28" x14ac:dyDescent="0.25">
      <c r="C179" s="161"/>
      <c r="D179" s="161"/>
      <c r="E179" s="161"/>
      <c r="F179" s="161"/>
      <c r="G179" s="161"/>
      <c r="H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1"/>
      <c r="U179" s="161"/>
      <c r="V179" s="161"/>
      <c r="W179" s="161"/>
      <c r="X179" s="161"/>
      <c r="Y179" s="161"/>
      <c r="Z179" s="161"/>
      <c r="AA179" s="161"/>
      <c r="AB179" s="161"/>
    </row>
    <row r="180" spans="1:28" x14ac:dyDescent="0.25">
      <c r="C180" s="161"/>
      <c r="D180" s="161"/>
      <c r="E180" s="161"/>
      <c r="F180" s="161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61"/>
      <c r="T180" s="161"/>
      <c r="U180" s="161"/>
      <c r="V180" s="161"/>
      <c r="W180" s="161"/>
      <c r="X180" s="161"/>
      <c r="Y180" s="161"/>
      <c r="Z180" s="161"/>
      <c r="AA180" s="161"/>
      <c r="AB180" s="161"/>
    </row>
    <row r="181" spans="1:28" x14ac:dyDescent="0.25">
      <c r="C181" s="161"/>
      <c r="D181" s="161"/>
      <c r="E181" s="161"/>
      <c r="F181" s="161"/>
      <c r="G181" s="161"/>
      <c r="H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1"/>
      <c r="U181" s="161"/>
      <c r="V181" s="161"/>
      <c r="W181" s="161"/>
      <c r="X181" s="161"/>
      <c r="Y181" s="161"/>
      <c r="Z181" s="161"/>
      <c r="AA181" s="161"/>
      <c r="AB181" s="161"/>
    </row>
    <row r="182" spans="1:28" ht="13" x14ac:dyDescent="0.3">
      <c r="C182" s="8"/>
      <c r="D182" s="23"/>
      <c r="E182" s="8"/>
      <c r="F182" s="23"/>
      <c r="G182" s="8"/>
      <c r="H182" s="23"/>
      <c r="I182" s="8"/>
      <c r="J182" s="23"/>
      <c r="K182" s="8"/>
      <c r="L182" s="23"/>
      <c r="M182" s="8"/>
      <c r="N182" s="23"/>
      <c r="O182" s="8"/>
      <c r="P182" s="23"/>
      <c r="Q182" s="8"/>
      <c r="R182" s="23"/>
      <c r="S182" s="8"/>
      <c r="T182" s="23"/>
      <c r="U182" s="8"/>
      <c r="V182" s="23"/>
      <c r="W182" s="8"/>
      <c r="X182" s="23"/>
      <c r="Y182" s="8"/>
      <c r="Z182" s="23"/>
      <c r="AA182" s="8"/>
      <c r="AB182" s="23"/>
    </row>
    <row r="183" spans="1:28" ht="13" x14ac:dyDescent="0.3">
      <c r="A183" s="114"/>
      <c r="B183" s="9"/>
      <c r="C183" s="112" t="s">
        <v>195</v>
      </c>
      <c r="D183" s="115"/>
      <c r="E183" s="112" t="s">
        <v>197</v>
      </c>
      <c r="F183" s="115"/>
      <c r="G183" s="112" t="s">
        <v>198</v>
      </c>
      <c r="H183" s="115"/>
      <c r="I183" s="112" t="s">
        <v>199</v>
      </c>
      <c r="J183" s="115"/>
      <c r="K183" s="112" t="s">
        <v>200</v>
      </c>
      <c r="L183" s="115"/>
      <c r="M183" s="112" t="s">
        <v>201</v>
      </c>
      <c r="N183" s="115"/>
      <c r="O183" s="112" t="s">
        <v>202</v>
      </c>
      <c r="P183" s="115"/>
      <c r="Q183" s="112" t="s">
        <v>203</v>
      </c>
      <c r="R183" s="115"/>
      <c r="S183" s="112" t="s">
        <v>204</v>
      </c>
      <c r="T183" s="115"/>
      <c r="U183" s="112" t="s">
        <v>205</v>
      </c>
      <c r="V183" s="115"/>
      <c r="W183" s="112" t="s">
        <v>206</v>
      </c>
      <c r="X183" s="115"/>
      <c r="Y183" s="112" t="s">
        <v>207</v>
      </c>
      <c r="Z183" s="115"/>
      <c r="AA183" s="112" t="s">
        <v>208</v>
      </c>
      <c r="AB183" s="115"/>
    </row>
    <row r="184" spans="1:28" x14ac:dyDescent="0.25">
      <c r="A184" t="s">
        <v>188</v>
      </c>
      <c r="B184" s="102" t="s">
        <v>38</v>
      </c>
      <c r="C184" s="154">
        <v>342.18105000000003</v>
      </c>
      <c r="D184" s="155">
        <f>IF(C$184=0,"N.D.",C184/C$184)</f>
        <v>1</v>
      </c>
      <c r="E184" s="154">
        <v>344.89531000000005</v>
      </c>
      <c r="F184" s="155">
        <f>IF(E$184=0,"N.D.",E184/E$184)</f>
        <v>1</v>
      </c>
      <c r="G184" s="154">
        <v>384.00106999999997</v>
      </c>
      <c r="H184" s="155">
        <f>IF(G$184=0,"N.D.",G184/G$184)</f>
        <v>1</v>
      </c>
      <c r="I184" s="154">
        <v>353.48333000000002</v>
      </c>
      <c r="J184" s="155">
        <f>IF(I$184=0,"N.D.",I184/I$184)</f>
        <v>1</v>
      </c>
      <c r="K184" s="154">
        <v>366.30703000000005</v>
      </c>
      <c r="L184" s="155">
        <f>IF(K$184=0,"N.D.",K184/K$184)</f>
        <v>1</v>
      </c>
      <c r="M184" s="154">
        <v>344.16033999999996</v>
      </c>
      <c r="N184" s="155">
        <f>IF(M$184=0,"N.D.",M184/M$184)</f>
        <v>1</v>
      </c>
      <c r="O184" s="154">
        <v>352.59515999999996</v>
      </c>
      <c r="P184" s="155">
        <f>IF(O$184=0,"N.D.",O184/O$184)</f>
        <v>1</v>
      </c>
      <c r="Q184" s="154">
        <v>324.53846000000004</v>
      </c>
      <c r="R184" s="155">
        <f>IF(Q$184=0,"N.D.",Q184/Q$184)</f>
        <v>1</v>
      </c>
      <c r="S184" s="154">
        <v>373.00716999999997</v>
      </c>
      <c r="T184" s="155">
        <f>IF(S$184=0,"N.D.",S184/S$184)</f>
        <v>1</v>
      </c>
      <c r="U184" s="154">
        <v>355.10173000000003</v>
      </c>
      <c r="V184" s="155">
        <f>IF(U$184=0,"N.D.",U184/U$184)</f>
        <v>1</v>
      </c>
      <c r="W184" s="154">
        <v>309.78238999999996</v>
      </c>
      <c r="X184" s="155">
        <v>1</v>
      </c>
      <c r="Y184" s="154">
        <v>359.59841</v>
      </c>
      <c r="Z184" s="155">
        <f>IF(Y$184=0,"N.D.",Y184/Y$184)</f>
        <v>1</v>
      </c>
      <c r="AA184" s="154">
        <f>+Y184+W184+U184+S184+Q184+O184+M184+K184+I184+G184+E184+C184</f>
        <v>4209.6514499999994</v>
      </c>
      <c r="AB184" s="156">
        <f>IF(AA$184=0,"N.D.",AA184/AA$184)</f>
        <v>1</v>
      </c>
    </row>
    <row r="185" spans="1:28" x14ac:dyDescent="0.25">
      <c r="B185" s="9" t="s">
        <v>39</v>
      </c>
      <c r="C185" s="154">
        <v>220.16460000000001</v>
      </c>
      <c r="D185" s="155">
        <f t="shared" ref="D185:D206" si="63">IF(C$184=0,"N.D.",C185/C$184)</f>
        <v>0.64341552520222844</v>
      </c>
      <c r="E185" s="154">
        <v>210.21097</v>
      </c>
      <c r="F185" s="155">
        <f>IF(E$184=0,"N.D.",E185/E$184)</f>
        <v>0.60949210935921383</v>
      </c>
      <c r="G185" s="154">
        <v>243.52625</v>
      </c>
      <c r="H185" s="155">
        <f>IF(G$184=0,"N.D.",G185/G$184)</f>
        <v>0.63418117558891185</v>
      </c>
      <c r="I185" s="154">
        <v>222.14079999999998</v>
      </c>
      <c r="J185" s="155">
        <f>IF(I$184=0,"N.D.",I185/I$184)</f>
        <v>0.62843359543998856</v>
      </c>
      <c r="K185" s="154">
        <v>233.97060000000002</v>
      </c>
      <c r="L185" s="155">
        <f>IF(K$184=0,"N.D.",K185/K$184)</f>
        <v>0.6387281183219442</v>
      </c>
      <c r="M185" s="154">
        <v>221.85853</v>
      </c>
      <c r="N185" s="155">
        <f>IF(M$184=0,"N.D.",M185/M$184)</f>
        <v>0.64463711884989428</v>
      </c>
      <c r="O185" s="154">
        <v>231.19103000000001</v>
      </c>
      <c r="P185" s="155">
        <f>IF(O$184=0,"N.D.",O185/O$184)</f>
        <v>0.65568407121640593</v>
      </c>
      <c r="Q185" s="154">
        <v>208.75923999999998</v>
      </c>
      <c r="R185" s="155">
        <f>IF(Q$184=0,"N.D.",Q185/Q$184)</f>
        <v>0.64324961670182312</v>
      </c>
      <c r="S185" s="154">
        <v>238.47588000000002</v>
      </c>
      <c r="T185" s="155">
        <f>IF(S$184=0,"N.D.",S185/S$184)</f>
        <v>0.63933323319227353</v>
      </c>
      <c r="U185" s="154">
        <v>232.58070000000001</v>
      </c>
      <c r="V185" s="155">
        <f>IF(U$184=0,"N.D.",U185/U$184)</f>
        <v>0.65496921121730378</v>
      </c>
      <c r="W185" s="154">
        <v>213.10843</v>
      </c>
      <c r="X185" s="155">
        <v>0.63112794145812623</v>
      </c>
      <c r="Y185" s="154">
        <v>235.79074</v>
      </c>
      <c r="Z185" s="155">
        <f>IF(Y$184=0,"N.D.",Y185/Y$184)</f>
        <v>0.65570573574004398</v>
      </c>
      <c r="AA185" s="154">
        <f t="shared" ref="AA185:AA206" si="64">+Y185+W185+U185+S185+Q185+O185+M185+K185+I185+G185+E185+C185</f>
        <v>2711.7777700000001</v>
      </c>
      <c r="AB185" s="155">
        <f>IF(AA$184=0,"N.D.",AA185/AA$184)</f>
        <v>0.64418106872007197</v>
      </c>
    </row>
    <row r="186" spans="1:28" x14ac:dyDescent="0.25">
      <c r="B186" s="9" t="s">
        <v>219</v>
      </c>
      <c r="C186" s="154"/>
      <c r="D186" s="155"/>
      <c r="E186" s="154"/>
      <c r="F186" s="155"/>
      <c r="G186" s="154"/>
      <c r="H186" s="155"/>
      <c r="I186" s="154"/>
      <c r="J186" s="155"/>
      <c r="K186" s="154"/>
      <c r="L186" s="155"/>
      <c r="M186" s="154"/>
      <c r="N186" s="155"/>
      <c r="O186" s="154"/>
      <c r="P186" s="155"/>
      <c r="Q186" s="154"/>
      <c r="R186" s="155"/>
      <c r="S186" s="154"/>
      <c r="T186" s="155"/>
      <c r="U186" s="154"/>
      <c r="V186" s="155"/>
      <c r="W186" s="154"/>
      <c r="X186" s="155"/>
      <c r="Y186" s="154"/>
      <c r="Z186" s="155"/>
      <c r="AA186" s="154"/>
      <c r="AB186" s="155"/>
    </row>
    <row r="187" spans="1:28" ht="13" x14ac:dyDescent="0.3">
      <c r="B187" s="9" t="s">
        <v>40</v>
      </c>
      <c r="C187" s="5">
        <v>122.01645000000002</v>
      </c>
      <c r="D187" s="26">
        <f t="shared" si="63"/>
        <v>0.35658447479777156</v>
      </c>
      <c r="E187" s="5">
        <v>134.68434000000005</v>
      </c>
      <c r="F187" s="26">
        <f>IF(E$184=0,"N.D.",E187/E$184)</f>
        <v>0.39050789064078612</v>
      </c>
      <c r="G187" s="5">
        <v>140.47481999999997</v>
      </c>
      <c r="H187" s="26">
        <f>IF(G$184=0,"N.D.",G187/G$184)</f>
        <v>0.36581882441108815</v>
      </c>
      <c r="I187" s="5">
        <v>131.34253000000004</v>
      </c>
      <c r="J187" s="26">
        <f>IF(I$184=0,"N.D.",I187/I$184)</f>
        <v>0.37156640456001144</v>
      </c>
      <c r="K187" s="5">
        <v>132.33643000000004</v>
      </c>
      <c r="L187" s="26">
        <f>IF(K$184=0,"N.D.",K187/K$184)</f>
        <v>0.36127188167805574</v>
      </c>
      <c r="M187" s="5">
        <v>122.30180999999996</v>
      </c>
      <c r="N187" s="26">
        <f>IF(M$184=0,"N.D.",M187/M$184)</f>
        <v>0.35536288115010572</v>
      </c>
      <c r="O187" s="5">
        <v>121.40412999999995</v>
      </c>
      <c r="P187" s="26">
        <f>IF(O$184=0,"N.D.",O187/O$184)</f>
        <v>0.34431592878359407</v>
      </c>
      <c r="Q187" s="5">
        <v>115.77922000000007</v>
      </c>
      <c r="R187" s="26">
        <f>IF(Q$184=0,"N.D.",Q187/Q$184)</f>
        <v>0.35675038329817688</v>
      </c>
      <c r="S187" s="5">
        <v>134.53128999999996</v>
      </c>
      <c r="T187" s="26">
        <f>IF(S$184=0,"N.D.",S187/S$184)</f>
        <v>0.36066676680772641</v>
      </c>
      <c r="U187" s="5">
        <v>122.52103000000002</v>
      </c>
      <c r="V187" s="26">
        <f>IF(U$184=0,"N.D.",U187/U$184)</f>
        <v>0.34503078878269622</v>
      </c>
      <c r="W187" s="5">
        <v>96.673959999999965</v>
      </c>
      <c r="X187" s="26">
        <v>0.36887205854187377</v>
      </c>
      <c r="Y187" s="5">
        <v>123.80767</v>
      </c>
      <c r="Z187" s="26">
        <f>IF(Y$184=0,"N.D.",Y187/Y$184)</f>
        <v>0.34429426425995602</v>
      </c>
      <c r="AA187" s="5">
        <f t="shared" si="64"/>
        <v>1497.8736800000001</v>
      </c>
      <c r="AB187" s="26">
        <f>IF(AA$184=0,"N.D.",AA187/AA$184)</f>
        <v>0.35581893127992825</v>
      </c>
    </row>
    <row r="188" spans="1:28" x14ac:dyDescent="0.25">
      <c r="B188" s="9"/>
      <c r="C188" s="74"/>
      <c r="D188" s="157"/>
      <c r="E188" s="74"/>
      <c r="F188" s="157"/>
      <c r="G188" s="74"/>
      <c r="H188" s="157"/>
      <c r="I188" s="74"/>
      <c r="J188" s="157"/>
      <c r="K188" s="74"/>
      <c r="L188" s="157"/>
      <c r="M188" s="74"/>
      <c r="N188" s="157"/>
      <c r="O188" s="74"/>
      <c r="P188" s="157"/>
      <c r="Q188" s="74"/>
      <c r="R188" s="157"/>
      <c r="S188" s="74"/>
      <c r="T188" s="157"/>
      <c r="U188" s="74"/>
      <c r="V188" s="157"/>
      <c r="W188" s="74"/>
      <c r="X188" s="157"/>
      <c r="Y188" s="74"/>
      <c r="Z188" s="157"/>
      <c r="AA188" s="74"/>
      <c r="AB188" s="157"/>
    </row>
    <row r="189" spans="1:28" x14ac:dyDescent="0.25">
      <c r="B189" s="9" t="s">
        <v>41</v>
      </c>
      <c r="C189" s="158">
        <v>101.95841</v>
      </c>
      <c r="D189" s="156">
        <f t="shared" si="63"/>
        <v>0.29796626668835108</v>
      </c>
      <c r="E189" s="158">
        <v>99.822269999999989</v>
      </c>
      <c r="F189" s="156">
        <f>IF(E$184=0,"N.D.",E189/E$184)</f>
        <v>0.28942773968135427</v>
      </c>
      <c r="G189" s="158">
        <v>107.87465999999998</v>
      </c>
      <c r="H189" s="156">
        <f>IF(G$184=0,"N.D.",G189/G$184)</f>
        <v>0.28092281097029231</v>
      </c>
      <c r="I189" s="158">
        <v>102.80429999999998</v>
      </c>
      <c r="J189" s="156">
        <f>IF(I$184=0,"N.D.",I189/I$184)</f>
        <v>0.29083210232290158</v>
      </c>
      <c r="K189" s="158">
        <v>107.37461000000002</v>
      </c>
      <c r="L189" s="156">
        <f>IF(K$184=0,"N.D.",K189/K$184)</f>
        <v>0.29312735275651142</v>
      </c>
      <c r="M189" s="158">
        <v>99.755630000000011</v>
      </c>
      <c r="N189" s="156">
        <f>IF(M$184=0,"N.D.",M189/M$184)</f>
        <v>0.28985219505536292</v>
      </c>
      <c r="O189" s="158">
        <v>98.928459999999987</v>
      </c>
      <c r="P189" s="156">
        <f>IF(O$184=0,"N.D.",O189/O$184)</f>
        <v>0.28057237087429104</v>
      </c>
      <c r="Q189" s="158">
        <v>94.899710000000027</v>
      </c>
      <c r="R189" s="156">
        <f>IF(Q$184=0,"N.D.",Q189/Q$184)</f>
        <v>0.29241437209013693</v>
      </c>
      <c r="S189" s="158">
        <v>104.11798000000002</v>
      </c>
      <c r="T189" s="156">
        <f>IF(S$184=0,"N.D.",S189/S$184)</f>
        <v>0.27913130999599828</v>
      </c>
      <c r="U189" s="158">
        <v>105.08663</v>
      </c>
      <c r="V189" s="156">
        <f>IF(U$184=0,"N.D.",U189/U$184)</f>
        <v>0.29593387224556744</v>
      </c>
      <c r="W189" s="158">
        <v>100.63771000000001</v>
      </c>
      <c r="X189" s="156">
        <v>0.25514988582381737</v>
      </c>
      <c r="Y189" s="158">
        <v>97.881239999999991</v>
      </c>
      <c r="Z189" s="156">
        <f>IF(Y$184=0,"N.D.",Y189/Y$184)</f>
        <v>0.27219597550500846</v>
      </c>
      <c r="AA189" s="158">
        <f t="shared" si="64"/>
        <v>1221.1416099999999</v>
      </c>
      <c r="AB189" s="156">
        <f>IF(AA$184=0,"N.D.",AA189/AA$184)</f>
        <v>0.29008140567077118</v>
      </c>
    </row>
    <row r="190" spans="1:28" x14ac:dyDescent="0.25">
      <c r="B190" s="9" t="s">
        <v>42</v>
      </c>
      <c r="C190" s="154">
        <v>17.94416</v>
      </c>
      <c r="D190" s="155">
        <f t="shared" si="63"/>
        <v>5.2440542806213256E-2</v>
      </c>
      <c r="E190" s="154">
        <v>16.859169999999999</v>
      </c>
      <c r="F190" s="155">
        <f>IF(E$184=0,"N.D.",E190/E$184)</f>
        <v>4.8881992625530328E-2</v>
      </c>
      <c r="G190" s="154">
        <v>12.580450000000001</v>
      </c>
      <c r="H190" s="155">
        <f>IF(G$184=0,"N.D.",G190/G$184)</f>
        <v>3.2761497253119637E-2</v>
      </c>
      <c r="I190" s="154">
        <v>16.997349999999997</v>
      </c>
      <c r="J190" s="155">
        <f>IF(I$184=0,"N.D.",I190/I$184)</f>
        <v>4.8085294432413536E-2</v>
      </c>
      <c r="K190" s="154">
        <v>20.62304</v>
      </c>
      <c r="L190" s="155">
        <f>IF(K$184=0,"N.D.",K190/K$184)</f>
        <v>5.6299874998304009E-2</v>
      </c>
      <c r="M190" s="154">
        <v>15.377420000000001</v>
      </c>
      <c r="N190" s="155">
        <f>IF(M$184=0,"N.D.",M190/M$184)</f>
        <v>4.4680976314702622E-2</v>
      </c>
      <c r="O190" s="154">
        <v>18.054880000000001</v>
      </c>
      <c r="P190" s="155">
        <f>IF(O$184=0,"N.D.",O190/O$184)</f>
        <v>5.1205694371981747E-2</v>
      </c>
      <c r="Q190" s="154">
        <v>17.48799</v>
      </c>
      <c r="R190" s="155">
        <f>IF(Q$184=0,"N.D.",Q190/Q$184)</f>
        <v>5.3885724360681314E-2</v>
      </c>
      <c r="S190" s="154">
        <v>16.004480000000001</v>
      </c>
      <c r="T190" s="155">
        <f>IF(S$184=0,"N.D.",S190/S$184)</f>
        <v>4.2906628309584513E-2</v>
      </c>
      <c r="U190" s="154">
        <v>12.631489999999999</v>
      </c>
      <c r="V190" s="155">
        <f>IF(U$184=0,"N.D.",U190/U$184)</f>
        <v>3.5571468491578453E-2</v>
      </c>
      <c r="W190" s="154">
        <v>17.11347</v>
      </c>
      <c r="X190" s="155">
        <v>4.1254733206992959E-2</v>
      </c>
      <c r="Y190" s="154">
        <v>19.09928</v>
      </c>
      <c r="Z190" s="155">
        <f>IF(Y$184=0,"N.D.",Y190/Y$184)</f>
        <v>5.3112804364179478E-2</v>
      </c>
      <c r="AA190" s="154">
        <f t="shared" si="64"/>
        <v>200.77318</v>
      </c>
      <c r="AB190" s="155">
        <f>IF(AA$184=0,"N.D.",AA190/AA$184)</f>
        <v>4.7693540043558719E-2</v>
      </c>
    </row>
    <row r="191" spans="1:28" x14ac:dyDescent="0.25">
      <c r="B191" s="102" t="s">
        <v>43</v>
      </c>
      <c r="C191" s="154">
        <v>14.648879999999998</v>
      </c>
      <c r="D191" s="164">
        <f t="shared" si="63"/>
        <v>4.2810319273963296E-2</v>
      </c>
      <c r="E191" s="154">
        <v>14.648879999999998</v>
      </c>
      <c r="F191" s="164">
        <f>IF(E$184=0,"N.D.",E191/E$184)</f>
        <v>4.2473410264697413E-2</v>
      </c>
      <c r="G191" s="154">
        <v>14.648879999999998</v>
      </c>
      <c r="H191" s="164">
        <f>IF(G$184=0,"N.D.",G191/G$184)</f>
        <v>3.8148018702135383E-2</v>
      </c>
      <c r="I191" s="154">
        <v>14.648879999999998</v>
      </c>
      <c r="J191" s="164">
        <f>IF(I$184=0,"N.D.",I191/I$184)</f>
        <v>4.1441501640261218E-2</v>
      </c>
      <c r="K191" s="154">
        <v>14.723879999999999</v>
      </c>
      <c r="L191" s="164">
        <f>IF(K$184=0,"N.D.",K191/K$184)</f>
        <v>4.0195461168189964E-2</v>
      </c>
      <c r="M191" s="154">
        <v>14.723879999999999</v>
      </c>
      <c r="N191" s="164">
        <f>IF(M$184=0,"N.D.",M191/M$184)</f>
        <v>4.278203583829561E-2</v>
      </c>
      <c r="O191" s="154">
        <v>14.723879999999999</v>
      </c>
      <c r="P191" s="164">
        <f>IF(O$184=0,"N.D.",O191/O$184)</f>
        <v>4.1758599295577403E-2</v>
      </c>
      <c r="Q191" s="154">
        <v>14.723879999999999</v>
      </c>
      <c r="R191" s="164">
        <f>IF(Q$184=0,"N.D.",Q191/Q$184)</f>
        <v>4.5368675256547399E-2</v>
      </c>
      <c r="S191" s="154">
        <v>14.723879999999999</v>
      </c>
      <c r="T191" s="164">
        <f>IF(S$184=0,"N.D.",S191/S$184)</f>
        <v>3.9473450336088713E-2</v>
      </c>
      <c r="U191" s="154">
        <v>14.723879999999999</v>
      </c>
      <c r="V191" s="164">
        <f>IF(U$184=0,"N.D.",U191/U$184)</f>
        <v>4.1463836292771644E-2</v>
      </c>
      <c r="W191" s="154">
        <v>14.723879999999999</v>
      </c>
      <c r="X191" s="164">
        <v>4.2723302245209725E-2</v>
      </c>
      <c r="Y191" s="154">
        <v>14.723879999999999</v>
      </c>
      <c r="Z191" s="164">
        <f>IF(Y$184=0,"N.D.",Y191/Y$184)</f>
        <v>4.0945342333410205E-2</v>
      </c>
      <c r="AA191" s="154">
        <f t="shared" si="64"/>
        <v>176.38655999999995</v>
      </c>
      <c r="AB191" s="164">
        <f>IF(AA$184=0,"N.D.",AA191/AA$184)</f>
        <v>4.1900514115010633E-2</v>
      </c>
    </row>
    <row r="192" spans="1:28" ht="13" x14ac:dyDescent="0.3">
      <c r="B192" s="9" t="s">
        <v>44</v>
      </c>
      <c r="C192" s="5">
        <v>134.55145000000002</v>
      </c>
      <c r="D192" s="26">
        <f t="shared" si="63"/>
        <v>0.39321712876852766</v>
      </c>
      <c r="E192" s="5">
        <v>131.33031999999997</v>
      </c>
      <c r="F192" s="26">
        <f>IF(E$184=0,"N.D.",E192/E$184)</f>
        <v>0.38078314257158197</v>
      </c>
      <c r="G192" s="5">
        <v>135.10398999999995</v>
      </c>
      <c r="H192" s="26">
        <f>IF(G$184=0,"N.D.",G192/G$184)</f>
        <v>0.35183232692554728</v>
      </c>
      <c r="I192" s="5">
        <v>134.45052999999999</v>
      </c>
      <c r="J192" s="26">
        <f>IF(I$184=0,"N.D.",I192/I$184)</f>
        <v>0.38035889839557635</v>
      </c>
      <c r="K192" s="5">
        <v>142.72153000000003</v>
      </c>
      <c r="L192" s="26">
        <f>IF(K$184=0,"N.D.",K192/K$184)</f>
        <v>0.38962268892300539</v>
      </c>
      <c r="M192" s="5">
        <v>129.85693000000001</v>
      </c>
      <c r="N192" s="26">
        <f>IF(M$184=0,"N.D.",M192/M$184)</f>
        <v>0.37731520720836115</v>
      </c>
      <c r="O192" s="5">
        <v>131.70722000000001</v>
      </c>
      <c r="P192" s="26">
        <f>IF(O$184=0,"N.D.",O192/O$184)</f>
        <v>0.37353666454185025</v>
      </c>
      <c r="Q192" s="5">
        <v>127.11158000000003</v>
      </c>
      <c r="R192" s="26">
        <f>IF(Q$184=0,"N.D.",Q192/Q$184)</f>
        <v>0.39166877170736564</v>
      </c>
      <c r="S192" s="5">
        <v>134.84634</v>
      </c>
      <c r="T192" s="26">
        <f>IF(S$184=0,"N.D.",S192/S$184)</f>
        <v>0.36151138864167143</v>
      </c>
      <c r="U192" s="5">
        <v>132.44200000000001</v>
      </c>
      <c r="V192" s="26">
        <f>IF(U$184=0,"N.D.",U192/U$184)</f>
        <v>0.37296917702991761</v>
      </c>
      <c r="W192" s="5">
        <v>132.47505999999998</v>
      </c>
      <c r="X192" s="26">
        <v>0.33912792127602004</v>
      </c>
      <c r="Y192" s="5">
        <v>131.70439999999999</v>
      </c>
      <c r="Z192" s="26">
        <f>IF(Y$184=0,"N.D.",Y192/Y$184)</f>
        <v>0.36625412220259818</v>
      </c>
      <c r="AA192" s="5">
        <f t="shared" si="64"/>
        <v>1598.3013500000002</v>
      </c>
      <c r="AB192" s="26">
        <f>IF(AA$184=0,"N.D.",AA192/AA$184)</f>
        <v>0.37967545982934059</v>
      </c>
    </row>
    <row r="193" spans="2:28" ht="13" x14ac:dyDescent="0.3">
      <c r="B193" s="1" t="s">
        <v>45</v>
      </c>
      <c r="C193" s="5">
        <v>-12.534999999999972</v>
      </c>
      <c r="D193" s="26">
        <f t="shared" si="63"/>
        <v>-3.6632653970756039E-2</v>
      </c>
      <c r="E193" s="5">
        <v>3.3540200000000771</v>
      </c>
      <c r="F193" s="26">
        <f>IF(E$184=0,"N.D.",E193/E$184)</f>
        <v>9.7247480692041789E-3</v>
      </c>
      <c r="G193" s="5">
        <v>5.3708299999999873</v>
      </c>
      <c r="H193" s="26">
        <f>IF(G$184=0,"N.D.",G193/G$184)</f>
        <v>1.3986497485540829E-2</v>
      </c>
      <c r="I193" s="5">
        <v>-3.1079999999999708</v>
      </c>
      <c r="J193" s="26">
        <f>IF(I$184=0,"N.D.",I193/I$184)</f>
        <v>-8.792493835564949E-3</v>
      </c>
      <c r="K193" s="5">
        <v>-10.385100000000007</v>
      </c>
      <c r="L193" s="26">
        <f>IF(K$184=0,"N.D.",K193/K$184)</f>
        <v>-2.8350807244949695E-2</v>
      </c>
      <c r="M193" s="5">
        <v>-7.5551200000000387</v>
      </c>
      <c r="N193" s="26">
        <f>IF(M$184=0,"N.D.",M193/M$184)</f>
        <v>-2.1952326058255405E-2</v>
      </c>
      <c r="O193" s="5">
        <v>-10.303090000000026</v>
      </c>
      <c r="P193" s="26">
        <f>IF(O$184=0,"N.D.",O193/O$184)</f>
        <v>-2.9220735758256088E-2</v>
      </c>
      <c r="Q193" s="5">
        <v>-11.332360000000001</v>
      </c>
      <c r="R193" s="26">
        <f>IF(Q$184=0,"N.D.",Q193/Q$184)</f>
        <v>-3.4918388409188851E-2</v>
      </c>
      <c r="S193" s="5">
        <v>-0.31505000000001748</v>
      </c>
      <c r="T193" s="26">
        <f>IF(S$184=0,"N.D.",S193/S$184)</f>
        <v>-8.4462183394495469E-4</v>
      </c>
      <c r="U193" s="5">
        <v>-9.9209699999999721</v>
      </c>
      <c r="V193" s="26">
        <f>IF(U$184=0,"N.D.",U193/U$184)</f>
        <v>-2.7938388247221356E-2</v>
      </c>
      <c r="W193" s="5">
        <v>-35.801100000000034</v>
      </c>
      <c r="X193" s="26">
        <v>2.9744137265853624E-2</v>
      </c>
      <c r="Y193" s="5">
        <v>-7.8967300000000105</v>
      </c>
      <c r="Z193" s="26">
        <f>IF(Y$184=0,"N.D.",Y193/Y$184)</f>
        <v>-2.195985794264221E-2</v>
      </c>
      <c r="AA193" s="5">
        <f t="shared" si="64"/>
        <v>-100.42767000000001</v>
      </c>
      <c r="AB193" s="26">
        <f>IF(AA$184=0,"N.D.",AA193/AA$184)</f>
        <v>-2.3856528549412333E-2</v>
      </c>
    </row>
    <row r="194" spans="2:28" x14ac:dyDescent="0.25">
      <c r="B194" s="9"/>
      <c r="C194" s="74"/>
      <c r="D194" s="157"/>
      <c r="E194" s="74"/>
      <c r="F194" s="157"/>
      <c r="G194" s="74"/>
      <c r="H194" s="157"/>
      <c r="I194" s="74"/>
      <c r="J194" s="157"/>
      <c r="K194" s="74"/>
      <c r="L194" s="157"/>
      <c r="M194" s="74"/>
      <c r="N194" s="157"/>
      <c r="O194" s="74"/>
      <c r="P194" s="157"/>
      <c r="Q194" s="74"/>
      <c r="R194" s="157"/>
      <c r="S194" s="74"/>
      <c r="T194" s="157"/>
      <c r="U194" s="74"/>
      <c r="V194" s="157"/>
      <c r="W194" s="74"/>
      <c r="X194" s="157"/>
      <c r="Y194" s="74"/>
      <c r="Z194" s="157"/>
      <c r="AA194" s="74"/>
      <c r="AB194" s="157"/>
    </row>
    <row r="195" spans="2:28" x14ac:dyDescent="0.25">
      <c r="B195" s="9"/>
      <c r="C195" s="158"/>
      <c r="D195" s="156"/>
      <c r="E195" s="158"/>
      <c r="F195" s="156"/>
      <c r="G195" s="158"/>
      <c r="H195" s="156"/>
      <c r="I195" s="158"/>
      <c r="J195" s="156"/>
      <c r="K195" s="158"/>
      <c r="L195" s="156"/>
      <c r="M195" s="158"/>
      <c r="N195" s="156"/>
      <c r="O195" s="158"/>
      <c r="P195" s="156"/>
      <c r="Q195" s="158"/>
      <c r="R195" s="156"/>
      <c r="S195" s="158"/>
      <c r="T195" s="156"/>
      <c r="U195" s="158"/>
      <c r="V195" s="156"/>
      <c r="W195" s="158"/>
      <c r="X195" s="156"/>
      <c r="Y195" s="158"/>
      <c r="Z195" s="156"/>
      <c r="AA195" s="158">
        <f t="shared" si="64"/>
        <v>0</v>
      </c>
      <c r="AB195" s="156"/>
    </row>
    <row r="196" spans="2:28" x14ac:dyDescent="0.25">
      <c r="B196" s="9" t="s">
        <v>52</v>
      </c>
      <c r="C196" s="154">
        <v>-0.56899</v>
      </c>
      <c r="D196" s="155">
        <f t="shared" si="63"/>
        <v>-1.662833169750341E-3</v>
      </c>
      <c r="E196" s="154">
        <v>-7.4361600000000001</v>
      </c>
      <c r="F196" s="155">
        <f>IF(E$184=0,"N.D.",E196/E$184)</f>
        <v>-2.1560629513924092E-2</v>
      </c>
      <c r="G196" s="154">
        <v>-3.5366500000000003</v>
      </c>
      <c r="H196" s="155">
        <f>IF(G$184=0,"N.D.",G196/G$184)</f>
        <v>-9.2100003783843632E-3</v>
      </c>
      <c r="I196" s="154">
        <v>-7.4426399999999999</v>
      </c>
      <c r="J196" s="155">
        <f>IF(I$184=0,"N.D.",I196/I$184)</f>
        <v>-2.1055137168703258E-2</v>
      </c>
      <c r="K196" s="154">
        <v>-0.15959999999999999</v>
      </c>
      <c r="L196" s="155">
        <f>IF(K$184=0,"N.D.",K196/K$184)</f>
        <v>-4.3570007378782759E-4</v>
      </c>
      <c r="M196" s="154">
        <v>-0.30101999999999995</v>
      </c>
      <c r="N196" s="155">
        <f>IF(M$184=0,"N.D.",M196/M$184)</f>
        <v>-8.7465046088692263E-4</v>
      </c>
      <c r="O196" s="154">
        <v>-5.7074600000000002</v>
      </c>
      <c r="P196" s="155">
        <f>IF(O$184=0,"N.D.",O196/O$184)</f>
        <v>-1.6187006083690999E-2</v>
      </c>
      <c r="Q196" s="154">
        <v>-7.4188700000000001</v>
      </c>
      <c r="R196" s="155">
        <f>IF(Q$184=0,"N.D.",Q196/Q$184)</f>
        <v>-2.2859755974684783E-2</v>
      </c>
      <c r="S196" s="154">
        <v>-0.77659</v>
      </c>
      <c r="T196" s="155">
        <f>IF(S$184=0,"N.D.",S196/S$184)</f>
        <v>-2.0819707031368862E-3</v>
      </c>
      <c r="U196" s="154">
        <v>-5.0911800000000005</v>
      </c>
      <c r="V196" s="155">
        <f>IF(U$184=0,"N.D.",U196/U$184)</f>
        <v>-1.4337243583690791E-2</v>
      </c>
      <c r="W196" s="154">
        <v>-0.77466999999999997</v>
      </c>
      <c r="X196" s="155">
        <v>-2.807033487334664E-3</v>
      </c>
      <c r="Y196" s="154">
        <v>-0.10084</v>
      </c>
      <c r="Z196" s="155">
        <f>IF(Y$184=0,"N.D.",Y196/Y$184)</f>
        <v>-2.8042393179658387E-4</v>
      </c>
      <c r="AA196" s="154">
        <f t="shared" si="64"/>
        <v>-39.314670000000007</v>
      </c>
      <c r="AB196" s="155">
        <f>IF(AA$184=0,"N.D.",AA196/AA$184)</f>
        <v>-9.3391746245404736E-3</v>
      </c>
    </row>
    <row r="197" spans="2:28" x14ac:dyDescent="0.25">
      <c r="B197" s="9" t="s">
        <v>46</v>
      </c>
      <c r="C197" s="154">
        <v>2.62398</v>
      </c>
      <c r="D197" s="155">
        <f t="shared" si="63"/>
        <v>7.6683965988180811E-3</v>
      </c>
      <c r="E197" s="154">
        <v>2.4379599999999999</v>
      </c>
      <c r="F197" s="155">
        <f>IF(E$184=0,"N.D.",E197/E$184)</f>
        <v>7.068695715230223E-3</v>
      </c>
      <c r="G197" s="154">
        <v>2.47329</v>
      </c>
      <c r="H197" s="155">
        <f>IF(G$184=0,"N.D.",G197/G$184)</f>
        <v>6.4408414278637298E-3</v>
      </c>
      <c r="I197" s="154">
        <v>2.6905700000000001</v>
      </c>
      <c r="J197" s="155">
        <f>IF(I$184=0,"N.D.",I197/I$184)</f>
        <v>7.6115894913630017E-3</v>
      </c>
      <c r="K197" s="154">
        <v>2.58786</v>
      </c>
      <c r="L197" s="155">
        <f>IF(K$184=0,"N.D.",K197/K$184)</f>
        <v>7.0647292791514256E-3</v>
      </c>
      <c r="M197" s="154">
        <v>1.67659</v>
      </c>
      <c r="N197" s="155">
        <f>IF(M$184=0,"N.D.",M197/M$184)</f>
        <v>4.8715374932509665E-3</v>
      </c>
      <c r="O197" s="154">
        <v>3.6349800000000001</v>
      </c>
      <c r="P197" s="155">
        <f>IF(O$184=0,"N.D.",O197/O$184)</f>
        <v>1.0309216950113553E-2</v>
      </c>
      <c r="Q197" s="154">
        <v>2.6606700000000001</v>
      </c>
      <c r="R197" s="155">
        <f>IF(Q$184=0,"N.D.",Q197/Q$184)</f>
        <v>8.1983195458559827E-3</v>
      </c>
      <c r="S197" s="154">
        <v>2.6215700000000002</v>
      </c>
      <c r="T197" s="155">
        <f>IF(S$184=0,"N.D.",S197/S$184)</f>
        <v>7.0282027018408258E-3</v>
      </c>
      <c r="U197" s="154">
        <v>2.4967700000000002</v>
      </c>
      <c r="V197" s="155">
        <f>IF(U$184=0,"N.D.",U197/U$184)</f>
        <v>7.0311400623139743E-3</v>
      </c>
      <c r="W197" s="154">
        <v>2.5260199999999999</v>
      </c>
      <c r="X197" s="155">
        <v>8.7396394268410178E-3</v>
      </c>
      <c r="Y197" s="154">
        <v>2.4225700000000003</v>
      </c>
      <c r="Z197" s="155">
        <f>IF(Y$184=0,"N.D.",Y197/Y$184)</f>
        <v>6.7368762837410777E-3</v>
      </c>
      <c r="AA197" s="154">
        <f t="shared" si="64"/>
        <v>30.852830000000001</v>
      </c>
      <c r="AB197" s="155">
        <f>IF(AA$184=0,"N.D.",AA197/AA$184)</f>
        <v>7.3290699637377351E-3</v>
      </c>
    </row>
    <row r="198" spans="2:28" x14ac:dyDescent="0.25">
      <c r="B198" s="1" t="s">
        <v>47</v>
      </c>
      <c r="C198" s="154">
        <v>0</v>
      </c>
      <c r="D198" s="155">
        <f t="shared" si="63"/>
        <v>0</v>
      </c>
      <c r="E198" s="154">
        <v>0</v>
      </c>
      <c r="F198" s="155">
        <f>IF(E$184=0,"N.D.",E198/E$184)</f>
        <v>0</v>
      </c>
      <c r="G198" s="154">
        <v>0</v>
      </c>
      <c r="H198" s="155">
        <f>IF(G$184=0,"N.D.",G198/G$184)</f>
        <v>0</v>
      </c>
      <c r="I198" s="154">
        <v>0</v>
      </c>
      <c r="J198" s="155">
        <f>IF(I$184=0,"N.D.",I198/I$184)</f>
        <v>0</v>
      </c>
      <c r="K198" s="154">
        <v>0</v>
      </c>
      <c r="L198" s="155">
        <f>IF(K$184=0,"N.D.",K198/K$184)</f>
        <v>0</v>
      </c>
      <c r="M198" s="154">
        <v>0</v>
      </c>
      <c r="N198" s="155">
        <f>IF(M$184=0,"N.D.",M198/M$184)</f>
        <v>0</v>
      </c>
      <c r="O198" s="154">
        <v>0</v>
      </c>
      <c r="P198" s="155">
        <f>IF(O$184=0,"N.D.",O198/O$184)</f>
        <v>0</v>
      </c>
      <c r="Q198" s="154">
        <v>0</v>
      </c>
      <c r="R198" s="155">
        <f>IF(Q$184=0,"N.D.",Q198/Q$184)</f>
        <v>0</v>
      </c>
      <c r="S198" s="154">
        <v>0</v>
      </c>
      <c r="T198" s="155">
        <f>IF(S$184=0,"N.D.",S198/S$184)</f>
        <v>0</v>
      </c>
      <c r="U198" s="154">
        <v>0</v>
      </c>
      <c r="V198" s="155">
        <f>IF(U$184=0,"N.D.",U198/U$184)</f>
        <v>0</v>
      </c>
      <c r="W198" s="154">
        <v>0</v>
      </c>
      <c r="X198" s="155">
        <v>0</v>
      </c>
      <c r="Y198" s="154">
        <v>0</v>
      </c>
      <c r="Z198" s="155">
        <f>IF(Y$184=0,"N.D.",Y198/Y$184)</f>
        <v>0</v>
      </c>
      <c r="AA198" s="154">
        <f t="shared" si="64"/>
        <v>0</v>
      </c>
      <c r="AB198" s="155">
        <f>IF(AA$184=0,"N.D.",AA198/AA$184)</f>
        <v>0</v>
      </c>
    </row>
    <row r="199" spans="2:28" x14ac:dyDescent="0.25">
      <c r="B199" s="9"/>
      <c r="C199" s="154"/>
      <c r="D199" s="155"/>
      <c r="E199" s="154"/>
      <c r="F199" s="155"/>
      <c r="G199" s="154"/>
      <c r="H199" s="155"/>
      <c r="I199" s="154"/>
      <c r="J199" s="155"/>
      <c r="K199" s="154"/>
      <c r="L199" s="155"/>
      <c r="M199" s="154"/>
      <c r="N199" s="155"/>
      <c r="O199" s="154"/>
      <c r="P199" s="155"/>
      <c r="Q199" s="154"/>
      <c r="R199" s="155"/>
      <c r="S199" s="154"/>
      <c r="T199" s="155"/>
      <c r="U199" s="154"/>
      <c r="V199" s="155"/>
      <c r="W199" s="154"/>
      <c r="X199" s="155"/>
      <c r="Y199" s="154"/>
      <c r="Z199" s="155"/>
      <c r="AA199" s="154">
        <f t="shared" si="64"/>
        <v>0</v>
      </c>
      <c r="AB199" s="155"/>
    </row>
    <row r="200" spans="2:28" ht="13" x14ac:dyDescent="0.3">
      <c r="B200" s="9" t="s">
        <v>48</v>
      </c>
      <c r="C200" s="5">
        <v>2.0549900000000001</v>
      </c>
      <c r="D200" s="26">
        <f t="shared" si="63"/>
        <v>6.0055634290677408E-3</v>
      </c>
      <c r="E200" s="5">
        <v>-4.9982000000000006</v>
      </c>
      <c r="F200" s="26">
        <f>IF(E$184=0,"N.D.",E200/E$184)</f>
        <v>-1.449193379869387E-2</v>
      </c>
      <c r="G200" s="5">
        <v>-1.0633600000000003</v>
      </c>
      <c r="H200" s="26">
        <f>IF(G$184=0,"N.D.",G200/G$184)</f>
        <v>-2.7691589505206339E-3</v>
      </c>
      <c r="I200" s="5">
        <v>-4.7520699999999998</v>
      </c>
      <c r="J200" s="26">
        <f>IF(I$184=0,"N.D.",I200/I$184)</f>
        <v>-1.3443547677340257E-2</v>
      </c>
      <c r="K200" s="5">
        <v>2.4282599999999999</v>
      </c>
      <c r="L200" s="26">
        <f>IF(K$184=0,"N.D.",K200/K$184)</f>
        <v>6.6290292053635975E-3</v>
      </c>
      <c r="M200" s="5">
        <v>1.3755700000000002</v>
      </c>
      <c r="N200" s="26">
        <f>IF(M$184=0,"N.D.",M200/M$184)</f>
        <v>3.9968870323640439E-3</v>
      </c>
      <c r="O200" s="5">
        <v>-2.0724800000000001</v>
      </c>
      <c r="P200" s="26">
        <f>IF(O$184=0,"N.D.",O200/O$184)</f>
        <v>-5.8777891335774438E-3</v>
      </c>
      <c r="Q200" s="5">
        <v>-4.7582000000000004</v>
      </c>
      <c r="R200" s="26">
        <f>IF(Q$184=0,"N.D.",Q200/Q$184)</f>
        <v>-1.4661436428828804E-2</v>
      </c>
      <c r="S200" s="5">
        <v>1.8449800000000001</v>
      </c>
      <c r="T200" s="26">
        <f>IF(S$184=0,"N.D.",S200/S$184)</f>
        <v>4.9462319987039396E-3</v>
      </c>
      <c r="U200" s="5">
        <v>-2.5944100000000003</v>
      </c>
      <c r="V200" s="26">
        <f>IF(U$184=0,"N.D.",U200/U$184)</f>
        <v>-7.306103521376818E-3</v>
      </c>
      <c r="W200" s="5">
        <v>1.75135</v>
      </c>
      <c r="X200" s="26">
        <v>5.9326059395063526E-3</v>
      </c>
      <c r="Y200" s="5">
        <v>2.3217300000000005</v>
      </c>
      <c r="Z200" s="26">
        <f>IF(Y$184=0,"N.D.",Y200/Y$184)</f>
        <v>6.4564523519444941E-3</v>
      </c>
      <c r="AA200" s="5">
        <f t="shared" si="64"/>
        <v>-8.4618400000000005</v>
      </c>
      <c r="AB200" s="26">
        <f>IF(AA$184=0,"N.D.",AA200/AA$184)</f>
        <v>-2.0101046608027376E-3</v>
      </c>
    </row>
    <row r="201" spans="2:28" ht="13" x14ac:dyDescent="0.3">
      <c r="B201" s="1" t="s">
        <v>49</v>
      </c>
      <c r="C201" s="5">
        <v>-14.58998999999997</v>
      </c>
      <c r="D201" s="26">
        <f t="shared" si="63"/>
        <v>-4.2638217399823777E-2</v>
      </c>
      <c r="E201" s="5">
        <v>8.3522200000000772</v>
      </c>
      <c r="F201" s="26">
        <f>IF(E$184=0,"N.D.",E201/E$184)</f>
        <v>2.4216681867898045E-2</v>
      </c>
      <c r="G201" s="5">
        <v>6.4341899999999876</v>
      </c>
      <c r="H201" s="26">
        <f>IF(G$184=0,"N.D.",G201/G$184)</f>
        <v>1.6755656436061462E-2</v>
      </c>
      <c r="I201" s="5">
        <v>1.6440700000000288</v>
      </c>
      <c r="J201" s="26">
        <f>IF(I$184=0,"N.D.",I201/I$184)</f>
        <v>4.6510538417753071E-3</v>
      </c>
      <c r="K201" s="5">
        <v>-12.813360000000007</v>
      </c>
      <c r="L201" s="26">
        <f>IF(K$184=0,"N.D.",K201/K$184)</f>
        <v>-3.4979836450313294E-2</v>
      </c>
      <c r="M201" s="5">
        <v>-8.9306900000000393</v>
      </c>
      <c r="N201" s="26">
        <f>IF(M$184=0,"N.D.",M201/M$184)</f>
        <v>-2.5949213090619448E-2</v>
      </c>
      <c r="O201" s="5">
        <v>-8.2306100000000253</v>
      </c>
      <c r="P201" s="26">
        <f>IF(O$184=0,"N.D.",O201/O$184)</f>
        <v>-2.3342946624678642E-2</v>
      </c>
      <c r="Q201" s="5">
        <v>-6.5741600000000009</v>
      </c>
      <c r="R201" s="26">
        <f>IF(Q$184=0,"N.D.",Q201/Q$184)</f>
        <v>-2.0256951980360049E-2</v>
      </c>
      <c r="S201" s="5">
        <v>-2.1600300000000177</v>
      </c>
      <c r="T201" s="26">
        <f>IF(S$184=0,"N.D.",S201/S$184)</f>
        <v>-5.7908538326488946E-3</v>
      </c>
      <c r="U201" s="5">
        <v>-7.3265599999999722</v>
      </c>
      <c r="V201" s="26">
        <f>IF(U$184=0,"N.D.",U201/U$184)</f>
        <v>-2.0632284725844538E-2</v>
      </c>
      <c r="W201" s="5">
        <v>-37.552450000000036</v>
      </c>
      <c r="X201" s="26">
        <v>2.3811531326347269E-2</v>
      </c>
      <c r="Y201" s="5">
        <v>-10.218460000000009</v>
      </c>
      <c r="Z201" s="26">
        <f>IF(Y$184=0,"N.D.",Y201/Y$184)</f>
        <v>-2.8416310294586699E-2</v>
      </c>
      <c r="AA201" s="5">
        <f t="shared" si="64"/>
        <v>-91.965829999999983</v>
      </c>
      <c r="AB201" s="26">
        <f>IF(AA$184=0,"N.D.",AA201/AA$184)</f>
        <v>-2.1846423888609589E-2</v>
      </c>
    </row>
    <row r="202" spans="2:28" x14ac:dyDescent="0.25">
      <c r="B202" s="9"/>
      <c r="C202" s="74"/>
      <c r="D202" s="157"/>
      <c r="E202" s="74"/>
      <c r="F202" s="157"/>
      <c r="G202" s="74"/>
      <c r="H202" s="157"/>
      <c r="I202" s="74"/>
      <c r="J202" s="157"/>
      <c r="K202" s="74"/>
      <c r="L202" s="157"/>
      <c r="M202" s="74"/>
      <c r="N202" s="157"/>
      <c r="O202" s="74"/>
      <c r="P202" s="157"/>
      <c r="Q202" s="74"/>
      <c r="R202" s="157"/>
      <c r="S202" s="74"/>
      <c r="T202" s="157"/>
      <c r="U202" s="74"/>
      <c r="V202" s="157"/>
      <c r="W202" s="74"/>
      <c r="X202" s="157"/>
      <c r="Y202" s="74"/>
      <c r="Z202" s="157"/>
      <c r="AA202" s="74"/>
      <c r="AB202" s="157"/>
    </row>
    <row r="203" spans="2:28" x14ac:dyDescent="0.25">
      <c r="B203" s="9" t="s">
        <v>50</v>
      </c>
      <c r="C203" s="158">
        <v>0</v>
      </c>
      <c r="D203" s="156">
        <f t="shared" si="63"/>
        <v>0</v>
      </c>
      <c r="E203" s="158">
        <v>0</v>
      </c>
      <c r="F203" s="156">
        <f>IF(E$184=0,"N.D.",E203/E$184)</f>
        <v>0</v>
      </c>
      <c r="G203" s="158">
        <v>0</v>
      </c>
      <c r="H203" s="156">
        <f>IF(G$184=0,"N.D.",G203/G$184)</f>
        <v>0</v>
      </c>
      <c r="I203" s="158">
        <v>0</v>
      </c>
      <c r="J203" s="156">
        <f>IF(I$184=0,"N.D.",I203/I$184)</f>
        <v>0</v>
      </c>
      <c r="K203" s="158">
        <v>0</v>
      </c>
      <c r="L203" s="156">
        <f>IF(K$184=0,"N.D.",K203/K$184)</f>
        <v>0</v>
      </c>
      <c r="M203" s="158">
        <v>0</v>
      </c>
      <c r="N203" s="156">
        <f>IF(M$184=0,"N.D.",M203/M$184)</f>
        <v>0</v>
      </c>
      <c r="O203" s="158">
        <v>0</v>
      </c>
      <c r="P203" s="156">
        <f>IF(O$184=0,"N.D.",O203/O$184)</f>
        <v>0</v>
      </c>
      <c r="Q203" s="158">
        <v>0</v>
      </c>
      <c r="R203" s="156">
        <f>IF(Q$184=0,"N.D.",Q203/Q$184)</f>
        <v>0</v>
      </c>
      <c r="S203" s="158">
        <v>0</v>
      </c>
      <c r="T203" s="156">
        <f>IF(S$184=0,"N.D.",S203/S$184)</f>
        <v>0</v>
      </c>
      <c r="U203" s="158">
        <v>0</v>
      </c>
      <c r="V203" s="156">
        <f>IF(U$184=0,"N.D.",U203/U$184)</f>
        <v>0</v>
      </c>
      <c r="W203" s="158">
        <v>0</v>
      </c>
      <c r="X203" s="156">
        <v>0</v>
      </c>
      <c r="Y203" s="158">
        <v>0</v>
      </c>
      <c r="Z203" s="156">
        <f>IF(Y$184=0,"N.D.",Y203/Y$184)</f>
        <v>0</v>
      </c>
      <c r="AA203" s="158">
        <f t="shared" si="64"/>
        <v>0</v>
      </c>
      <c r="AB203" s="156">
        <f>IF(AA$184=0,"N.D.",AA203/AA$184)</f>
        <v>0</v>
      </c>
    </row>
    <row r="204" spans="2:28" x14ac:dyDescent="0.25">
      <c r="B204" s="80" t="s">
        <v>51</v>
      </c>
      <c r="C204" s="154">
        <v>0</v>
      </c>
      <c r="D204" s="155">
        <f t="shared" si="63"/>
        <v>0</v>
      </c>
      <c r="E204" s="154">
        <v>0</v>
      </c>
      <c r="F204" s="155">
        <f>IF(E$184=0,"N.D.",E204/E$184)</f>
        <v>0</v>
      </c>
      <c r="G204" s="154">
        <v>0</v>
      </c>
      <c r="H204" s="155">
        <f>IF(G$184=0,"N.D.",G204/G$184)</f>
        <v>0</v>
      </c>
      <c r="I204" s="154">
        <v>0</v>
      </c>
      <c r="J204" s="155">
        <f>IF(I$184=0,"N.D.",I204/I$184)</f>
        <v>0</v>
      </c>
      <c r="K204" s="154">
        <v>0</v>
      </c>
      <c r="L204" s="155">
        <f>IF(K$184=0,"N.D.",K204/K$184)</f>
        <v>0</v>
      </c>
      <c r="M204" s="154">
        <v>0</v>
      </c>
      <c r="N204" s="155">
        <f>IF(M$184=0,"N.D.",M204/M$184)</f>
        <v>0</v>
      </c>
      <c r="O204" s="154">
        <v>0</v>
      </c>
      <c r="P204" s="155">
        <f>IF(O$184=0,"N.D.",O204/O$184)</f>
        <v>0</v>
      </c>
      <c r="Q204" s="154">
        <v>0</v>
      </c>
      <c r="R204" s="155">
        <f>IF(Q$184=0,"N.D.",Q204/Q$184)</f>
        <v>0</v>
      </c>
      <c r="S204" s="154">
        <v>0</v>
      </c>
      <c r="T204" s="155">
        <f>IF(S$184=0,"N.D.",S204/S$184)</f>
        <v>0</v>
      </c>
      <c r="U204" s="154">
        <v>0</v>
      </c>
      <c r="V204" s="155">
        <f>IF(U$184=0,"N.D.",U204/U$184)</f>
        <v>0</v>
      </c>
      <c r="W204" s="154">
        <v>0</v>
      </c>
      <c r="X204" s="155">
        <v>0</v>
      </c>
      <c r="Y204" s="154">
        <v>0</v>
      </c>
      <c r="Z204" s="155">
        <f>IF(Y$184=0,"N.D.",Y204/Y$184)</f>
        <v>0</v>
      </c>
      <c r="AA204" s="154">
        <f t="shared" si="64"/>
        <v>0</v>
      </c>
      <c r="AB204" s="155">
        <f>IF(AA$184=0,"N.D.",AA204/AA$184)</f>
        <v>0</v>
      </c>
    </row>
    <row r="205" spans="2:28" ht="13" x14ac:dyDescent="0.3">
      <c r="B205" s="1" t="s">
        <v>53</v>
      </c>
      <c r="C205" s="5">
        <v>-14.58998999999997</v>
      </c>
      <c r="D205" s="26">
        <f t="shared" si="63"/>
        <v>-4.2638217399823777E-2</v>
      </c>
      <c r="E205" s="5">
        <v>8.3522200000000772</v>
      </c>
      <c r="F205" s="26">
        <f>IF(E$184=0,"N.D.",E205/E$184)</f>
        <v>2.4216681867898045E-2</v>
      </c>
      <c r="G205" s="5">
        <v>6.4341899999999876</v>
      </c>
      <c r="H205" s="26">
        <f>IF(G$184=0,"N.D.",G205/G$184)</f>
        <v>1.6755656436061462E-2</v>
      </c>
      <c r="I205" s="5">
        <v>1.6440700000000288</v>
      </c>
      <c r="J205" s="26">
        <f>IF(I$184=0,"N.D.",I205/I$184)</f>
        <v>4.6510538417753071E-3</v>
      </c>
      <c r="K205" s="5">
        <v>-12.813360000000007</v>
      </c>
      <c r="L205" s="26">
        <f>IF(K$184=0,"N.D.",K205/K$184)</f>
        <v>-3.4979836450313294E-2</v>
      </c>
      <c r="M205" s="5">
        <v>-8.9306900000000393</v>
      </c>
      <c r="N205" s="26">
        <f>IF(M$184=0,"N.D.",M205/M$184)</f>
        <v>-2.5949213090619448E-2</v>
      </c>
      <c r="O205" s="5">
        <v>-8.2306100000000253</v>
      </c>
      <c r="P205" s="26">
        <f>IF(O$184=0,"N.D.",O205/O$184)</f>
        <v>-2.3342946624678642E-2</v>
      </c>
      <c r="Q205" s="5">
        <v>-6.5741600000000009</v>
      </c>
      <c r="R205" s="26">
        <f>IF(Q$184=0,"N.D.",Q205/Q$184)</f>
        <v>-2.0256951980360049E-2</v>
      </c>
      <c r="S205" s="5">
        <v>-2.1600300000000177</v>
      </c>
      <c r="T205" s="26">
        <f>IF(S$184=0,"N.D.",S205/S$184)</f>
        <v>-5.7908538326488946E-3</v>
      </c>
      <c r="U205" s="5">
        <v>-7.3265599999999722</v>
      </c>
      <c r="V205" s="26">
        <f>IF(U$184=0,"N.D.",U205/U$184)</f>
        <v>-2.0632284725844538E-2</v>
      </c>
      <c r="W205" s="5">
        <v>-37.552450000000036</v>
      </c>
      <c r="X205" s="26">
        <v>2.3811531326347269E-2</v>
      </c>
      <c r="Y205" s="5">
        <v>-10.218460000000009</v>
      </c>
      <c r="Z205" s="26">
        <f>IF(Y$184=0,"N.D.",Y205/Y$184)</f>
        <v>-2.8416310294586699E-2</v>
      </c>
      <c r="AA205" s="5">
        <f t="shared" si="64"/>
        <v>-91.965829999999983</v>
      </c>
      <c r="AB205" s="26">
        <f>IF(AA$184=0,"N.D.",AA205/AA$184)</f>
        <v>-2.1846423888609589E-2</v>
      </c>
    </row>
    <row r="206" spans="2:28" ht="13" x14ac:dyDescent="0.3">
      <c r="B206" s="1" t="s">
        <v>122</v>
      </c>
      <c r="C206" s="5">
        <v>2.1138800000000284</v>
      </c>
      <c r="D206" s="26">
        <f t="shared" si="63"/>
        <v>6.1776653032072594E-3</v>
      </c>
      <c r="E206" s="5">
        <v>18.002900000000075</v>
      </c>
      <c r="F206" s="26">
        <f>IF(E$184=0,"N.D.",E206/E$184)</f>
        <v>5.2198158333901588E-2</v>
      </c>
      <c r="G206" s="5">
        <v>20.019709999999986</v>
      </c>
      <c r="H206" s="26">
        <f>IF(G$184=0,"N.D.",G206/G$184)</f>
        <v>5.2134516187676214E-2</v>
      </c>
      <c r="I206" s="5">
        <v>11.540880000000028</v>
      </c>
      <c r="J206" s="26">
        <f>IF(I$184=0,"N.D.",I206/I$184)</f>
        <v>3.2649007804696269E-2</v>
      </c>
      <c r="K206" s="5">
        <v>4.3387799999999936</v>
      </c>
      <c r="L206" s="26">
        <f>IF(K$184=0,"N.D.",K206/K$184)</f>
        <v>1.1844653923240274E-2</v>
      </c>
      <c r="M206" s="5">
        <v>7.1687599999999598</v>
      </c>
      <c r="N206" s="26">
        <f>IF(M$184=0,"N.D.",M206/M$184)</f>
        <v>2.0829709780040201E-2</v>
      </c>
      <c r="O206" s="5">
        <v>4.4207899999999736</v>
      </c>
      <c r="P206" s="26">
        <f>IF(O$184=0,"N.D.",O206/O$184)</f>
        <v>1.2537863537321312E-2</v>
      </c>
      <c r="Q206" s="5">
        <v>3.3915199999999985</v>
      </c>
      <c r="R206" s="26">
        <f>IF(Q$184=0,"N.D.",Q206/Q$184)</f>
        <v>1.0450286847358548E-2</v>
      </c>
      <c r="S206" s="5">
        <v>14.408829999999982</v>
      </c>
      <c r="T206" s="26">
        <f>IF(S$184=0,"N.D.",S206/S$184)</f>
        <v>3.8628828502143761E-2</v>
      </c>
      <c r="U206" s="5">
        <v>4.8029100000000273</v>
      </c>
      <c r="V206" s="26">
        <f>IF(U$184=0,"N.D.",U206/U$184)</f>
        <v>1.352544804555029E-2</v>
      </c>
      <c r="W206" s="5">
        <v>-21.077220000000036</v>
      </c>
      <c r="X206" s="26">
        <v>7.2467439511063339E-2</v>
      </c>
      <c r="Y206" s="5">
        <v>6.8271499999999889</v>
      </c>
      <c r="Z206" s="26">
        <f>IF(Y$184=0,"N.D.",Y206/Y$184)</f>
        <v>1.8985484390767991E-2</v>
      </c>
      <c r="AA206" s="5">
        <f t="shared" si="64"/>
        <v>75.958889999999997</v>
      </c>
      <c r="AB206" s="26">
        <f>IF(AA$184=0,"N.D.",AA206/AA$184)</f>
        <v>1.8043985565598313E-2</v>
      </c>
    </row>
    <row r="208" spans="2:28" x14ac:dyDescent="0.25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3:28" x14ac:dyDescent="0.25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3:28" x14ac:dyDescent="0.25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</sheetData>
  <pageMargins left="0.7" right="0.7" top="0.75" bottom="0.75" header="0.3" footer="0.3"/>
  <pageSetup scale="8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_Mes_Empresas">
    <tabColor rgb="FF00B0F0"/>
  </sheetPr>
  <dimension ref="A1:AD252"/>
  <sheetViews>
    <sheetView showGridLines="0" topLeftCell="A172" zoomScale="62" zoomScaleNormal="62" workbookViewId="0">
      <selection activeCell="Y216" sqref="Y216"/>
    </sheetView>
  </sheetViews>
  <sheetFormatPr baseColWidth="10" defaultColWidth="9.1796875" defaultRowHeight="12.5" x14ac:dyDescent="0.25"/>
  <cols>
    <col min="1" max="1" width="4.1796875" style="130" customWidth="1"/>
    <col min="2" max="2" width="22.81640625" style="131" customWidth="1"/>
    <col min="3" max="3" width="11.08984375" style="429" customWidth="1"/>
    <col min="4" max="4" width="7" style="428" customWidth="1"/>
    <col min="5" max="5" width="11.08984375" style="429" customWidth="1"/>
    <col min="6" max="6" width="7" style="428" customWidth="1"/>
    <col min="7" max="7" width="11.08984375" style="429" customWidth="1"/>
    <col min="8" max="8" width="7" style="428" customWidth="1"/>
    <col min="9" max="9" width="11.08984375" style="429" customWidth="1"/>
    <col min="10" max="10" width="7" style="428" customWidth="1"/>
    <col min="11" max="11" width="11.08984375" style="429" customWidth="1"/>
    <col min="12" max="12" width="7" style="428" customWidth="1"/>
    <col min="13" max="13" width="11.08984375" style="429" customWidth="1"/>
    <col min="14" max="14" width="7" style="428" customWidth="1"/>
    <col min="15" max="15" width="11.08984375" style="429" customWidth="1"/>
    <col min="16" max="16" width="7" style="428" customWidth="1"/>
    <col min="17" max="17" width="11.08984375" style="429" customWidth="1"/>
    <col min="18" max="18" width="7" style="428" customWidth="1"/>
    <col min="19" max="19" width="11.08984375" style="429" customWidth="1"/>
    <col min="20" max="20" width="7" style="428" customWidth="1"/>
    <col min="21" max="21" width="11.08984375" style="429" customWidth="1"/>
    <col min="22" max="22" width="7" style="428" customWidth="1"/>
    <col min="23" max="23" width="11.08984375" style="429" customWidth="1"/>
    <col min="24" max="24" width="7" style="428" customWidth="1"/>
    <col min="25" max="25" width="11.08984375" style="429" customWidth="1"/>
    <col min="26" max="26" width="7" style="428" customWidth="1"/>
    <col min="27" max="27" width="11.08984375" style="429" customWidth="1"/>
    <col min="28" max="28" width="7.453125" style="428" customWidth="1"/>
    <col min="29" max="30" width="9.1796875" style="429"/>
    <col min="31" max="16384" width="9.1796875" style="130"/>
  </cols>
  <sheetData>
    <row r="1" spans="1:30" x14ac:dyDescent="0.25">
      <c r="C1" s="347" t="str">
        <f>TEXT(DATE(YEAR(MES_CIERRE),1,1),"MMMM")</f>
        <v>enero</v>
      </c>
      <c r="D1" s="429"/>
      <c r="E1" s="347" t="str">
        <f>TEXT(DATE(YEAR(MES_CIERRE),2,1),"MMMM")</f>
        <v>febrero</v>
      </c>
      <c r="F1" s="429"/>
      <c r="G1" s="347" t="str">
        <f>TEXT(DATE(YEAR(MES_CIERRE),3,1),"MMMM")</f>
        <v>marzo</v>
      </c>
      <c r="H1" s="429"/>
      <c r="I1" s="347" t="str">
        <f>TEXT(DATE(YEAR(MES_CIERRE),4,1),"MMMM")</f>
        <v>abril</v>
      </c>
      <c r="J1" s="429"/>
      <c r="K1" s="347" t="str">
        <f>TEXT(DATE(YEAR(MES_CIERRE),5,1),"MMMM")</f>
        <v>mayo</v>
      </c>
      <c r="L1" s="429"/>
      <c r="M1" s="347" t="str">
        <f>TEXT(DATE(YEAR(MES_CIERRE),6,1),"MMMM")</f>
        <v>junio</v>
      </c>
      <c r="N1" s="429"/>
      <c r="O1" s="347" t="str">
        <f>TEXT(DATE(YEAR(MES_CIERRE),7,1),"MMMM")</f>
        <v>julio</v>
      </c>
      <c r="P1" s="429"/>
      <c r="Q1" s="347" t="str">
        <f>TEXT(DATE(YEAR(MES_CIERRE),8,1),"MMMM")</f>
        <v>agosto</v>
      </c>
      <c r="R1" s="429"/>
      <c r="S1" s="347" t="str">
        <f>TEXT(DATE(YEAR(MES_CIERRE),9,1),"MMMM")</f>
        <v>septiembre</v>
      </c>
      <c r="T1" s="429"/>
      <c r="U1" s="347" t="str">
        <f>TEXT(DATE(YEAR(MES_CIERRE),10,1),"MMMM")</f>
        <v>octubre</v>
      </c>
      <c r="V1" s="429"/>
      <c r="W1" s="347" t="str">
        <f>TEXT(DATE(YEAR(MES_CIERRE),11,1),"MMMM")</f>
        <v>noviembre</v>
      </c>
      <c r="X1" s="429"/>
      <c r="Y1" s="347" t="str">
        <f>TEXT(DATE(YEAR(MES_CIERRE),12,1),"MMMM")</f>
        <v>diciembre</v>
      </c>
      <c r="Z1" s="427"/>
      <c r="AA1" s="449"/>
      <c r="AB1" s="427"/>
    </row>
    <row r="2" spans="1:30" x14ac:dyDescent="0.25">
      <c r="C2" s="347"/>
      <c r="E2" s="347"/>
      <c r="G2" s="347"/>
      <c r="I2" s="347"/>
      <c r="K2" s="347"/>
      <c r="M2" s="347"/>
      <c r="O2" s="347"/>
      <c r="Q2" s="347"/>
      <c r="S2" s="347"/>
      <c r="U2" s="347"/>
      <c r="W2" s="347"/>
      <c r="Y2" s="347"/>
    </row>
    <row r="3" spans="1:30" x14ac:dyDescent="0.25">
      <c r="C3" s="347"/>
      <c r="E3" s="347"/>
      <c r="G3" s="347"/>
      <c r="I3" s="347"/>
      <c r="K3" s="347"/>
      <c r="M3" s="347"/>
      <c r="O3" s="347"/>
      <c r="Q3" s="347"/>
      <c r="S3" s="347"/>
      <c r="U3" s="347"/>
      <c r="W3" s="347"/>
      <c r="Y3" s="347"/>
    </row>
    <row r="4" spans="1:30" x14ac:dyDescent="0.25">
      <c r="C4" s="347"/>
      <c r="D4" s="429"/>
      <c r="E4" s="347"/>
      <c r="F4" s="429"/>
      <c r="G4" s="347"/>
      <c r="H4" s="429"/>
      <c r="I4" s="347"/>
      <c r="J4" s="429"/>
      <c r="K4" s="347"/>
      <c r="L4" s="429"/>
      <c r="M4" s="347"/>
      <c r="N4" s="429"/>
      <c r="O4" s="347"/>
      <c r="P4" s="429"/>
      <c r="Q4" s="347"/>
      <c r="R4" s="429"/>
      <c r="S4" s="347"/>
      <c r="T4" s="429"/>
      <c r="U4" s="347"/>
      <c r="V4" s="429"/>
      <c r="W4" s="347"/>
      <c r="X4" s="429"/>
      <c r="Y4" s="347"/>
      <c r="Z4" s="429"/>
      <c r="AB4" s="429"/>
    </row>
    <row r="5" spans="1:30" x14ac:dyDescent="0.25">
      <c r="C5" s="347"/>
      <c r="E5" s="347"/>
      <c r="G5" s="347"/>
      <c r="I5" s="347"/>
      <c r="K5" s="347"/>
      <c r="M5" s="347"/>
      <c r="O5" s="347"/>
      <c r="Q5" s="347"/>
      <c r="S5" s="347"/>
      <c r="U5" s="347"/>
      <c r="W5" s="347"/>
      <c r="Y5" s="347"/>
      <c r="Z5" s="429"/>
      <c r="AB5" s="429"/>
    </row>
    <row r="6" spans="1:30" ht="13" x14ac:dyDescent="0.3">
      <c r="A6" s="134" t="str">
        <f>YEAR(MES_CIERRE)&amp;" Actual"</f>
        <v>2019 Actual</v>
      </c>
      <c r="C6" s="347"/>
      <c r="D6" s="429"/>
      <c r="E6" s="347"/>
      <c r="F6" s="429"/>
      <c r="G6" s="347"/>
      <c r="H6" s="429"/>
      <c r="I6" s="347"/>
      <c r="J6" s="429"/>
      <c r="K6" s="347"/>
      <c r="L6" s="429"/>
      <c r="M6" s="347"/>
      <c r="N6" s="429"/>
      <c r="O6" s="347"/>
      <c r="P6" s="429"/>
      <c r="Q6" s="347"/>
      <c r="R6" s="429"/>
      <c r="S6" s="347"/>
      <c r="T6" s="429"/>
      <c r="U6" s="347"/>
      <c r="V6" s="429"/>
      <c r="W6" s="347"/>
      <c r="X6" s="429"/>
      <c r="Y6" s="347"/>
      <c r="Z6" s="429"/>
      <c r="AB6" s="429"/>
    </row>
    <row r="7" spans="1:30" ht="13" x14ac:dyDescent="0.3">
      <c r="C7" s="450"/>
      <c r="D7" s="430"/>
      <c r="E7" s="450"/>
      <c r="F7" s="430"/>
      <c r="G7" s="450"/>
      <c r="H7" s="430"/>
      <c r="I7" s="450"/>
      <c r="J7" s="430"/>
      <c r="K7" s="450"/>
      <c r="L7" s="430"/>
      <c r="M7" s="450"/>
      <c r="N7" s="430"/>
      <c r="O7" s="450"/>
      <c r="P7" s="430"/>
      <c r="Q7" s="450"/>
      <c r="R7" s="430"/>
      <c r="S7" s="450"/>
      <c r="T7" s="430"/>
      <c r="U7" s="450"/>
      <c r="V7" s="430"/>
      <c r="W7" s="450"/>
      <c r="X7" s="430"/>
      <c r="Y7" s="450"/>
      <c r="Z7" s="430"/>
      <c r="AA7" s="450"/>
      <c r="AB7" s="430"/>
      <c r="AD7" s="451" t="s">
        <v>454</v>
      </c>
    </row>
    <row r="8" spans="1:30" ht="13" x14ac:dyDescent="0.3">
      <c r="C8" s="450"/>
      <c r="D8" s="430"/>
      <c r="E8" s="450"/>
      <c r="F8" s="430"/>
      <c r="G8" s="450"/>
      <c r="H8" s="430"/>
      <c r="I8" s="450"/>
      <c r="J8" s="430"/>
      <c r="K8" s="450"/>
      <c r="L8" s="430"/>
      <c r="M8" s="450"/>
      <c r="N8" s="430"/>
      <c r="O8" s="450"/>
      <c r="P8" s="430"/>
      <c r="Q8" s="450"/>
      <c r="R8" s="430"/>
      <c r="S8" s="450"/>
      <c r="T8" s="430"/>
      <c r="U8" s="450"/>
      <c r="V8" s="430"/>
      <c r="W8" s="450"/>
      <c r="X8" s="430"/>
      <c r="Y8" s="450"/>
      <c r="Z8" s="430"/>
      <c r="AA8" s="450"/>
      <c r="AB8" s="430"/>
      <c r="AD8" s="451" t="s">
        <v>455</v>
      </c>
    </row>
    <row r="9" spans="1:30" ht="13" x14ac:dyDescent="0.3">
      <c r="C9" s="450"/>
      <c r="D9" s="430"/>
      <c r="E9" s="450"/>
      <c r="F9" s="430"/>
      <c r="G9" s="450"/>
      <c r="H9" s="430"/>
      <c r="I9" s="450"/>
      <c r="J9" s="430"/>
      <c r="K9" s="450"/>
      <c r="L9" s="430"/>
      <c r="M9" s="450"/>
      <c r="N9" s="430"/>
      <c r="O9" s="450"/>
      <c r="P9" s="430"/>
      <c r="Q9" s="450"/>
      <c r="R9" s="430"/>
      <c r="S9" s="450"/>
      <c r="T9" s="430"/>
      <c r="U9" s="450"/>
      <c r="V9" s="430"/>
      <c r="W9" s="450"/>
      <c r="X9" s="430"/>
      <c r="Y9" s="450"/>
      <c r="Z9" s="430"/>
      <c r="AA9" s="450"/>
      <c r="AB9" s="430"/>
      <c r="AD9" s="451" t="s">
        <v>456</v>
      </c>
    </row>
    <row r="10" spans="1:30" ht="13" x14ac:dyDescent="0.3">
      <c r="B10" s="250" t="s">
        <v>196</v>
      </c>
      <c r="C10" s="396" t="s">
        <v>418</v>
      </c>
      <c r="D10" s="397"/>
      <c r="E10" s="396" t="s">
        <v>419</v>
      </c>
      <c r="F10" s="397"/>
      <c r="G10" s="396" t="s">
        <v>417</v>
      </c>
      <c r="H10" s="397"/>
      <c r="I10" s="396" t="s">
        <v>420</v>
      </c>
      <c r="J10" s="397"/>
      <c r="K10" s="396" t="s">
        <v>421</v>
      </c>
      <c r="L10" s="397"/>
      <c r="M10" s="396" t="s">
        <v>422</v>
      </c>
      <c r="N10" s="397"/>
      <c r="O10" s="396" t="s">
        <v>423</v>
      </c>
      <c r="P10" s="397"/>
      <c r="Q10" s="396" t="s">
        <v>428</v>
      </c>
      <c r="R10" s="397"/>
      <c r="S10" s="396" t="s">
        <v>424</v>
      </c>
      <c r="T10" s="397"/>
      <c r="U10" s="396" t="s">
        <v>425</v>
      </c>
      <c r="V10" s="397"/>
      <c r="W10" s="396" t="s">
        <v>426</v>
      </c>
      <c r="X10" s="397"/>
      <c r="Y10" s="396" t="s">
        <v>427</v>
      </c>
      <c r="Z10" s="431"/>
      <c r="AA10" s="452" t="s">
        <v>496</v>
      </c>
      <c r="AB10" s="431"/>
      <c r="AD10" s="453">
        <f>ROUND(SUM(AD11:AD38),0)</f>
        <v>-5515</v>
      </c>
    </row>
    <row r="11" spans="1:30" x14ac:dyDescent="0.25">
      <c r="B11" s="137" t="s">
        <v>38</v>
      </c>
      <c r="C11" s="454">
        <f>+C44+C110+C77+C176+C209+C143</f>
        <v>3206.1209999999992</v>
      </c>
      <c r="D11" s="433">
        <f>IF(C$11=0,"N.D.",C11/C$11)</f>
        <v>1</v>
      </c>
      <c r="E11" s="454">
        <f>+E44+E110+E77+E176+E209+E143</f>
        <v>3211.2429999999995</v>
      </c>
      <c r="F11" s="433">
        <f>IF(E$11=0,"N.D.",E11/E$11)</f>
        <v>1</v>
      </c>
      <c r="G11" s="454">
        <f>+G44+G110+G77+G176+G209+G143</f>
        <v>3584.7779999999998</v>
      </c>
      <c r="H11" s="433">
        <f>IF(G$11=0,"N.D.",G11/G$11)</f>
        <v>1</v>
      </c>
      <c r="I11" s="454">
        <f>+I44+I110+I77+I176+I209+I143</f>
        <v>2397.9750000000004</v>
      </c>
      <c r="J11" s="433">
        <f>IF(I$11=0,"N.D.",I11/I$11)</f>
        <v>1</v>
      </c>
      <c r="K11" s="454">
        <f>+K44+K110+K77+K176+K209+K143</f>
        <v>1650.9629999999997</v>
      </c>
      <c r="L11" s="433">
        <f>IF(K$11=0,"N.D.",K11/K$11)</f>
        <v>1</v>
      </c>
      <c r="M11" s="454">
        <f>+M44+M110+M77+M176+M209+M143</f>
        <v>1560.117</v>
      </c>
      <c r="N11" s="433">
        <f>IF(M$11=0,"N.D.",M11/M$11)</f>
        <v>1</v>
      </c>
      <c r="O11" s="454">
        <f>+O44+O110+O77+O176+O209+O143</f>
        <v>1560.11716</v>
      </c>
      <c r="P11" s="433">
        <f>IF(O$11=0,"N.D.",O11/O$11)</f>
        <v>1</v>
      </c>
      <c r="Q11" s="454">
        <f>+Q44+Q110+Q77+Q176+Q209+Q143</f>
        <v>0</v>
      </c>
      <c r="R11" s="433" t="str">
        <f>IF(Q$11=0,"N.D.",Q11/Q$11)</f>
        <v>N.D.</v>
      </c>
      <c r="S11" s="454">
        <f>+S44+S110+S77+S176+S209+S143</f>
        <v>0</v>
      </c>
      <c r="T11" s="433" t="str">
        <f>IF(S$11=0,"N.D.",S11/S$11)</f>
        <v>N.D.</v>
      </c>
      <c r="U11" s="454">
        <f>+U44+U110+U77+U176+U209+U143</f>
        <v>0</v>
      </c>
      <c r="V11" s="433" t="str">
        <f>IF(U$11=0,"N.D.",U11/U$11)</f>
        <v>N.D.</v>
      </c>
      <c r="W11" s="454">
        <f>+W44+W110+W77+W176+W209+W143</f>
        <v>0</v>
      </c>
      <c r="X11" s="433" t="str">
        <f>IF(W$11=0,"N.D.",W11/W$11)</f>
        <v>N.D.</v>
      </c>
      <c r="Y11" s="454">
        <f>+Y44+Y110+Y77+Y176+Y209+Y143</f>
        <v>0</v>
      </c>
      <c r="Z11" s="433" t="str">
        <f>IF(Y$11=0,"N.D.",Y11/Y$11)</f>
        <v>N.D.</v>
      </c>
      <c r="AA11" s="455">
        <f>+AA44+AA110+AA77+AA176+AA209+AA143</f>
        <v>17171.314160000002</v>
      </c>
      <c r="AB11" s="433">
        <f>IF(AA$11=0,"N.D.",AA11/AA$11)</f>
        <v>1</v>
      </c>
      <c r="AD11" s="455">
        <f>ER!AE9-'ER Act'!AA11</f>
        <v>-1560.1191900000031</v>
      </c>
    </row>
    <row r="12" spans="1:30" x14ac:dyDescent="0.25">
      <c r="B12" s="146" t="s">
        <v>39</v>
      </c>
      <c r="C12" s="454">
        <f>+C45+C111+C78+C177+C210+C144</f>
        <v>1122.2840000000001</v>
      </c>
      <c r="D12" s="434">
        <f>IF(C$11=0,"N.D.",C12/C$11)</f>
        <v>0.35004418111481145</v>
      </c>
      <c r="E12" s="454">
        <f>+E45+E111+E78+E177+E210+E144</f>
        <v>1102.5910000000001</v>
      </c>
      <c r="F12" s="434">
        <f>IF(E$11=0,"N.D.",E12/E$11)</f>
        <v>0.34335333700999904</v>
      </c>
      <c r="G12" s="454">
        <f>+G45+G111+G78+G177+G210+G144</f>
        <v>1209.7780000000002</v>
      </c>
      <c r="H12" s="434">
        <f>IF(G$11=0,"N.D.",G12/G$11)</f>
        <v>0.33747640718616334</v>
      </c>
      <c r="I12" s="454">
        <f>+I45+I111+I78+I177+I210+I144</f>
        <v>785.673</v>
      </c>
      <c r="J12" s="434">
        <f>IF(I$11=0,"N.D.",I12/I$11)</f>
        <v>0.32764019641572573</v>
      </c>
      <c r="K12" s="454">
        <f>+K45+K111+K78+K177+K210+K144</f>
        <v>516.04099999999994</v>
      </c>
      <c r="L12" s="434">
        <f>IF(K$11=0,"N.D.",K12/K$11)</f>
        <v>0.31256969417243152</v>
      </c>
      <c r="M12" s="454">
        <f>+M45+M111+M78+M177+M210+M144</f>
        <v>472.18200000000002</v>
      </c>
      <c r="N12" s="434">
        <f>IF(M$11=0,"N.D.",M12/M$11)</f>
        <v>0.30265806987552857</v>
      </c>
      <c r="O12" s="454">
        <f>+O45+O111+O78+O177+O210+O144</f>
        <v>472.18195000000003</v>
      </c>
      <c r="P12" s="434">
        <f>IF(O$11=0,"N.D.",O12/O$11)</f>
        <v>0.30265800678713128</v>
      </c>
      <c r="Q12" s="454">
        <f>+Q45+Q111+Q78+Q177+Q210+Q144</f>
        <v>0</v>
      </c>
      <c r="R12" s="434" t="str">
        <f>IF(Q$11=0,"N.D.",Q12/Q$11)</f>
        <v>N.D.</v>
      </c>
      <c r="S12" s="454">
        <f>+S45+S111+S78+S177+S210+S144</f>
        <v>0</v>
      </c>
      <c r="T12" s="434" t="str">
        <f>IF(S$11=0,"N.D.",S12/S$11)</f>
        <v>N.D.</v>
      </c>
      <c r="U12" s="454">
        <f>+U45+U111+U78+U177+U210+U144</f>
        <v>0</v>
      </c>
      <c r="V12" s="434" t="str">
        <f>IF(U$11=0,"N.D.",U12/U$11)</f>
        <v>N.D.</v>
      </c>
      <c r="W12" s="454">
        <f>+W45+W111+W78+W177+W210+W144</f>
        <v>0</v>
      </c>
      <c r="X12" s="434" t="str">
        <f>IF(W$11=0,"N.D.",W12/W$11)</f>
        <v>N.D.</v>
      </c>
      <c r="Y12" s="454">
        <f>+Y45+Y111+Y78+Y177+Y210+Y144</f>
        <v>0</v>
      </c>
      <c r="Z12" s="434" t="str">
        <f>IF(Y$11=0,"N.D.",Y12/Y$11)</f>
        <v>N.D.</v>
      </c>
      <c r="AA12" s="454">
        <f>+AA45+AA111+AA78+AA177+AA210+AA144</f>
        <v>5680.730950000001</v>
      </c>
      <c r="AB12" s="434">
        <f>IF(AA$11=0,"N.D.",AA12/AA$11)</f>
        <v>0.3308268020180466</v>
      </c>
      <c r="AD12" s="454">
        <f>ER!AE10-'ER Act'!AA12</f>
        <v>-472.18327000000045</v>
      </c>
    </row>
    <row r="13" spans="1:30" x14ac:dyDescent="0.25">
      <c r="B13" s="9" t="s">
        <v>219</v>
      </c>
      <c r="C13" s="454">
        <f>+C46+C112+C79+C178+C211+C145</f>
        <v>0</v>
      </c>
      <c r="D13" s="434">
        <f>IF(C$11=0,"N.D.",C13/C$11)</f>
        <v>0</v>
      </c>
      <c r="E13" s="454">
        <f>+E46+E112+E79+E178+E211+E145</f>
        <v>0</v>
      </c>
      <c r="F13" s="434">
        <f>IF(E$11=0,"N.D.",E13/E$11)</f>
        <v>0</v>
      </c>
      <c r="G13" s="454">
        <f>+G46+G112+G79+G178+G211+G145</f>
        <v>0</v>
      </c>
      <c r="H13" s="434">
        <f>IF(G$11=0,"N.D.",G13/G$11)</f>
        <v>0</v>
      </c>
      <c r="I13" s="454">
        <f>+I46+I112+I79+I178+I211+I145</f>
        <v>0</v>
      </c>
      <c r="J13" s="434">
        <f>IF(I$11=0,"N.D.",I13/I$11)</f>
        <v>0</v>
      </c>
      <c r="K13" s="454">
        <f>+K46+K112+K79+K178+K211+K145</f>
        <v>0</v>
      </c>
      <c r="L13" s="434">
        <f>IF(K$11=0,"N.D.",K13/K$11)</f>
        <v>0</v>
      </c>
      <c r="M13" s="454">
        <f>+M46+M112+M79+M178+M211+M145</f>
        <v>0</v>
      </c>
      <c r="N13" s="434">
        <f>IF(M$11=0,"N.D.",M13/M$11)</f>
        <v>0</v>
      </c>
      <c r="O13" s="454">
        <f>+O46+O112+O79+O178+O211+O145</f>
        <v>0</v>
      </c>
      <c r="P13" s="434">
        <f>IF(O$11=0,"N.D.",O13/O$11)</f>
        <v>0</v>
      </c>
      <c r="Q13" s="454">
        <f>+Q46+Q112+Q79+Q178+Q211+Q145</f>
        <v>0</v>
      </c>
      <c r="R13" s="434" t="str">
        <f>IF(Q$11=0,"N.D.",Q13/Q$11)</f>
        <v>N.D.</v>
      </c>
      <c r="S13" s="454">
        <f>+S46+S112+S79+S178+S211+S145</f>
        <v>0</v>
      </c>
      <c r="T13" s="434" t="str">
        <f>IF(S$11=0,"N.D.",S13/S$11)</f>
        <v>N.D.</v>
      </c>
      <c r="U13" s="454">
        <f>+U46+U112+U79+U178+U211+U145</f>
        <v>0</v>
      </c>
      <c r="V13" s="434" t="str">
        <f>IF(U$11=0,"N.D.",U13/U$11)</f>
        <v>N.D.</v>
      </c>
      <c r="W13" s="454">
        <f>+W46+W112+W79+W178+W211+W145</f>
        <v>0</v>
      </c>
      <c r="X13" s="434" t="str">
        <f>IF(W$11=0,"N.D.",W13/W$11)</f>
        <v>N.D.</v>
      </c>
      <c r="Y13" s="454">
        <f>+Y46+Y112+Y79+Y178+Y211+Y145</f>
        <v>0</v>
      </c>
      <c r="Z13" s="434" t="str">
        <f>IF(Y$11=0,"N.D.",Y13/Y$11)</f>
        <v>N.D.</v>
      </c>
      <c r="AA13" s="454"/>
      <c r="AB13" s="434">
        <f>IF(AA$11=0,"N.D.",AA13/AA$11)</f>
        <v>0</v>
      </c>
      <c r="AD13" s="454">
        <f>ER!AE11-'ER Act'!AA13</f>
        <v>0</v>
      </c>
    </row>
    <row r="14" spans="1:30" ht="13" x14ac:dyDescent="0.3">
      <c r="B14" s="137" t="s">
        <v>40</v>
      </c>
      <c r="C14" s="456">
        <f>+C11-C12-C13</f>
        <v>2083.8369999999991</v>
      </c>
      <c r="D14" s="411">
        <f>IF(C$11=0,"N.D.",C14/C$11)</f>
        <v>0.64995581888518861</v>
      </c>
      <c r="E14" s="456">
        <f>+E11-E12-E13</f>
        <v>2108.6519999999991</v>
      </c>
      <c r="F14" s="411">
        <f>IF(E$11=0,"N.D.",E14/E$11)</f>
        <v>0.65664666299000085</v>
      </c>
      <c r="G14" s="456">
        <f>+G11-G12-G13</f>
        <v>2374.9999999999995</v>
      </c>
      <c r="H14" s="411">
        <f>IF(G$11=0,"N.D.",G14/G$11)</f>
        <v>0.66252359281383666</v>
      </c>
      <c r="I14" s="456">
        <f>+I11-I12-I13</f>
        <v>1612.3020000000004</v>
      </c>
      <c r="J14" s="411">
        <f>IF(I$11=0,"N.D.",I14/I$11)</f>
        <v>0.67235980358427427</v>
      </c>
      <c r="K14" s="456">
        <f>+K11-K12-K13</f>
        <v>1134.9219999999998</v>
      </c>
      <c r="L14" s="411">
        <f>IF(K$11=0,"N.D.",K14/K$11)</f>
        <v>0.68743030582756848</v>
      </c>
      <c r="M14" s="456">
        <f>+M11-M12-M13</f>
        <v>1087.9349999999999</v>
      </c>
      <c r="N14" s="411">
        <f>IF(M$11=0,"N.D.",M14/M$11)</f>
        <v>0.69734193012447143</v>
      </c>
      <c r="O14" s="456">
        <f>+O11-O12-O13</f>
        <v>1087.9352100000001</v>
      </c>
      <c r="P14" s="411">
        <f>IF(O$11=0,"N.D.",O14/O$11)</f>
        <v>0.69734199321286872</v>
      </c>
      <c r="Q14" s="456">
        <f>+Q11-Q12-Q13</f>
        <v>0</v>
      </c>
      <c r="R14" s="411" t="str">
        <f>IF(Q$11=0,"N.D.",Q14/Q$11)</f>
        <v>N.D.</v>
      </c>
      <c r="S14" s="456">
        <f>+S11-S12-S13</f>
        <v>0</v>
      </c>
      <c r="T14" s="411" t="str">
        <f>IF(S$11=0,"N.D.",S14/S$11)</f>
        <v>N.D.</v>
      </c>
      <c r="U14" s="456">
        <f>+U11-U12-U13</f>
        <v>0</v>
      </c>
      <c r="V14" s="411" t="str">
        <f>IF(U$11=0,"N.D.",U14/U$11)</f>
        <v>N.D.</v>
      </c>
      <c r="W14" s="456">
        <f>+W11-W12-W13</f>
        <v>0</v>
      </c>
      <c r="X14" s="411" t="str">
        <f>IF(W$11=0,"N.D.",W14/W$11)</f>
        <v>N.D.</v>
      </c>
      <c r="Y14" s="456">
        <f>+Y11-Y12-Y13</f>
        <v>0</v>
      </c>
      <c r="Z14" s="411" t="str">
        <f>IF(Y$11=0,"N.D.",Y14/Y$11)</f>
        <v>N.D.</v>
      </c>
      <c r="AA14" s="456">
        <f>+AA11-AA12-AA13</f>
        <v>11490.583210000001</v>
      </c>
      <c r="AB14" s="411">
        <f>IF(AA$11=0,"N.D.",AA14/AA$11)</f>
        <v>0.6691731979819534</v>
      </c>
      <c r="AD14" s="456">
        <f>ER!AE12-'ER Act'!AA14</f>
        <v>-1087.9359200000017</v>
      </c>
    </row>
    <row r="15" spans="1:30" x14ac:dyDescent="0.25">
      <c r="B15" s="137"/>
      <c r="C15" s="457"/>
      <c r="D15" s="435"/>
      <c r="E15" s="457"/>
      <c r="F15" s="435"/>
      <c r="G15" s="457"/>
      <c r="H15" s="435"/>
      <c r="I15" s="457"/>
      <c r="J15" s="435"/>
      <c r="K15" s="457"/>
      <c r="L15" s="435"/>
      <c r="M15" s="457"/>
      <c r="N15" s="435"/>
      <c r="O15" s="457"/>
      <c r="P15" s="435"/>
      <c r="Q15" s="457"/>
      <c r="R15" s="435"/>
      <c r="S15" s="457"/>
      <c r="T15" s="435"/>
      <c r="U15" s="457"/>
      <c r="V15" s="435"/>
      <c r="W15" s="457"/>
      <c r="X15" s="435"/>
      <c r="Y15" s="457"/>
      <c r="Z15" s="435"/>
      <c r="AA15" s="457"/>
      <c r="AB15" s="435"/>
      <c r="AD15" s="457"/>
    </row>
    <row r="16" spans="1:30" x14ac:dyDescent="0.25">
      <c r="B16" s="137" t="s">
        <v>41</v>
      </c>
      <c r="C16" s="455">
        <f>+C49+C115+C82+C181+C214+C148</f>
        <v>1886.5309999999999</v>
      </c>
      <c r="D16" s="433">
        <f>IF(C$11=0,"N.D.",C16/C$11)</f>
        <v>0.58841540915018509</v>
      </c>
      <c r="E16" s="455">
        <f>+E49+E115+E82+E181+E214+E148</f>
        <v>1770.164</v>
      </c>
      <c r="F16" s="433">
        <f>IF(E$11=0,"N.D.",E16/E$11)</f>
        <v>0.5512395044535715</v>
      </c>
      <c r="G16" s="455">
        <f>+G49+G115+G82+G181+G214+G148</f>
        <v>1932</v>
      </c>
      <c r="H16" s="433">
        <f>IF(G$11=0,"N.D.",G16/G$11)</f>
        <v>0.53894550792266638</v>
      </c>
      <c r="I16" s="455">
        <f>+I49+I115+I82+I181+I214+I148</f>
        <v>1392.2140000000002</v>
      </c>
      <c r="J16" s="433">
        <f>IF(I$11=0,"N.D.",I16/I$11)</f>
        <v>0.58057903022341761</v>
      </c>
      <c r="K16" s="455">
        <f>+K49+K115+K82+K181+K214+K148</f>
        <v>955.88200000000006</v>
      </c>
      <c r="L16" s="433">
        <f>IF(K$11=0,"N.D.",K16/K$11)</f>
        <v>0.57898450782967292</v>
      </c>
      <c r="M16" s="455">
        <f>+M49+M115+M82+M181+M214+M148</f>
        <v>941.43799999999987</v>
      </c>
      <c r="N16" s="433">
        <f>IF(M$11=0,"N.D.",M16/M$11)</f>
        <v>0.60344063938794323</v>
      </c>
      <c r="O16" s="455">
        <f>+O49+O115+O82+O181+O214+O148</f>
        <v>941.43778999999995</v>
      </c>
      <c r="P16" s="433">
        <f>IF(O$11=0,"N.D.",O16/O$11)</f>
        <v>0.6034404428959681</v>
      </c>
      <c r="Q16" s="455">
        <f>+Q49+Q115+Q82+Q181+Q214+Q148</f>
        <v>0</v>
      </c>
      <c r="R16" s="433" t="str">
        <f>IF(Q$11=0,"N.D.",Q16/Q$11)</f>
        <v>N.D.</v>
      </c>
      <c r="S16" s="455">
        <f>+S49+S115+S82+S181+S214+S148</f>
        <v>0</v>
      </c>
      <c r="T16" s="433" t="str">
        <f>IF(S$11=0,"N.D.",S16/S$11)</f>
        <v>N.D.</v>
      </c>
      <c r="U16" s="455">
        <f>+U49+U115+U82+U181+U214+U148</f>
        <v>0</v>
      </c>
      <c r="V16" s="433" t="str">
        <f>IF(U$11=0,"N.D.",U16/U$11)</f>
        <v>N.D.</v>
      </c>
      <c r="W16" s="455">
        <f>+W49+W115+W82+W181+W214+W148</f>
        <v>0</v>
      </c>
      <c r="X16" s="433" t="str">
        <f>IF(W$11=0,"N.D.",W16/W$11)</f>
        <v>N.D.</v>
      </c>
      <c r="Y16" s="455">
        <f>+Y49+Y115+Y82+Y181+Y214+Y148</f>
        <v>0</v>
      </c>
      <c r="Z16" s="433" t="str">
        <f>IF(Y$11=0,"N.D.",Y16/Y$11)</f>
        <v>N.D.</v>
      </c>
      <c r="AA16" s="455">
        <f>+AA49+AA115+AA82+AA181+AA214+AA148</f>
        <v>9819.6667900000011</v>
      </c>
      <c r="AB16" s="433">
        <f>IF(AA$11=0,"N.D.",AA16/AA$11)</f>
        <v>0.57186460503265291</v>
      </c>
      <c r="AD16" s="455">
        <f>ER!AE14-'ER Act'!AA16</f>
        <v>-941.4380000000001</v>
      </c>
    </row>
    <row r="17" spans="2:30" x14ac:dyDescent="0.25">
      <c r="B17" s="137" t="s">
        <v>42</v>
      </c>
      <c r="C17" s="454">
        <f>+C50+C116+C83+C182+C215+C149</f>
        <v>175.96700000000001</v>
      </c>
      <c r="D17" s="434">
        <f>IF(C$11=0,"N.D.",C17/C$11)</f>
        <v>5.4884703353366905E-2</v>
      </c>
      <c r="E17" s="454">
        <f>+E50+E116+E83+E182+E215+E149</f>
        <v>147.19299999999998</v>
      </c>
      <c r="F17" s="434">
        <f>IF(E$11=0,"N.D.",E17/E$11)</f>
        <v>4.5836767880848631E-2</v>
      </c>
      <c r="G17" s="454">
        <f>+G50+G116+G83+G182+G215+G149</f>
        <v>175.614</v>
      </c>
      <c r="H17" s="434">
        <f>IF(G$11=0,"N.D.",G17/G$11)</f>
        <v>4.8988807675119636E-2</v>
      </c>
      <c r="I17" s="454">
        <f>+I50+I116+I83+I182+I215+I149</f>
        <v>132.57900000000001</v>
      </c>
      <c r="J17" s="434">
        <f>IF(I$11=0,"N.D.",I17/I$11)</f>
        <v>5.5287899164920398E-2</v>
      </c>
      <c r="K17" s="454">
        <f>+K50+K116+K83+K182+K215+K149</f>
        <v>83.8</v>
      </c>
      <c r="L17" s="434">
        <f>IF(K$11=0,"N.D.",K17/K$11)</f>
        <v>5.0758254424841748E-2</v>
      </c>
      <c r="M17" s="454">
        <f>+M50+M116+M83+M182+M215+M149</f>
        <v>52.598000000000006</v>
      </c>
      <c r="N17" s="434">
        <f>IF(M$11=0,"N.D.",M17/M$11)</f>
        <v>3.3714138106308696E-2</v>
      </c>
      <c r="O17" s="454">
        <f>+O50+O116+O83+O182+O215+O149</f>
        <v>52.597770000000004</v>
      </c>
      <c r="P17" s="434">
        <f>IF(O$11=0,"N.D.",O17/O$11)</f>
        <v>3.3713987223882601E-2</v>
      </c>
      <c r="Q17" s="454">
        <f>+Q50+Q116+Q83+Q182+Q215+Q149</f>
        <v>0</v>
      </c>
      <c r="R17" s="434" t="str">
        <f>IF(Q$11=0,"N.D.",Q17/Q$11)</f>
        <v>N.D.</v>
      </c>
      <c r="S17" s="454">
        <f>+S50+S116+S83+S182+S215+S149</f>
        <v>0</v>
      </c>
      <c r="T17" s="434" t="str">
        <f>IF(S$11=0,"N.D.",S17/S$11)</f>
        <v>N.D.</v>
      </c>
      <c r="U17" s="454">
        <f>+U50+U116+U83+U182+U215+U149</f>
        <v>0</v>
      </c>
      <c r="V17" s="434" t="str">
        <f>IF(U$11=0,"N.D.",U17/U$11)</f>
        <v>N.D.</v>
      </c>
      <c r="W17" s="454">
        <f>+W50+W116+W83+W182+W215+W149</f>
        <v>0</v>
      </c>
      <c r="X17" s="434" t="str">
        <f>IF(W$11=0,"N.D.",W17/W$11)</f>
        <v>N.D.</v>
      </c>
      <c r="Y17" s="454">
        <f>+Y50+Y116+Y83+Y182+Y215+Y149</f>
        <v>0</v>
      </c>
      <c r="Z17" s="434" t="str">
        <f>IF(Y$11=0,"N.D.",Y17/Y$11)</f>
        <v>N.D.</v>
      </c>
      <c r="AA17" s="454">
        <f>+AA50+AA116+AA83+AA182+AA215+AA149</f>
        <v>820.34877000000006</v>
      </c>
      <c r="AB17" s="434">
        <f>IF(AA$11=0,"N.D.",AA17/AA$11)</f>
        <v>4.7774373140931456E-2</v>
      </c>
      <c r="AD17" s="454">
        <f>ER!AE15-'ER Act'!AA17</f>
        <v>-52.600710000000049</v>
      </c>
    </row>
    <row r="18" spans="2:30" x14ac:dyDescent="0.25">
      <c r="B18" s="137" t="s">
        <v>43</v>
      </c>
      <c r="C18" s="454">
        <f>+C51+C117+C84+C183+C216+C150</f>
        <v>65.051000000000002</v>
      </c>
      <c r="D18" s="434">
        <f>IF(C$11=0,"N.D.",C18/C$11)</f>
        <v>2.0289627247380874E-2</v>
      </c>
      <c r="E18" s="454">
        <f>+E51+E117+E84+E183+E216+E150</f>
        <v>65.051000000000002</v>
      </c>
      <c r="F18" s="434">
        <f>IF(E$11=0,"N.D.",E18/E$11)</f>
        <v>2.0257264865972464E-2</v>
      </c>
      <c r="G18" s="454">
        <f>+G51+G117+G84+G183+G216+G150</f>
        <v>65.051000000000002</v>
      </c>
      <c r="H18" s="434">
        <f>IF(G$11=0,"N.D.",G18/G$11)</f>
        <v>1.814645146784543E-2</v>
      </c>
      <c r="I18" s="454">
        <f>+I51+I117+I84+I183+I216+I150</f>
        <v>65.051000000000002</v>
      </c>
      <c r="J18" s="434">
        <f>IF(I$11=0,"N.D.",I18/I$11)</f>
        <v>2.7127472137949724E-2</v>
      </c>
      <c r="K18" s="454">
        <f>+K51+K117+K84+K183+K216+K150</f>
        <v>39.308</v>
      </c>
      <c r="L18" s="434">
        <f>IF(K$11=0,"N.D.",K18/K$11)</f>
        <v>2.3809134426392358E-2</v>
      </c>
      <c r="M18" s="454">
        <f>+M51+M117+M84+M183+M216+M150</f>
        <v>40.314999999999998</v>
      </c>
      <c r="N18" s="434">
        <f>IF(M$11=0,"N.D.",M18/M$11)</f>
        <v>2.5841010642150556E-2</v>
      </c>
      <c r="O18" s="454">
        <f>+O51+O117+O84+O183+O216+O150</f>
        <v>40.315820000000002</v>
      </c>
      <c r="P18" s="434">
        <f>IF(O$11=0,"N.D.",O18/O$11)</f>
        <v>2.5841533593541143E-2</v>
      </c>
      <c r="Q18" s="454">
        <f>+Q51+Q117+Q84+Q183+Q216+Q150</f>
        <v>0</v>
      </c>
      <c r="R18" s="434" t="str">
        <f>IF(Q$11=0,"N.D.",Q18/Q$11)</f>
        <v>N.D.</v>
      </c>
      <c r="S18" s="454">
        <f>+S51+S117+S84+S183+S216+S150</f>
        <v>0</v>
      </c>
      <c r="T18" s="434" t="str">
        <f>IF(S$11=0,"N.D.",S18/S$11)</f>
        <v>N.D.</v>
      </c>
      <c r="U18" s="454">
        <f>+U51+U117+U84+U183+U216+U150</f>
        <v>0</v>
      </c>
      <c r="V18" s="434" t="str">
        <f>IF(U$11=0,"N.D.",U18/U$11)</f>
        <v>N.D.</v>
      </c>
      <c r="W18" s="454">
        <f>+W51+W117+W84+W183+W216+W150</f>
        <v>0</v>
      </c>
      <c r="X18" s="434" t="str">
        <f>IF(W$11=0,"N.D.",W18/W$11)</f>
        <v>N.D.</v>
      </c>
      <c r="Y18" s="454">
        <f>+Y51+Y117+Y84+Y183+Y216+Y150</f>
        <v>0</v>
      </c>
      <c r="Z18" s="434" t="str">
        <f>IF(Y$11=0,"N.D.",Y18/Y$11)</f>
        <v>N.D.</v>
      </c>
      <c r="AA18" s="454">
        <f>+AA51+AA117+AA84+AA183+AA216+AA150</f>
        <v>380.14282000000003</v>
      </c>
      <c r="AB18" s="434">
        <f>IF(AA$11=0,"N.D.",AA18/AA$11)</f>
        <v>2.2138248503165234E-2</v>
      </c>
      <c r="AD18" s="454">
        <f>ER!AE16-'ER Act'!AA18</f>
        <v>-40.311040000000048</v>
      </c>
    </row>
    <row r="19" spans="2:30" ht="13" x14ac:dyDescent="0.3">
      <c r="B19" s="146" t="s">
        <v>44</v>
      </c>
      <c r="C19" s="456">
        <f>+C16+C17+C18</f>
        <v>2127.549</v>
      </c>
      <c r="D19" s="411">
        <f>IF(C$11=0,"N.D.",C19/C$11)</f>
        <v>0.66358973975093283</v>
      </c>
      <c r="E19" s="456">
        <f>+E16+E17+E18</f>
        <v>1982.4079999999999</v>
      </c>
      <c r="F19" s="411">
        <f>IF(E$11=0,"N.D.",E19/E$11)</f>
        <v>0.61733353720039252</v>
      </c>
      <c r="G19" s="456">
        <f>+G16+G17+G18</f>
        <v>2172.665</v>
      </c>
      <c r="H19" s="411">
        <f>IF(G$11=0,"N.D.",G19/G$11)</f>
        <v>0.60608076706563141</v>
      </c>
      <c r="I19" s="456">
        <f>+I16+I17+I18</f>
        <v>1589.8440000000001</v>
      </c>
      <c r="J19" s="411">
        <f>IF(I$11=0,"N.D.",I19/I$11)</f>
        <v>0.66299440152628775</v>
      </c>
      <c r="K19" s="456">
        <f>+K16+K17+K18</f>
        <v>1078.99</v>
      </c>
      <c r="L19" s="411">
        <f>IF(K$11=0,"N.D.",K19/K$11)</f>
        <v>0.65355189668090696</v>
      </c>
      <c r="M19" s="456">
        <f>+M16+M17+M18</f>
        <v>1034.3509999999999</v>
      </c>
      <c r="N19" s="411">
        <f>IF(M$11=0,"N.D.",M19/M$11)</f>
        <v>0.66299578813640259</v>
      </c>
      <c r="O19" s="456">
        <f>+O16+O17+O18</f>
        <v>1034.3513799999998</v>
      </c>
      <c r="P19" s="411">
        <f>IF(O$11=0,"N.D.",O19/O$11)</f>
        <v>0.66299596371339176</v>
      </c>
      <c r="Q19" s="456">
        <f>+Q16+Q17+Q18</f>
        <v>0</v>
      </c>
      <c r="R19" s="411" t="str">
        <f>IF(Q$11=0,"N.D.",Q19/Q$11)</f>
        <v>N.D.</v>
      </c>
      <c r="S19" s="456">
        <f>+S16+S17+S18</f>
        <v>0</v>
      </c>
      <c r="T19" s="411" t="str">
        <f>IF(S$11=0,"N.D.",S19/S$11)</f>
        <v>N.D.</v>
      </c>
      <c r="U19" s="456">
        <f>+U16+U17+U18</f>
        <v>0</v>
      </c>
      <c r="V19" s="411" t="str">
        <f>IF(U$11=0,"N.D.",U19/U$11)</f>
        <v>N.D.</v>
      </c>
      <c r="W19" s="456">
        <f>+W16+W17+W18</f>
        <v>0</v>
      </c>
      <c r="X19" s="411" t="str">
        <f>IF(W$11=0,"N.D.",W19/W$11)</f>
        <v>N.D.</v>
      </c>
      <c r="Y19" s="456">
        <f>+Y16+Y17+Y18</f>
        <v>0</v>
      </c>
      <c r="Z19" s="411" t="str">
        <f>IF(Y$11=0,"N.D.",Y19/Y$11)</f>
        <v>N.D.</v>
      </c>
      <c r="AA19" s="456">
        <f>+AA52+AA118+AA85+AA184+AA217+AA151</f>
        <v>11020.158380000001</v>
      </c>
      <c r="AB19" s="411">
        <f>IF(AA$11=0,"N.D.",AA19/AA$11)</f>
        <v>0.64177722667674952</v>
      </c>
      <c r="AD19" s="456">
        <f>ER!AE17-'ER Act'!AA19</f>
        <v>-1034.3497500000012</v>
      </c>
    </row>
    <row r="20" spans="2:30" ht="13" x14ac:dyDescent="0.3">
      <c r="B20" s="137" t="s">
        <v>45</v>
      </c>
      <c r="C20" s="456">
        <f>+C14-C19</f>
        <v>-43.712000000000899</v>
      </c>
      <c r="D20" s="411">
        <f>IF(C$11=0,"N.D.",C20/C$11)</f>
        <v>-1.3633920865744277E-2</v>
      </c>
      <c r="E20" s="456">
        <f>+E14-E19</f>
        <v>126.24399999999923</v>
      </c>
      <c r="F20" s="411">
        <f>IF(E$11=0,"N.D.",E20/E$11)</f>
        <v>3.9313125789608341E-2</v>
      </c>
      <c r="G20" s="456">
        <f>+G14-G19</f>
        <v>202.33499999999958</v>
      </c>
      <c r="H20" s="411">
        <f>IF(G$11=0,"N.D.",G20/G$11)</f>
        <v>5.6442825748205215E-2</v>
      </c>
      <c r="I20" s="456">
        <f>+I14-I19</f>
        <v>22.458000000000311</v>
      </c>
      <c r="J20" s="411">
        <f>IF(I$11=0,"N.D.",I20/I$11)</f>
        <v>9.3654020579865549E-3</v>
      </c>
      <c r="K20" s="456">
        <f>+K14-K19</f>
        <v>55.931999999999789</v>
      </c>
      <c r="L20" s="411">
        <f>IF(K$11=0,"N.D.",K20/K$11)</f>
        <v>3.3878409146661556E-2</v>
      </c>
      <c r="M20" s="456">
        <f>+M14-M19</f>
        <v>53.58400000000006</v>
      </c>
      <c r="N20" s="411">
        <f>IF(M$11=0,"N.D.",M20/M$11)</f>
        <v>3.434614198806888E-2</v>
      </c>
      <c r="O20" s="456">
        <f>+O14-O19</f>
        <v>53.583830000000262</v>
      </c>
      <c r="P20" s="411">
        <f>IF(O$11=0,"N.D.",O20/O$11)</f>
        <v>3.4346029499476988E-2</v>
      </c>
      <c r="Q20" s="456">
        <f>+Q14-Q19</f>
        <v>0</v>
      </c>
      <c r="R20" s="411" t="str">
        <f>IF(Q$11=0,"N.D.",Q20/Q$11)</f>
        <v>N.D.</v>
      </c>
      <c r="S20" s="456">
        <f>+S14-S19</f>
        <v>0</v>
      </c>
      <c r="T20" s="411" t="str">
        <f>IF(S$11=0,"N.D.",S20/S$11)</f>
        <v>N.D.</v>
      </c>
      <c r="U20" s="456">
        <f>+U14-U19</f>
        <v>0</v>
      </c>
      <c r="V20" s="411" t="str">
        <f>IF(U$11=0,"N.D.",U20/U$11)</f>
        <v>N.D.</v>
      </c>
      <c r="W20" s="456">
        <f>+W14-W19</f>
        <v>0</v>
      </c>
      <c r="X20" s="411" t="str">
        <f>IF(W$11=0,"N.D.",W20/W$11)</f>
        <v>N.D.</v>
      </c>
      <c r="Y20" s="456">
        <f>+Y14-Y19</f>
        <v>0</v>
      </c>
      <c r="Z20" s="411" t="str">
        <f>IF(Y$11=0,"N.D.",Y20/Y$11)</f>
        <v>N.D.</v>
      </c>
      <c r="AA20" s="456">
        <f>+AA53+AA119+AA86+AA185+AA218+AA152</f>
        <v>470.42482999999947</v>
      </c>
      <c r="AB20" s="411">
        <f>IF(AA$11=0,"N.D.",AA20/AA$11)</f>
        <v>2.7395971305203784E-2</v>
      </c>
      <c r="AD20" s="456">
        <f>ER!AE18-'ER Act'!AA20</f>
        <v>-53.586169999999925</v>
      </c>
    </row>
    <row r="21" spans="2:30" x14ac:dyDescent="0.25">
      <c r="C21" s="457"/>
      <c r="D21" s="436"/>
      <c r="E21" s="457"/>
      <c r="F21" s="436"/>
      <c r="G21" s="457"/>
      <c r="H21" s="436"/>
      <c r="I21" s="457"/>
      <c r="J21" s="436"/>
      <c r="K21" s="457"/>
      <c r="L21" s="436"/>
      <c r="M21" s="457"/>
      <c r="N21" s="436"/>
      <c r="O21" s="457"/>
      <c r="P21" s="436"/>
      <c r="Q21" s="457"/>
      <c r="R21" s="436"/>
      <c r="S21" s="457"/>
      <c r="T21" s="436"/>
      <c r="U21" s="457"/>
      <c r="V21" s="436"/>
      <c r="W21" s="457"/>
      <c r="X21" s="436"/>
      <c r="Y21" s="457"/>
      <c r="Z21" s="436"/>
      <c r="AA21" s="458"/>
      <c r="AB21" s="436"/>
      <c r="AD21" s="458"/>
    </row>
    <row r="22" spans="2:30" x14ac:dyDescent="0.25">
      <c r="B22" s="137"/>
      <c r="C22" s="455">
        <f>+C55+C121+C88+C187+C220+C154</f>
        <v>0</v>
      </c>
      <c r="D22" s="433">
        <f t="shared" ref="D22:D28" si="0">IF(C$11=0,"N.D.",C22/C$11)</f>
        <v>0</v>
      </c>
      <c r="E22" s="455">
        <f>+E55+E121+E88+E187+E220+E154</f>
        <v>0</v>
      </c>
      <c r="F22" s="433">
        <f t="shared" ref="F22:F28" si="1">IF(E$11=0,"N.D.",E22/E$11)</f>
        <v>0</v>
      </c>
      <c r="G22" s="455">
        <f>+G55+G121+G88+G187+G220+G154</f>
        <v>0</v>
      </c>
      <c r="H22" s="433">
        <f t="shared" ref="H22:H28" si="2">IF(G$11=0,"N.D.",G22/G$11)</f>
        <v>0</v>
      </c>
      <c r="I22" s="455">
        <f>+I55+I121+I88+I187+I220+I154</f>
        <v>0</v>
      </c>
      <c r="J22" s="433">
        <f t="shared" ref="J22:J28" si="3">IF(I$11=0,"N.D.",I22/I$11)</f>
        <v>0</v>
      </c>
      <c r="K22" s="455">
        <f>+K55+K121+K88+K187+K220+K154</f>
        <v>0</v>
      </c>
      <c r="L22" s="433">
        <f t="shared" ref="L22:L28" si="4">IF(K$11=0,"N.D.",K22/K$11)</f>
        <v>0</v>
      </c>
      <c r="M22" s="455">
        <f>+M55+M121+M88+M187+M220+M154</f>
        <v>0</v>
      </c>
      <c r="N22" s="433">
        <f t="shared" ref="N22:N28" si="5">IF(M$11=0,"N.D.",M22/M$11)</f>
        <v>0</v>
      </c>
      <c r="O22" s="455">
        <f>+O55+O121+O88+O187+O220+O154</f>
        <v>0</v>
      </c>
      <c r="P22" s="433">
        <f t="shared" ref="P22:P28" si="6">IF(O$11=0,"N.D.",O22/O$11)</f>
        <v>0</v>
      </c>
      <c r="Q22" s="455">
        <f>+Q55+Q121+Q88+Q187+Q220+Q154</f>
        <v>0</v>
      </c>
      <c r="R22" s="433" t="str">
        <f t="shared" ref="R22:R28" si="7">IF(Q$11=0,"N.D.",Q22/Q$11)</f>
        <v>N.D.</v>
      </c>
      <c r="S22" s="455">
        <f>+S55+S121+S88+S187+S220+S154</f>
        <v>0</v>
      </c>
      <c r="T22" s="433" t="str">
        <f t="shared" ref="T22:T28" si="8">IF(S$11=0,"N.D.",S22/S$11)</f>
        <v>N.D.</v>
      </c>
      <c r="U22" s="455">
        <f>+U55+U121+U88+U187+U220+U154</f>
        <v>0</v>
      </c>
      <c r="V22" s="433" t="str">
        <f t="shared" ref="V22:V28" si="9">IF(U$11=0,"N.D.",U22/U$11)</f>
        <v>N.D.</v>
      </c>
      <c r="W22" s="455">
        <f>+W55+W121+W88+W187+W220+W154</f>
        <v>0</v>
      </c>
      <c r="X22" s="433" t="str">
        <f t="shared" ref="X22:X28" si="10">IF(W$11=0,"N.D.",W22/W$11)</f>
        <v>N.D.</v>
      </c>
      <c r="Y22" s="455">
        <f>+Y55+Y121+Y88+Y187+Y220+Y154</f>
        <v>0</v>
      </c>
      <c r="Z22" s="433" t="str">
        <f t="shared" ref="Z22:Z28" si="11">IF(Y$11=0,"N.D.",Y22/Y$11)</f>
        <v>N.D.</v>
      </c>
      <c r="AA22" s="455">
        <f>+AA55+AA121+AA88+AA187+AA220+AA154</f>
        <v>0</v>
      </c>
      <c r="AB22" s="433">
        <f t="shared" ref="AB22:AB28" si="12">IF(AA$11=0,"N.D.",AA22/AA$11)</f>
        <v>0</v>
      </c>
      <c r="AD22" s="455">
        <f>ER!AE20-'ER Act'!AA22</f>
        <v>0</v>
      </c>
    </row>
    <row r="23" spans="2:30" x14ac:dyDescent="0.25">
      <c r="B23" s="137" t="s">
        <v>52</v>
      </c>
      <c r="C23" s="454">
        <f>+C56+C122+C89+C188+C221+C155</f>
        <v>-29.313999999999997</v>
      </c>
      <c r="D23" s="434">
        <f t="shared" si="0"/>
        <v>-9.1431358953701393E-3</v>
      </c>
      <c r="E23" s="454">
        <f>+E56+E122+E89+E188+E221+E155</f>
        <v>-74.642999999999986</v>
      </c>
      <c r="F23" s="434">
        <f t="shared" si="1"/>
        <v>-2.3244270209386211E-2</v>
      </c>
      <c r="G23" s="454">
        <f>+G56+G122+G89+G188+G221+G155</f>
        <v>-41.457999999999998</v>
      </c>
      <c r="H23" s="434">
        <f t="shared" si="2"/>
        <v>-1.1565011836158334E-2</v>
      </c>
      <c r="I23" s="454">
        <f>+I56+I122+I89+I188+I221+I155</f>
        <v>-24.122</v>
      </c>
      <c r="J23" s="434">
        <f t="shared" si="3"/>
        <v>-1.005932088533033E-2</v>
      </c>
      <c r="K23" s="454">
        <f>+K56+K122+K89+K188+K221+K155</f>
        <v>-17.119</v>
      </c>
      <c r="L23" s="434">
        <f t="shared" si="4"/>
        <v>-1.0369099731490047E-2</v>
      </c>
      <c r="M23" s="454">
        <f>+M56+M122+M89+M188+M221+M155</f>
        <v>-19.715</v>
      </c>
      <c r="N23" s="434">
        <f t="shared" si="5"/>
        <v>-1.2636872747364461E-2</v>
      </c>
      <c r="O23" s="454">
        <f>+O56+O122+O89+O188+O221+O155</f>
        <v>-19.715910000000001</v>
      </c>
      <c r="P23" s="434">
        <f t="shared" si="6"/>
        <v>-1.2637454740899076E-2</v>
      </c>
      <c r="Q23" s="454">
        <f>+Q56+Q122+Q89+Q188+Q221+Q155</f>
        <v>0</v>
      </c>
      <c r="R23" s="434" t="str">
        <f t="shared" si="7"/>
        <v>N.D.</v>
      </c>
      <c r="S23" s="454">
        <f>+S56+S122+S89+S188+S221+S155</f>
        <v>0</v>
      </c>
      <c r="T23" s="434" t="str">
        <f t="shared" si="8"/>
        <v>N.D.</v>
      </c>
      <c r="U23" s="454">
        <f>+U56+U122+U89+U188+U221+U155</f>
        <v>0</v>
      </c>
      <c r="V23" s="434" t="str">
        <f t="shared" si="9"/>
        <v>N.D.</v>
      </c>
      <c r="W23" s="454">
        <f>+W56+W122+W89+W188+W221+W155</f>
        <v>0</v>
      </c>
      <c r="X23" s="434" t="str">
        <f t="shared" si="10"/>
        <v>N.D.</v>
      </c>
      <c r="Y23" s="454">
        <f>+Y56+Y122+Y89+Y188+Y221+Y155</f>
        <v>0</v>
      </c>
      <c r="Z23" s="434" t="str">
        <f t="shared" si="11"/>
        <v>N.D.</v>
      </c>
      <c r="AA23" s="454">
        <f>+AA56+AA122+AA89+AA188+AA221+AA155</f>
        <v>-226.08690999999999</v>
      </c>
      <c r="AB23" s="434">
        <f t="shared" si="12"/>
        <v>-1.3166546712345514E-2</v>
      </c>
      <c r="AD23" s="454">
        <f>ER!AE21-'ER Act'!AA23</f>
        <v>19.712459999999965</v>
      </c>
    </row>
    <row r="24" spans="2:30" x14ac:dyDescent="0.25">
      <c r="B24" s="137" t="s">
        <v>184</v>
      </c>
      <c r="C24" s="454">
        <f>+C57+C123+C90+C189+C222+C156</f>
        <v>80.653000000000006</v>
      </c>
      <c r="D24" s="434">
        <f t="shared" si="0"/>
        <v>2.5155943896066315E-2</v>
      </c>
      <c r="E24" s="454">
        <f>+E57+E123+E90+E189+E222+E156</f>
        <v>80.829000000000008</v>
      </c>
      <c r="F24" s="434">
        <f t="shared" si="1"/>
        <v>2.5170627074936409E-2</v>
      </c>
      <c r="G24" s="454">
        <f>+G57+G123+G90+G189+G222+G156</f>
        <v>84.075999999999993</v>
      </c>
      <c r="H24" s="434">
        <f t="shared" si="2"/>
        <v>2.3453614142912058E-2</v>
      </c>
      <c r="I24" s="454">
        <f>+I57+I123+I90+I189+I222+I156</f>
        <v>85.484000000000009</v>
      </c>
      <c r="J24" s="434">
        <f t="shared" si="3"/>
        <v>3.5648411680688913E-2</v>
      </c>
      <c r="K24" s="454">
        <f>+K57+K123+K90+K189+K222+K156</f>
        <v>52.819000000000003</v>
      </c>
      <c r="L24" s="434">
        <f t="shared" si="4"/>
        <v>3.1992842964984683E-2</v>
      </c>
      <c r="M24" s="454">
        <f>+M57+M123+M90+M189+M222+M156</f>
        <v>47.685000000000002</v>
      </c>
      <c r="N24" s="434">
        <f t="shared" si="5"/>
        <v>3.0565015316158982E-2</v>
      </c>
      <c r="O24" s="454">
        <f>+O57+O123+O90+O189+O222+O156</f>
        <v>47.685090000000002</v>
      </c>
      <c r="P24" s="434">
        <f t="shared" si="6"/>
        <v>3.0565069869496211E-2</v>
      </c>
      <c r="Q24" s="454">
        <f>+Q57+Q123+Q90+Q189+Q222+Q156</f>
        <v>0</v>
      </c>
      <c r="R24" s="434" t="str">
        <f t="shared" si="7"/>
        <v>N.D.</v>
      </c>
      <c r="S24" s="454">
        <f>+S57+S123+S90+S189+S222+S156</f>
        <v>0</v>
      </c>
      <c r="T24" s="434" t="str">
        <f t="shared" si="8"/>
        <v>N.D.</v>
      </c>
      <c r="U24" s="454">
        <f>+U57+U123+U90+U189+U222+U156</f>
        <v>0</v>
      </c>
      <c r="V24" s="434" t="str">
        <f t="shared" si="9"/>
        <v>N.D.</v>
      </c>
      <c r="W24" s="454">
        <f>+W57+W123+W90+W189+W222+W156</f>
        <v>0</v>
      </c>
      <c r="X24" s="434" t="str">
        <f t="shared" si="10"/>
        <v>N.D.</v>
      </c>
      <c r="Y24" s="454">
        <f>+Y57+Y123+Y90+Y189+Y222+Y156</f>
        <v>0</v>
      </c>
      <c r="Z24" s="434" t="str">
        <f t="shared" si="11"/>
        <v>N.D.</v>
      </c>
      <c r="AA24" s="454">
        <f>+AA57+AA123+AA90+AA189+AA222+AA156</f>
        <v>479.23108999999999</v>
      </c>
      <c r="AB24" s="434">
        <f t="shared" si="12"/>
        <v>2.7908818482650134E-2</v>
      </c>
      <c r="AD24" s="454">
        <f>ER!AE22-'ER Act'!AA24</f>
        <v>-47.683660000000032</v>
      </c>
    </row>
    <row r="25" spans="2:30" x14ac:dyDescent="0.25">
      <c r="B25" s="137" t="s">
        <v>47</v>
      </c>
      <c r="C25" s="454">
        <f>+C58+C124+C91+C190+C223+C157</f>
        <v>0</v>
      </c>
      <c r="D25" s="434">
        <f t="shared" si="0"/>
        <v>0</v>
      </c>
      <c r="E25" s="454">
        <f>+E58+E124+E91+E190+E223+E157</f>
        <v>0</v>
      </c>
      <c r="F25" s="434">
        <f t="shared" si="1"/>
        <v>0</v>
      </c>
      <c r="G25" s="454">
        <f>+G58+G124+G91+G190+G223+G157</f>
        <v>0</v>
      </c>
      <c r="H25" s="434">
        <f t="shared" si="2"/>
        <v>0</v>
      </c>
      <c r="I25" s="454">
        <f>+I58+I124+I91+I190+I223+I157</f>
        <v>0</v>
      </c>
      <c r="J25" s="434">
        <f t="shared" si="3"/>
        <v>0</v>
      </c>
      <c r="K25" s="454">
        <f>+K58+K124+K91+K190+K223+K157</f>
        <v>0</v>
      </c>
      <c r="L25" s="434">
        <f t="shared" si="4"/>
        <v>0</v>
      </c>
      <c r="M25" s="454">
        <f>+M58+M124+M91+M190+M223+M157</f>
        <v>-30</v>
      </c>
      <c r="N25" s="434">
        <f t="shared" si="5"/>
        <v>-1.9229327031241888E-2</v>
      </c>
      <c r="O25" s="454">
        <f>+O58+O124+O91+O190+O223+O157</f>
        <v>-30</v>
      </c>
      <c r="P25" s="434">
        <f t="shared" si="6"/>
        <v>-1.9229325059151328E-2</v>
      </c>
      <c r="Q25" s="454">
        <f>+Q58+Q124+Q91+Q190+Q223+Q157</f>
        <v>0</v>
      </c>
      <c r="R25" s="434" t="str">
        <f t="shared" si="7"/>
        <v>N.D.</v>
      </c>
      <c r="S25" s="454">
        <f>+S58+S124+S91+S190+S223+S157</f>
        <v>0</v>
      </c>
      <c r="T25" s="434" t="str">
        <f t="shared" si="8"/>
        <v>N.D.</v>
      </c>
      <c r="U25" s="454">
        <f>+U58+U124+U91+U190+U223+U157</f>
        <v>0</v>
      </c>
      <c r="V25" s="434" t="str">
        <f t="shared" si="9"/>
        <v>N.D.</v>
      </c>
      <c r="W25" s="454">
        <f>+W58+W124+W91+W190+W223+W157</f>
        <v>0</v>
      </c>
      <c r="X25" s="434" t="str">
        <f t="shared" si="10"/>
        <v>N.D.</v>
      </c>
      <c r="Y25" s="454">
        <f>+Y58+Y124+Y91+Y190+Y223+Y157</f>
        <v>0</v>
      </c>
      <c r="Z25" s="434" t="str">
        <f t="shared" si="11"/>
        <v>N.D.</v>
      </c>
      <c r="AA25" s="454">
        <f>+AA58+AA124+AA91+AA190+AA223+AA157</f>
        <v>-60</v>
      </c>
      <c r="AB25" s="434">
        <f t="shared" si="12"/>
        <v>-3.4941996541981617E-3</v>
      </c>
      <c r="AD25" s="454">
        <f>ER!AE23-'ER Act'!AA25</f>
        <v>60</v>
      </c>
    </row>
    <row r="26" spans="2:30" x14ac:dyDescent="0.25">
      <c r="C26" s="454">
        <f>+C59+C125+C92+C191+C224+C158</f>
        <v>0</v>
      </c>
      <c r="D26" s="434">
        <f t="shared" si="0"/>
        <v>0</v>
      </c>
      <c r="E26" s="454">
        <f>+E59+E125+E92+E191+E224+E158</f>
        <v>0</v>
      </c>
      <c r="F26" s="434">
        <f t="shared" si="1"/>
        <v>0</v>
      </c>
      <c r="G26" s="454">
        <f>+G59+G125+G92+G191+G224+G158</f>
        <v>0</v>
      </c>
      <c r="H26" s="434">
        <f t="shared" si="2"/>
        <v>0</v>
      </c>
      <c r="I26" s="454">
        <f>+I59+I125+I92+I191+I224+I158</f>
        <v>0</v>
      </c>
      <c r="J26" s="434">
        <f t="shared" si="3"/>
        <v>0</v>
      </c>
      <c r="K26" s="454">
        <f>+K59+K125+K92+K191+K224+K158</f>
        <v>0</v>
      </c>
      <c r="L26" s="434">
        <f t="shared" si="4"/>
        <v>0</v>
      </c>
      <c r="M26" s="454">
        <f>+M59+M125+M92+M191+M224+M158</f>
        <v>0</v>
      </c>
      <c r="N26" s="434">
        <f t="shared" si="5"/>
        <v>0</v>
      </c>
      <c r="O26" s="454">
        <f>+O59+O125+O92+O191+O224+O158</f>
        <v>0</v>
      </c>
      <c r="P26" s="434">
        <f t="shared" si="6"/>
        <v>0</v>
      </c>
      <c r="Q26" s="454">
        <f>+Q59+Q125+Q92+Q191+Q224+Q158</f>
        <v>0</v>
      </c>
      <c r="R26" s="434" t="str">
        <f t="shared" si="7"/>
        <v>N.D.</v>
      </c>
      <c r="S26" s="454">
        <f>+S59+S125+S92+S191+S224+S158</f>
        <v>0</v>
      </c>
      <c r="T26" s="434" t="str">
        <f t="shared" si="8"/>
        <v>N.D.</v>
      </c>
      <c r="U26" s="454">
        <f>+U59+U125+U92+U191+U224+U158</f>
        <v>0</v>
      </c>
      <c r="V26" s="434" t="str">
        <f t="shared" si="9"/>
        <v>N.D.</v>
      </c>
      <c r="W26" s="454">
        <f>+W59+W125+W92+W191+W224+W158</f>
        <v>0</v>
      </c>
      <c r="X26" s="434" t="str">
        <f t="shared" si="10"/>
        <v>N.D.</v>
      </c>
      <c r="Y26" s="454">
        <f>+Y59+Y125+Y92+Y191+Y224+Y158</f>
        <v>0</v>
      </c>
      <c r="Z26" s="434" t="str">
        <f t="shared" si="11"/>
        <v>N.D.</v>
      </c>
      <c r="AA26" s="454">
        <f>+AA59+AA125+AA92+AA191+AA224+AA158</f>
        <v>0</v>
      </c>
      <c r="AB26" s="434">
        <f t="shared" si="12"/>
        <v>0</v>
      </c>
      <c r="AD26" s="454">
        <f>ER!AE24-'ER Act'!AA26</f>
        <v>0</v>
      </c>
    </row>
    <row r="27" spans="2:30" ht="13" x14ac:dyDescent="0.3">
      <c r="B27" s="137" t="s">
        <v>48</v>
      </c>
      <c r="C27" s="456">
        <f>+C23+C24-C25</f>
        <v>51.339000000000013</v>
      </c>
      <c r="D27" s="411">
        <f t="shared" si="0"/>
        <v>1.6012808000696176E-2</v>
      </c>
      <c r="E27" s="456">
        <f>+E23+E24-E25</f>
        <v>6.1860000000000213</v>
      </c>
      <c r="F27" s="411">
        <f t="shared" si="1"/>
        <v>1.9263568655502005E-3</v>
      </c>
      <c r="G27" s="456">
        <f>+G23+G24-G25</f>
        <v>42.617999999999995</v>
      </c>
      <c r="H27" s="411">
        <f t="shared" si="2"/>
        <v>1.1888602306753723E-2</v>
      </c>
      <c r="I27" s="456">
        <f>+I23+I24-I25</f>
        <v>61.362000000000009</v>
      </c>
      <c r="J27" s="411">
        <f t="shared" si="3"/>
        <v>2.5589090795358583E-2</v>
      </c>
      <c r="K27" s="456">
        <f>+K23+K24-K25</f>
        <v>35.700000000000003</v>
      </c>
      <c r="L27" s="411">
        <f t="shared" si="4"/>
        <v>2.1623743233494638E-2</v>
      </c>
      <c r="M27" s="456">
        <f>+M23+M24-M25</f>
        <v>57.97</v>
      </c>
      <c r="N27" s="411">
        <f t="shared" si="5"/>
        <v>3.7157469600036408E-2</v>
      </c>
      <c r="O27" s="456">
        <f>+O23+O24-O25</f>
        <v>57.969180000000001</v>
      </c>
      <c r="P27" s="411">
        <f t="shared" si="6"/>
        <v>3.7156940187748462E-2</v>
      </c>
      <c r="Q27" s="456">
        <f>+Q23+Q24-Q25</f>
        <v>0</v>
      </c>
      <c r="R27" s="411" t="str">
        <f t="shared" si="7"/>
        <v>N.D.</v>
      </c>
      <c r="S27" s="456">
        <f>+S23+S24-S25</f>
        <v>0</v>
      </c>
      <c r="T27" s="411" t="str">
        <f t="shared" si="8"/>
        <v>N.D.</v>
      </c>
      <c r="U27" s="456">
        <f>+U23+U24-U25</f>
        <v>0</v>
      </c>
      <c r="V27" s="411" t="str">
        <f t="shared" si="9"/>
        <v>N.D.</v>
      </c>
      <c r="W27" s="456">
        <f>+W23+W24-W25</f>
        <v>0</v>
      </c>
      <c r="X27" s="411" t="str">
        <f t="shared" si="10"/>
        <v>N.D.</v>
      </c>
      <c r="Y27" s="456">
        <f>+Y23+Y24-Y25</f>
        <v>0</v>
      </c>
      <c r="Z27" s="411" t="str">
        <f t="shared" si="11"/>
        <v>N.D.</v>
      </c>
      <c r="AA27" s="456">
        <f>+AA23+AA24</f>
        <v>253.14418000000001</v>
      </c>
      <c r="AB27" s="411">
        <f t="shared" si="12"/>
        <v>1.474227177030462E-2</v>
      </c>
      <c r="AD27" s="456">
        <f>ER!AE25-'ER Act'!AA27</f>
        <v>-27.971200000000067</v>
      </c>
    </row>
    <row r="28" spans="2:30" ht="13" x14ac:dyDescent="0.3">
      <c r="B28" s="137" t="s">
        <v>49</v>
      </c>
      <c r="C28" s="456">
        <f>+C20-C27</f>
        <v>-95.051000000000911</v>
      </c>
      <c r="D28" s="411">
        <f t="shared" si="0"/>
        <v>-2.9646728866440455E-2</v>
      </c>
      <c r="E28" s="456">
        <f>+E20-E27</f>
        <v>120.05799999999921</v>
      </c>
      <c r="F28" s="411">
        <f t="shared" si="1"/>
        <v>3.7386768924058136E-2</v>
      </c>
      <c r="G28" s="456">
        <f>+G20-G27</f>
        <v>159.71699999999959</v>
      </c>
      <c r="H28" s="411">
        <f t="shared" si="2"/>
        <v>4.455422344145149E-2</v>
      </c>
      <c r="I28" s="456">
        <f>+I20-I27</f>
        <v>-38.903999999999698</v>
      </c>
      <c r="J28" s="411">
        <f t="shared" si="3"/>
        <v>-1.6223688737372028E-2</v>
      </c>
      <c r="K28" s="456">
        <f>+K20-K27</f>
        <v>20.231999999999786</v>
      </c>
      <c r="L28" s="411">
        <f t="shared" si="4"/>
        <v>1.2254665913166915E-2</v>
      </c>
      <c r="M28" s="456">
        <f>+M20-M27</f>
        <v>-4.3859999999999388</v>
      </c>
      <c r="N28" s="411">
        <f t="shared" si="5"/>
        <v>-2.811327611967525E-3</v>
      </c>
      <c r="O28" s="456">
        <f>+O20-O27</f>
        <v>-4.3853499999997396</v>
      </c>
      <c r="P28" s="411">
        <f t="shared" si="6"/>
        <v>-2.8109106882714756E-3</v>
      </c>
      <c r="Q28" s="456">
        <f>+Q20-Q27</f>
        <v>0</v>
      </c>
      <c r="R28" s="411" t="str">
        <f t="shared" si="7"/>
        <v>N.D.</v>
      </c>
      <c r="S28" s="456">
        <f>+S20-S27</f>
        <v>0</v>
      </c>
      <c r="T28" s="411" t="str">
        <f t="shared" si="8"/>
        <v>N.D.</v>
      </c>
      <c r="U28" s="456">
        <f>+U20-U27</f>
        <v>0</v>
      </c>
      <c r="V28" s="411" t="str">
        <f t="shared" si="9"/>
        <v>N.D.</v>
      </c>
      <c r="W28" s="456">
        <f>+W20-W27</f>
        <v>0</v>
      </c>
      <c r="X28" s="411" t="str">
        <f t="shared" si="10"/>
        <v>N.D.</v>
      </c>
      <c r="Y28" s="456">
        <f>+Y20-Y27</f>
        <v>0</v>
      </c>
      <c r="Z28" s="411" t="str">
        <f t="shared" si="11"/>
        <v>N.D.</v>
      </c>
      <c r="AA28" s="456">
        <f>+AA20-AA27</f>
        <v>217.28064999999947</v>
      </c>
      <c r="AB28" s="411">
        <f t="shared" si="12"/>
        <v>1.2653699534899166E-2</v>
      </c>
      <c r="AD28" s="456">
        <f>ER!AE26-'ER Act'!AA28</f>
        <v>-25.614969999999857</v>
      </c>
    </row>
    <row r="29" spans="2:30" x14ac:dyDescent="0.25">
      <c r="B29" s="140"/>
      <c r="C29" s="457"/>
      <c r="D29" s="435"/>
      <c r="E29" s="457"/>
      <c r="F29" s="435"/>
      <c r="G29" s="457"/>
      <c r="H29" s="435"/>
      <c r="I29" s="457"/>
      <c r="J29" s="435"/>
      <c r="K29" s="457"/>
      <c r="L29" s="435"/>
      <c r="M29" s="457"/>
      <c r="N29" s="435"/>
      <c r="O29" s="457"/>
      <c r="P29" s="435"/>
      <c r="Q29" s="457"/>
      <c r="R29" s="435"/>
      <c r="S29" s="457"/>
      <c r="T29" s="435"/>
      <c r="U29" s="457"/>
      <c r="V29" s="435"/>
      <c r="W29" s="457"/>
      <c r="X29" s="435"/>
      <c r="Y29" s="457"/>
      <c r="Z29" s="435"/>
      <c r="AA29" s="457"/>
      <c r="AB29" s="435"/>
      <c r="AD29" s="457"/>
    </row>
    <row r="30" spans="2:30" x14ac:dyDescent="0.25">
      <c r="B30" s="137" t="s">
        <v>50</v>
      </c>
      <c r="C30" s="455">
        <f>+C63+C129+C96+C195+C228+C162</f>
        <v>0</v>
      </c>
      <c r="D30" s="433">
        <f>IF(C$11=0,"N.D.",C30/C$11)</f>
        <v>0</v>
      </c>
      <c r="E30" s="455">
        <f>+E63+E129+E96+E195+E228+E162</f>
        <v>0</v>
      </c>
      <c r="F30" s="433">
        <f>IF(E$11=0,"N.D.",E30/E$11)</f>
        <v>0</v>
      </c>
      <c r="G30" s="455">
        <f>+G63+G129+G96+G195+G228+G162</f>
        <v>0</v>
      </c>
      <c r="H30" s="433">
        <f t="shared" ref="H30:H39" si="13">IF(G$11=0,"N.D.",G30/G$11)</f>
        <v>0</v>
      </c>
      <c r="I30" s="455">
        <f>+I63+I129+I96+I195+I228+I162</f>
        <v>0</v>
      </c>
      <c r="J30" s="433">
        <f t="shared" ref="J30:J39" si="14">IF(I$11=0,"N.D.",I30/I$11)</f>
        <v>0</v>
      </c>
      <c r="K30" s="455">
        <f>+K63+K129+K96+K195+K228+K162</f>
        <v>0</v>
      </c>
      <c r="L30" s="433">
        <f t="shared" ref="L30:L39" si="15">IF(K$11=0,"N.D.",K30/K$11)</f>
        <v>0</v>
      </c>
      <c r="M30" s="455">
        <f>+M63+M129+M96+M195+M228+M162</f>
        <v>0</v>
      </c>
      <c r="N30" s="433">
        <f t="shared" ref="N30:N39" si="16">IF(M$11=0,"N.D.",M30/M$11)</f>
        <v>0</v>
      </c>
      <c r="O30" s="455">
        <f>+O63+O129+O96+O195+O228+O162</f>
        <v>0</v>
      </c>
      <c r="P30" s="433">
        <f t="shared" ref="P30:P39" si="17">IF(O$11=0,"N.D.",O30/O$11)</f>
        <v>0</v>
      </c>
      <c r="Q30" s="455">
        <f>+Q63+Q129+Q96+Q195+Q228+Q162</f>
        <v>0</v>
      </c>
      <c r="R30" s="433" t="str">
        <f t="shared" ref="R30:R39" si="18">IF(Q$11=0,"N.D.",Q30/Q$11)</f>
        <v>N.D.</v>
      </c>
      <c r="S30" s="455">
        <f>+S63+S129+S96+S195+S228+S162</f>
        <v>0</v>
      </c>
      <c r="T30" s="433" t="str">
        <f t="shared" ref="T30:T39" si="19">IF(S$11=0,"N.D.",S30/S$11)</f>
        <v>N.D.</v>
      </c>
      <c r="U30" s="455">
        <f>+U63+U129+U96+U195+U228+U162</f>
        <v>0</v>
      </c>
      <c r="V30" s="433" t="str">
        <f t="shared" ref="V30:V39" si="20">IF(U$11=0,"N.D.",U30/U$11)</f>
        <v>N.D.</v>
      </c>
      <c r="W30" s="455">
        <f>+W63+W129+W96+W195+W228+W162</f>
        <v>0</v>
      </c>
      <c r="X30" s="433" t="str">
        <f t="shared" ref="X30:X39" si="21">IF(W$11=0,"N.D.",W30/W$11)</f>
        <v>N.D.</v>
      </c>
      <c r="Y30" s="455">
        <f>+Y63+Y129+Y96+Y195+Y228+Y162</f>
        <v>0</v>
      </c>
      <c r="Z30" s="433" t="str">
        <f t="shared" ref="Z30:Z39" si="22">IF(Y$11=0,"N.D.",Y30/Y$11)</f>
        <v>N.D.</v>
      </c>
      <c r="AA30" s="455">
        <f>+AA63+AA129+AA96+AA195+AA228+AA162</f>
        <v>0</v>
      </c>
      <c r="AB30" s="433">
        <f t="shared" ref="AB30:AB39" si="23">IF(AA$11=0,"N.D.",AA30/AA$11)</f>
        <v>0</v>
      </c>
      <c r="AD30" s="455">
        <f>ER!AE28-'ER Act'!AA30</f>
        <v>0</v>
      </c>
    </row>
    <row r="31" spans="2:30" x14ac:dyDescent="0.25">
      <c r="B31" s="137" t="s">
        <v>51</v>
      </c>
      <c r="C31" s="454">
        <f t="shared" ref="C31:E38" si="24">+C64+C130+C97+C196+C229+C163</f>
        <v>0.97</v>
      </c>
      <c r="D31" s="434">
        <f>IF(C$11=0,"N.D.",C31/C$11)</f>
        <v>3.0254628568291721E-4</v>
      </c>
      <c r="E31" s="454">
        <f t="shared" si="24"/>
        <v>3.8220000000000001</v>
      </c>
      <c r="F31" s="434">
        <f>IF(E$11=0,"N.D.",E31/E$11)</f>
        <v>1.1901933301217008E-3</v>
      </c>
      <c r="G31" s="454">
        <f t="shared" ref="G31" si="25">+G64+G130+G97+G196+G229+G163</f>
        <v>3.8220000000000001</v>
      </c>
      <c r="H31" s="434">
        <f t="shared" si="13"/>
        <v>1.0661748091513618E-3</v>
      </c>
      <c r="I31" s="454">
        <f t="shared" ref="I31" si="26">+I64+I130+I97+I196+I229+I163</f>
        <v>3.8220000000000001</v>
      </c>
      <c r="J31" s="434">
        <f t="shared" si="14"/>
        <v>1.593844806555531E-3</v>
      </c>
      <c r="K31" s="454">
        <f t="shared" ref="K31" si="27">+K64+K130+K97+K196+K229+K163</f>
        <v>0</v>
      </c>
      <c r="L31" s="434">
        <f t="shared" si="15"/>
        <v>0</v>
      </c>
      <c r="M31" s="454">
        <f t="shared" ref="M31" si="28">+M64+M130+M97+M196+M229+M163</f>
        <v>0</v>
      </c>
      <c r="N31" s="434">
        <f t="shared" si="16"/>
        <v>0</v>
      </c>
      <c r="O31" s="454">
        <f t="shared" ref="O31" si="29">+O64+O130+O97+O196+O229+O163</f>
        <v>0</v>
      </c>
      <c r="P31" s="434">
        <f t="shared" si="17"/>
        <v>0</v>
      </c>
      <c r="Q31" s="454">
        <f t="shared" ref="Q31" si="30">+Q64+Q130+Q97+Q196+Q229+Q163</f>
        <v>0</v>
      </c>
      <c r="R31" s="434" t="str">
        <f t="shared" si="18"/>
        <v>N.D.</v>
      </c>
      <c r="S31" s="454">
        <f t="shared" ref="S31" si="31">+S64+S130+S97+S196+S229+S163</f>
        <v>0</v>
      </c>
      <c r="T31" s="434" t="str">
        <f t="shared" si="19"/>
        <v>N.D.</v>
      </c>
      <c r="U31" s="454">
        <f t="shared" ref="U31" si="32">+U64+U130+U97+U196+U229+U163</f>
        <v>0</v>
      </c>
      <c r="V31" s="434" t="str">
        <f t="shared" si="20"/>
        <v>N.D.</v>
      </c>
      <c r="W31" s="454">
        <f t="shared" ref="W31" si="33">+W64+W130+W97+W196+W229+W163</f>
        <v>0</v>
      </c>
      <c r="X31" s="434" t="str">
        <f t="shared" si="21"/>
        <v>N.D.</v>
      </c>
      <c r="Y31" s="454">
        <f t="shared" ref="Y31" si="34">+Y64+Y130+Y97+Y196+Y229+Y163</f>
        <v>0</v>
      </c>
      <c r="Z31" s="434" t="str">
        <f t="shared" si="22"/>
        <v>N.D.</v>
      </c>
      <c r="AA31" s="454">
        <f t="shared" ref="AA31" si="35">+AA64+AA130+AA97+AA196+AA229+AA163</f>
        <v>12.436000000000002</v>
      </c>
      <c r="AB31" s="434">
        <f t="shared" si="23"/>
        <v>7.2423111499347241E-4</v>
      </c>
      <c r="AD31" s="454">
        <f>ER!AE29-'ER Act'!AA31</f>
        <v>3.8999999999766999E-4</v>
      </c>
    </row>
    <row r="32" spans="2:30" ht="13" x14ac:dyDescent="0.3">
      <c r="B32" s="137" t="s">
        <v>53</v>
      </c>
      <c r="C32" s="456">
        <f t="shared" si="24"/>
        <v>-96.0210000000002</v>
      </c>
      <c r="D32" s="411">
        <f>IF(C$11=0,"N.D.",C32/C$11)</f>
        <v>-2.9949275152123148E-2</v>
      </c>
      <c r="E32" s="456">
        <f t="shared" si="24"/>
        <v>116.23599999999985</v>
      </c>
      <c r="F32" s="411">
        <f>IF(E$11=0,"N.D.",E32/E$11)</f>
        <v>3.6196575593936638E-2</v>
      </c>
      <c r="G32" s="456">
        <f t="shared" ref="G32" si="36">+G65+G131+G98+G197+G230+G164</f>
        <v>155.89499999999992</v>
      </c>
      <c r="H32" s="411">
        <f t="shared" si="13"/>
        <v>4.3488048632300227E-2</v>
      </c>
      <c r="I32" s="456">
        <f t="shared" ref="I32" si="37">+I65+I131+I98+I197+I230+I164</f>
        <v>-42.725999999999999</v>
      </c>
      <c r="J32" s="411">
        <f t="shared" si="14"/>
        <v>-1.7817533543927688E-2</v>
      </c>
      <c r="K32" s="456">
        <f t="shared" ref="K32" si="38">+K65+K131+K98+K197+K230+K164</f>
        <v>20.231999999999935</v>
      </c>
      <c r="L32" s="411">
        <f t="shared" si="15"/>
        <v>1.2254665913167005E-2</v>
      </c>
      <c r="M32" s="456">
        <f t="shared" ref="M32" si="39">+M65+M131+M98+M197+M230+M164</f>
        <v>25.614000000000036</v>
      </c>
      <c r="N32" s="411">
        <f t="shared" si="16"/>
        <v>1.6417999419274347E-2</v>
      </c>
      <c r="O32" s="456">
        <f t="shared" ref="O32" si="40">+O65+O131+O98+O197+O230+O164</f>
        <v>25.614649999999966</v>
      </c>
      <c r="P32" s="411">
        <f t="shared" si="17"/>
        <v>1.6418414370879663E-2</v>
      </c>
      <c r="Q32" s="456">
        <f t="shared" ref="Q32" si="41">+Q65+Q131+Q98+Q197+Q230+Q164</f>
        <v>0</v>
      </c>
      <c r="R32" s="411" t="str">
        <f t="shared" si="18"/>
        <v>N.D.</v>
      </c>
      <c r="S32" s="456">
        <f t="shared" ref="S32" si="42">+S65+S131+S98+S197+S230+S164</f>
        <v>0</v>
      </c>
      <c r="T32" s="411" t="str">
        <f t="shared" si="19"/>
        <v>N.D.</v>
      </c>
      <c r="U32" s="456">
        <f t="shared" ref="U32" si="43">+U65+U131+U98+U197+U230+U164</f>
        <v>0</v>
      </c>
      <c r="V32" s="411" t="str">
        <f t="shared" si="20"/>
        <v>N.D.</v>
      </c>
      <c r="W32" s="456">
        <f t="shared" ref="W32" si="44">+W65+W131+W98+W197+W230+W164</f>
        <v>0</v>
      </c>
      <c r="X32" s="411" t="str">
        <f t="shared" si="21"/>
        <v>N.D.</v>
      </c>
      <c r="Y32" s="456">
        <f t="shared" ref="Y32" si="45">+Y65+Y131+Y98+Y197+Y230+Y164</f>
        <v>0</v>
      </c>
      <c r="Z32" s="411" t="str">
        <f t="shared" si="22"/>
        <v>N.D.</v>
      </c>
      <c r="AA32" s="456">
        <f t="shared" ref="AA32" si="46">+AA65+AA131+AA98+AA197+AA230+AA164</f>
        <v>204.84464999999946</v>
      </c>
      <c r="AB32" s="411">
        <f t="shared" si="23"/>
        <v>1.1929468419905692E-2</v>
      </c>
      <c r="AD32" s="456">
        <f>ER!AE30-'ER Act'!AA32</f>
        <v>-25.615359999999811</v>
      </c>
    </row>
    <row r="33" spans="2:30" ht="13" x14ac:dyDescent="0.3">
      <c r="B33" s="131" t="s">
        <v>122</v>
      </c>
      <c r="C33" s="459">
        <f t="shared" si="24"/>
        <v>21.338999999999782</v>
      </c>
      <c r="D33" s="407">
        <f>IF(C$11=0,"N.D.",C33/C$11)</f>
        <v>6.6557063816368089E-3</v>
      </c>
      <c r="E33" s="459">
        <f t="shared" si="24"/>
        <v>191.29499999999985</v>
      </c>
      <c r="F33" s="407">
        <f>IF(E$11=0,"N.D.",E33/E$11)</f>
        <v>5.9570390655580993E-2</v>
      </c>
      <c r="G33" s="459">
        <f t="shared" ref="G33" si="47">+G66+G132+G99+G198+G231+G165</f>
        <v>267.38599999999991</v>
      </c>
      <c r="H33" s="407">
        <f t="shared" si="13"/>
        <v>7.4589277216050742E-2</v>
      </c>
      <c r="I33" s="459">
        <f t="shared" ref="I33" si="48">+I66+I132+I99+I198+I231+I165</f>
        <v>87.509</v>
      </c>
      <c r="J33" s="407">
        <f t="shared" si="14"/>
        <v>3.6492874195936151E-2</v>
      </c>
      <c r="K33" s="459">
        <f t="shared" ref="K33" si="49">+K66+K132+K99+K198+K231+K165</f>
        <v>95.239999999999938</v>
      </c>
      <c r="L33" s="407">
        <f t="shared" si="15"/>
        <v>5.7687543573054001E-2</v>
      </c>
      <c r="M33" s="459">
        <f t="shared" ref="M33" si="50">+M66+M132+M99+M198+M231+M165</f>
        <v>93.899000000000015</v>
      </c>
      <c r="N33" s="407">
        <f t="shared" si="16"/>
        <v>6.0187152630219412E-2</v>
      </c>
      <c r="O33" s="459">
        <f t="shared" ref="O33" si="51">+O66+O132+O99+O198+O231+O165</f>
        <v>93.899649999999966</v>
      </c>
      <c r="P33" s="407">
        <f t="shared" si="17"/>
        <v>6.018756309301794E-2</v>
      </c>
      <c r="Q33" s="459">
        <f t="shared" ref="Q33" si="52">+Q66+Q132+Q99+Q198+Q231+Q165</f>
        <v>0</v>
      </c>
      <c r="R33" s="407" t="str">
        <f t="shared" si="18"/>
        <v>N.D.</v>
      </c>
      <c r="S33" s="459">
        <f t="shared" ref="S33" si="53">+S66+S132+S99+S198+S231+S165</f>
        <v>0</v>
      </c>
      <c r="T33" s="407" t="str">
        <f t="shared" si="19"/>
        <v>N.D.</v>
      </c>
      <c r="U33" s="459">
        <f t="shared" ref="U33" si="54">+U66+U132+U99+U198+U231+U165</f>
        <v>0</v>
      </c>
      <c r="V33" s="407" t="str">
        <f t="shared" si="20"/>
        <v>N.D.</v>
      </c>
      <c r="W33" s="459">
        <f t="shared" ref="W33" si="55">+W66+W132+W99+W198+W231+W165</f>
        <v>0</v>
      </c>
      <c r="X33" s="407" t="str">
        <f t="shared" si="21"/>
        <v>N.D.</v>
      </c>
      <c r="Y33" s="459">
        <f t="shared" ref="Y33" si="56">+Y66+Y132+Y99+Y198+Y231+Y165</f>
        <v>0</v>
      </c>
      <c r="Z33" s="407" t="str">
        <f t="shared" si="22"/>
        <v>N.D.</v>
      </c>
      <c r="AA33" s="459">
        <f t="shared" ref="AA33" si="57">+AA66+AA132+AA99+AA198+AA231+AA165</f>
        <v>850.5676499999995</v>
      </c>
      <c r="AB33" s="407">
        <f t="shared" si="23"/>
        <v>4.9534219808369022E-2</v>
      </c>
      <c r="AD33" s="459">
        <f>ER!AE31-'ER Act'!AA33</f>
        <v>-93.897209999999973</v>
      </c>
    </row>
    <row r="34" spans="2:30" ht="13" x14ac:dyDescent="0.3">
      <c r="B34" s="1" t="s">
        <v>194</v>
      </c>
      <c r="C34" s="373">
        <f t="shared" si="24"/>
        <v>0</v>
      </c>
      <c r="D34" s="407">
        <f t="shared" ref="D34:F39" si="58">IF(C$11=0,"N.D.",C34/C$11)</f>
        <v>0</v>
      </c>
      <c r="E34" s="373">
        <f t="shared" si="24"/>
        <v>0</v>
      </c>
      <c r="F34" s="407">
        <f t="shared" si="58"/>
        <v>0</v>
      </c>
      <c r="G34" s="373">
        <f t="shared" ref="G34" si="59">+G67+G133+G100+G199+G232+G166</f>
        <v>0</v>
      </c>
      <c r="H34" s="407">
        <f t="shared" si="13"/>
        <v>0</v>
      </c>
      <c r="I34" s="373">
        <f t="shared" ref="I34" si="60">+I67+I133+I100+I199+I232+I166</f>
        <v>0</v>
      </c>
      <c r="J34" s="407">
        <f t="shared" si="14"/>
        <v>0</v>
      </c>
      <c r="K34" s="373">
        <f t="shared" ref="K34" si="61">+K67+K133+K100+K199+K232+K166</f>
        <v>0</v>
      </c>
      <c r="L34" s="407">
        <f t="shared" si="15"/>
        <v>0</v>
      </c>
      <c r="M34" s="373">
        <f t="shared" ref="M34" si="62">+M67+M133+M100+M199+M232+M166</f>
        <v>0</v>
      </c>
      <c r="N34" s="407">
        <f t="shared" si="16"/>
        <v>0</v>
      </c>
      <c r="O34" s="373">
        <f t="shared" ref="O34" si="63">+O67+O133+O100+O199+O232+O166</f>
        <v>0</v>
      </c>
      <c r="P34" s="407">
        <f t="shared" si="17"/>
        <v>0</v>
      </c>
      <c r="Q34" s="373">
        <f t="shared" ref="Q34" si="64">+Q67+Q133+Q100+Q199+Q232+Q166</f>
        <v>0</v>
      </c>
      <c r="R34" s="407" t="str">
        <f t="shared" si="18"/>
        <v>N.D.</v>
      </c>
      <c r="S34" s="373">
        <f t="shared" ref="S34" si="65">+S67+S133+S100+S199+S232+S166</f>
        <v>0</v>
      </c>
      <c r="T34" s="407" t="str">
        <f t="shared" si="19"/>
        <v>N.D.</v>
      </c>
      <c r="U34" s="373">
        <f t="shared" ref="U34" si="66">+U67+U133+U100+U199+U232+U166</f>
        <v>0</v>
      </c>
      <c r="V34" s="407" t="str">
        <f t="shared" si="20"/>
        <v>N.D.</v>
      </c>
      <c r="W34" s="373">
        <f t="shared" ref="W34" si="67">+W67+W133+W100+W199+W232+W166</f>
        <v>0</v>
      </c>
      <c r="X34" s="407" t="str">
        <f t="shared" si="21"/>
        <v>N.D.</v>
      </c>
      <c r="Y34" s="373">
        <f t="shared" ref="Y34" si="68">+Y67+Y133+Y100+Y199+Y232+Y166</f>
        <v>0</v>
      </c>
      <c r="Z34" s="407" t="str">
        <f t="shared" si="22"/>
        <v>N.D.</v>
      </c>
      <c r="AA34" s="373">
        <f t="shared" ref="AA34" si="69">+AA67+AA133+AA100+AA199+AA232+AA166</f>
        <v>0</v>
      </c>
      <c r="AB34" s="407">
        <f t="shared" si="23"/>
        <v>0</v>
      </c>
      <c r="AD34" s="418">
        <f>ER!AE32-'ER Act'!AA34</f>
        <v>0</v>
      </c>
    </row>
    <row r="35" spans="2:30" ht="13" x14ac:dyDescent="0.3">
      <c r="B35" s="1" t="s">
        <v>123</v>
      </c>
      <c r="C35" s="408">
        <f t="shared" si="24"/>
        <v>0</v>
      </c>
      <c r="D35" s="409">
        <f t="shared" si="58"/>
        <v>0</v>
      </c>
      <c r="E35" s="408">
        <f t="shared" si="24"/>
        <v>0</v>
      </c>
      <c r="F35" s="409">
        <f t="shared" si="58"/>
        <v>0</v>
      </c>
      <c r="G35" s="408">
        <f t="shared" ref="G35" si="70">+G68+G134+G101+G200+G233+G167</f>
        <v>0</v>
      </c>
      <c r="H35" s="409">
        <f t="shared" si="13"/>
        <v>0</v>
      </c>
      <c r="I35" s="408">
        <f t="shared" ref="I35" si="71">+I68+I134+I101+I200+I233+I167</f>
        <v>0</v>
      </c>
      <c r="J35" s="409">
        <f t="shared" si="14"/>
        <v>0</v>
      </c>
      <c r="K35" s="408">
        <f t="shared" ref="K35" si="72">+K68+K134+K101+K200+K233+K167</f>
        <v>0</v>
      </c>
      <c r="L35" s="409">
        <f t="shared" si="15"/>
        <v>0</v>
      </c>
      <c r="M35" s="408">
        <f t="shared" ref="M35" si="73">+M68+M134+M101+M200+M233+M167</f>
        <v>0</v>
      </c>
      <c r="N35" s="409">
        <f t="shared" si="16"/>
        <v>0</v>
      </c>
      <c r="O35" s="408">
        <f t="shared" ref="O35" si="74">+O68+O134+O101+O200+O233+O167</f>
        <v>0</v>
      </c>
      <c r="P35" s="409">
        <f t="shared" si="17"/>
        <v>0</v>
      </c>
      <c r="Q35" s="408">
        <f t="shared" ref="Q35" si="75">+Q68+Q134+Q101+Q200+Q233+Q167</f>
        <v>0</v>
      </c>
      <c r="R35" s="409" t="str">
        <f t="shared" si="18"/>
        <v>N.D.</v>
      </c>
      <c r="S35" s="408">
        <f t="shared" ref="S35" si="76">+S68+S134+S101+S200+S233+S167</f>
        <v>0</v>
      </c>
      <c r="T35" s="409" t="str">
        <f t="shared" si="19"/>
        <v>N.D.</v>
      </c>
      <c r="U35" s="408">
        <f t="shared" ref="U35" si="77">+U68+U134+U101+U200+U233+U167</f>
        <v>0</v>
      </c>
      <c r="V35" s="409" t="str">
        <f t="shared" si="20"/>
        <v>N.D.</v>
      </c>
      <c r="W35" s="408">
        <f t="shared" ref="W35" si="78">+W68+W134+W101+W200+W233+W167</f>
        <v>0</v>
      </c>
      <c r="X35" s="409" t="str">
        <f t="shared" si="21"/>
        <v>N.D.</v>
      </c>
      <c r="Y35" s="408">
        <f t="shared" ref="Y35" si="79">+Y68+Y134+Y101+Y200+Y233+Y167</f>
        <v>0</v>
      </c>
      <c r="Z35" s="409" t="str">
        <f t="shared" si="22"/>
        <v>N.D.</v>
      </c>
      <c r="AA35" s="408">
        <f t="shared" ref="AA35" si="80">+AA68+AA134+AA101+AA200+AA233+AA167</f>
        <v>0</v>
      </c>
      <c r="AB35" s="409">
        <f t="shared" si="23"/>
        <v>0</v>
      </c>
      <c r="AD35" s="460">
        <f>ER!AE33-'ER Act'!AA35</f>
        <v>0</v>
      </c>
    </row>
    <row r="36" spans="2:30" ht="13" x14ac:dyDescent="0.3">
      <c r="B36" s="7" t="s">
        <v>190</v>
      </c>
      <c r="C36" s="410">
        <f t="shared" si="24"/>
        <v>-30.970000000000208</v>
      </c>
      <c r="D36" s="409">
        <f t="shared" si="58"/>
        <v>-9.659647904742278E-3</v>
      </c>
      <c r="E36" s="410">
        <f t="shared" si="24"/>
        <v>181.28699999999986</v>
      </c>
      <c r="F36" s="409">
        <f t="shared" si="58"/>
        <v>5.6453840459909102E-2</v>
      </c>
      <c r="G36" s="410">
        <f t="shared" ref="G36" si="81">+G69+G135+G102+G201+G234+G168</f>
        <v>220.94599999999994</v>
      </c>
      <c r="H36" s="409">
        <f t="shared" si="13"/>
        <v>6.1634500100145657E-2</v>
      </c>
      <c r="I36" s="410">
        <f t="shared" ref="I36" si="82">+I69+I135+I102+I201+I234+I168</f>
        <v>22.324999999999989</v>
      </c>
      <c r="J36" s="409">
        <f t="shared" si="14"/>
        <v>9.3099385940220332E-3</v>
      </c>
      <c r="K36" s="410">
        <f t="shared" ref="K36" si="83">+K69+K135+K102+K201+K234+K168</f>
        <v>59.539999999999928</v>
      </c>
      <c r="L36" s="409">
        <f t="shared" si="15"/>
        <v>3.606380033955936E-2</v>
      </c>
      <c r="M36" s="410">
        <f t="shared" ref="M36" si="84">+M69+M135+M102+M201+M234+M168</f>
        <v>65.92900000000003</v>
      </c>
      <c r="N36" s="409">
        <f t="shared" si="16"/>
        <v>4.22590100614249E-2</v>
      </c>
      <c r="O36" s="410">
        <f t="shared" ref="O36" si="85">+O69+O135+O102+O201+O234+O168</f>
        <v>65.930469999999957</v>
      </c>
      <c r="P36" s="409">
        <f t="shared" si="17"/>
        <v>4.2259947964420799E-2</v>
      </c>
      <c r="Q36" s="410">
        <f t="shared" ref="Q36" si="86">+Q69+Q135+Q102+Q201+Q234+Q168</f>
        <v>0</v>
      </c>
      <c r="R36" s="409" t="str">
        <f t="shared" si="18"/>
        <v>N.D.</v>
      </c>
      <c r="S36" s="410">
        <f t="shared" ref="S36" si="87">+S69+S135+S102+S201+S234+S168</f>
        <v>0</v>
      </c>
      <c r="T36" s="409" t="str">
        <f t="shared" si="19"/>
        <v>N.D.</v>
      </c>
      <c r="U36" s="410">
        <f t="shared" ref="U36" si="88">+U69+U135+U102+U201+U234+U168</f>
        <v>0</v>
      </c>
      <c r="V36" s="409" t="str">
        <f t="shared" si="20"/>
        <v>N.D.</v>
      </c>
      <c r="W36" s="410">
        <f t="shared" ref="W36" si="89">+W69+W135+W102+W201+W234+W168</f>
        <v>0</v>
      </c>
      <c r="X36" s="409" t="str">
        <f t="shared" si="21"/>
        <v>N.D.</v>
      </c>
      <c r="Y36" s="410">
        <f t="shared" ref="Y36" si="90">+Y69+Y135+Y102+Y201+Y234+Y168</f>
        <v>0</v>
      </c>
      <c r="Z36" s="409" t="str">
        <f t="shared" si="22"/>
        <v>N.D.</v>
      </c>
      <c r="AA36" s="410">
        <f>+AA69+AA135+AA102+AA201+AA234+AA168</f>
        <v>584.98746999999946</v>
      </c>
      <c r="AB36" s="409">
        <f t="shared" si="23"/>
        <v>3.4067716923070923E-2</v>
      </c>
      <c r="AD36" s="410">
        <f>ER!AE34-'ER Act'!AA36</f>
        <v>-65.92639999999983</v>
      </c>
    </row>
    <row r="37" spans="2:30" ht="13" x14ac:dyDescent="0.3">
      <c r="B37" s="7" t="s">
        <v>191</v>
      </c>
      <c r="C37" s="381">
        <f t="shared" si="24"/>
        <v>67.47</v>
      </c>
      <c r="D37" s="411">
        <f t="shared" si="58"/>
        <v>2.1044121541264355E-2</v>
      </c>
      <c r="E37" s="381">
        <f t="shared" si="24"/>
        <v>73.84675</v>
      </c>
      <c r="F37" s="411">
        <f t="shared" si="58"/>
        <v>2.2996313265610861E-2</v>
      </c>
      <c r="G37" s="381">
        <f t="shared" ref="G37" si="91">+G70+G136+G103+G202+G235+G169</f>
        <v>70.915239999999997</v>
      </c>
      <c r="H37" s="411">
        <f t="shared" si="13"/>
        <v>1.978232403791811E-2</v>
      </c>
      <c r="I37" s="381">
        <f t="shared" ref="I37" si="92">+I70+I136+I103+I202+I235+I169</f>
        <v>42.824060000000003</v>
      </c>
      <c r="J37" s="411">
        <f t="shared" si="14"/>
        <v>1.7858426380591957E-2</v>
      </c>
      <c r="K37" s="381">
        <f t="shared" ref="K37" si="93">+K70+K136+K103+K202+K235+K169</f>
        <v>40.590000000000003</v>
      </c>
      <c r="L37" s="411">
        <f t="shared" si="15"/>
        <v>2.4585650920099365E-2</v>
      </c>
      <c r="M37" s="381">
        <f t="shared" ref="M37" si="94">+M70+M136+M103+M202+M235+M169</f>
        <v>47</v>
      </c>
      <c r="N37" s="411">
        <f t="shared" si="16"/>
        <v>3.0125945682278957E-2</v>
      </c>
      <c r="O37" s="381">
        <f t="shared" ref="O37" si="95">+O70+O136+O103+O202+O235+O169</f>
        <v>47</v>
      </c>
      <c r="P37" s="411">
        <f t="shared" si="17"/>
        <v>3.0125942592670412E-2</v>
      </c>
      <c r="Q37" s="381">
        <f t="shared" ref="Q37" si="96">+Q70+Q136+Q103+Q202+Q235+Q169</f>
        <v>0</v>
      </c>
      <c r="R37" s="411" t="str">
        <f t="shared" si="18"/>
        <v>N.D.</v>
      </c>
      <c r="S37" s="381">
        <f t="shared" ref="S37" si="97">+S70+S136+S103+S202+S235+S169</f>
        <v>0</v>
      </c>
      <c r="T37" s="411" t="str">
        <f t="shared" si="19"/>
        <v>N.D.</v>
      </c>
      <c r="U37" s="381">
        <f t="shared" ref="U37" si="98">+U70+U136+U103+U202+U235+U169</f>
        <v>0</v>
      </c>
      <c r="V37" s="411" t="str">
        <f t="shared" si="20"/>
        <v>N.D.</v>
      </c>
      <c r="W37" s="381">
        <f t="shared" ref="W37" si="99">+W70+W136+W103+W202+W235+W169</f>
        <v>0</v>
      </c>
      <c r="X37" s="411" t="str">
        <f t="shared" si="21"/>
        <v>N.D.</v>
      </c>
      <c r="Y37" s="381">
        <f t="shared" ref="Y37" si="100">+Y70+Y136+Y103+Y202+Y235+Y169</f>
        <v>0</v>
      </c>
      <c r="Z37" s="411" t="str">
        <f t="shared" si="22"/>
        <v>N.D.</v>
      </c>
      <c r="AA37" s="381">
        <f>+AA70+AA136+AA103+AA202+AA235+AA169</f>
        <v>389.64605000000006</v>
      </c>
      <c r="AB37" s="411">
        <f t="shared" si="23"/>
        <v>2.2691684886161329E-2</v>
      </c>
      <c r="AD37" s="381">
        <f>ER!AE35-'ER Act'!AA37</f>
        <v>-52.63134000000008</v>
      </c>
    </row>
    <row r="38" spans="2:30" ht="13" x14ac:dyDescent="0.3">
      <c r="B38" s="7" t="s">
        <v>84</v>
      </c>
      <c r="C38" s="381">
        <f t="shared" si="24"/>
        <v>-98.440000000000211</v>
      </c>
      <c r="D38" s="411">
        <f t="shared" si="58"/>
        <v>-3.0703769446006633E-2</v>
      </c>
      <c r="E38" s="381">
        <f t="shared" si="24"/>
        <v>107.44024999999985</v>
      </c>
      <c r="F38" s="411">
        <f t="shared" si="58"/>
        <v>3.3457527194298238E-2</v>
      </c>
      <c r="G38" s="381">
        <f t="shared" ref="G38" si="101">+G71+G137+G104+G203+G236+G170</f>
        <v>150.0307599999999</v>
      </c>
      <c r="H38" s="411">
        <f t="shared" si="13"/>
        <v>4.185217606222754E-2</v>
      </c>
      <c r="I38" s="381">
        <f t="shared" ref="I38" si="102">+I71+I137+I104+I203+I236+I170</f>
        <v>-20.499060000000007</v>
      </c>
      <c r="J38" s="411">
        <f t="shared" si="14"/>
        <v>-8.5484877865699208E-3</v>
      </c>
      <c r="K38" s="381">
        <f t="shared" ref="K38" si="103">+K71+K137+K104+K203+K236+K170</f>
        <v>18.949999999999925</v>
      </c>
      <c r="L38" s="411">
        <f t="shared" si="15"/>
        <v>1.1478149419459993E-2</v>
      </c>
      <c r="M38" s="381">
        <f t="shared" ref="M38" si="104">+M71+M137+M104+M203+M236+M170</f>
        <v>18.92900000000003</v>
      </c>
      <c r="N38" s="411">
        <f t="shared" si="16"/>
        <v>1.2133064379145943E-2</v>
      </c>
      <c r="O38" s="381">
        <f t="shared" ref="O38" si="105">+O71+O137+O104+O203+O236+O170</f>
        <v>18.930469999999961</v>
      </c>
      <c r="P38" s="411">
        <f t="shared" si="17"/>
        <v>1.2134005371750389E-2</v>
      </c>
      <c r="Q38" s="381">
        <f t="shared" ref="Q38" si="106">+Q71+Q137+Q104+Q203+Q236+Q170</f>
        <v>0</v>
      </c>
      <c r="R38" s="411" t="str">
        <f t="shared" si="18"/>
        <v>N.D.</v>
      </c>
      <c r="S38" s="381">
        <f t="shared" ref="S38" si="107">+S71+S137+S104+S203+S236+S170</f>
        <v>0</v>
      </c>
      <c r="T38" s="411" t="str">
        <f t="shared" si="19"/>
        <v>N.D.</v>
      </c>
      <c r="U38" s="381">
        <f t="shared" ref="U38" si="108">+U71+U137+U104+U203+U236+U170</f>
        <v>0</v>
      </c>
      <c r="V38" s="411" t="str">
        <f t="shared" si="20"/>
        <v>N.D.</v>
      </c>
      <c r="W38" s="381">
        <f t="shared" ref="W38" si="109">+W71+W137+W104+W203+W236+W170</f>
        <v>0</v>
      </c>
      <c r="X38" s="411" t="str">
        <f t="shared" si="21"/>
        <v>N.D.</v>
      </c>
      <c r="Y38" s="381">
        <f t="shared" ref="Y38" si="110">+Y71+Y137+Y104+Y203+Y236+Y170</f>
        <v>0</v>
      </c>
      <c r="Z38" s="411" t="str">
        <f t="shared" si="22"/>
        <v>N.D.</v>
      </c>
      <c r="AA38" s="381">
        <f>+AA71+AA137+AA104+AA203+AA236+AA170</f>
        <v>195.34141999999946</v>
      </c>
      <c r="AB38" s="411">
        <f t="shared" si="23"/>
        <v>1.13760320369096E-2</v>
      </c>
      <c r="AD38" s="381">
        <f>ER!AE36-'ER Act'!AA38</f>
        <v>-13.295059999999808</v>
      </c>
    </row>
    <row r="39" spans="2:30" ht="13" x14ac:dyDescent="0.3">
      <c r="B39" s="1" t="s">
        <v>193</v>
      </c>
      <c r="C39" s="412">
        <f>IF(C37=0,"N.D.",(C36-C34-C35)/C37)</f>
        <v>-0.45901882318067599</v>
      </c>
      <c r="D39" s="411">
        <f t="shared" si="58"/>
        <v>-1.4316952578541985E-4</v>
      </c>
      <c r="E39" s="412">
        <f>IF(E37=0,"N.D.",(E36-E34-E35)/E37)</f>
        <v>2.4549083067298136</v>
      </c>
      <c r="F39" s="411">
        <f t="shared" si="58"/>
        <v>7.6447291803510788E-4</v>
      </c>
      <c r="G39" s="412">
        <f>IF(G37=0,"N.D.",(G36-G34-G35)/G37)</f>
        <v>3.1156349467335929</v>
      </c>
      <c r="H39" s="411">
        <f t="shared" si="13"/>
        <v>8.6912911949738395E-4</v>
      </c>
      <c r="I39" s="412">
        <f>IF(I37=0,"N.D.",(I36-I34-I35)/I37)</f>
        <v>0.52131909024973311</v>
      </c>
      <c r="J39" s="411">
        <f t="shared" si="14"/>
        <v>2.1739971861663821E-4</v>
      </c>
      <c r="K39" s="412">
        <f>IF(K37=0,"N.D.",(K36-K34-K35)/K37)</f>
        <v>1.4668637595466845</v>
      </c>
      <c r="L39" s="411">
        <f t="shared" si="15"/>
        <v>8.8848978417244043E-4</v>
      </c>
      <c r="M39" s="412">
        <f>IF(M37=0,"N.D.",(M36-M34-M35)/M37)</f>
        <v>1.4027446808510644</v>
      </c>
      <c r="N39" s="411">
        <f t="shared" si="16"/>
        <v>8.9912787364733828E-4</v>
      </c>
      <c r="O39" s="412">
        <f>IF(O37=0,"N.D.",(O36-O34-O35)/O37)</f>
        <v>1.4027759574468075</v>
      </c>
      <c r="P39" s="411">
        <f t="shared" si="17"/>
        <v>8.9914782903022965E-4</v>
      </c>
      <c r="Q39" s="412" t="str">
        <f>IF(Q37=0,"N.D.",(Q36-Q34-Q35)/Q37)</f>
        <v>N.D.</v>
      </c>
      <c r="R39" s="411" t="str">
        <f t="shared" si="18"/>
        <v>N.D.</v>
      </c>
      <c r="S39" s="412" t="str">
        <f>IF(S37=0,"N.D.",(S36-S34-S35)/S37)</f>
        <v>N.D.</v>
      </c>
      <c r="T39" s="411" t="str">
        <f t="shared" si="19"/>
        <v>N.D.</v>
      </c>
      <c r="U39" s="412" t="str">
        <f>IF(U37=0,"N.D.",(U36-U34-U35)/U37)</f>
        <v>N.D.</v>
      </c>
      <c r="V39" s="411" t="str">
        <f t="shared" si="20"/>
        <v>N.D.</v>
      </c>
      <c r="W39" s="412" t="str">
        <f>IF(W37=0,"N.D.",(W36-W34-W35)/W37)</f>
        <v>N.D.</v>
      </c>
      <c r="X39" s="411" t="str">
        <f t="shared" si="21"/>
        <v>N.D.</v>
      </c>
      <c r="Y39" s="412" t="str">
        <f>IF(Y37=0,"N.D.",(Y36-Y34-Y35)/Y37)</f>
        <v>N.D.</v>
      </c>
      <c r="Z39" s="411" t="str">
        <f t="shared" si="22"/>
        <v>N.D.</v>
      </c>
      <c r="AA39" s="412">
        <f>IF(AA37=0,"N.D.",(AA36-AA34-AA35)/AA37)</f>
        <v>1.5013304253950461</v>
      </c>
      <c r="AB39" s="411">
        <f t="shared" si="23"/>
        <v>8.7432470887542486E-5</v>
      </c>
      <c r="AD39" s="412">
        <f>ER!AE37-'ER Act'!AA39</f>
        <v>3.884291006559204E-2</v>
      </c>
    </row>
    <row r="40" spans="2:30" ht="13" x14ac:dyDescent="0.3">
      <c r="C40" s="461"/>
      <c r="D40" s="438"/>
      <c r="E40" s="461"/>
      <c r="F40" s="438"/>
      <c r="G40" s="461"/>
      <c r="H40" s="438"/>
      <c r="I40" s="461"/>
      <c r="J40" s="438"/>
      <c r="K40" s="461"/>
      <c r="L40" s="438"/>
      <c r="M40" s="461"/>
      <c r="N40" s="438"/>
      <c r="O40" s="461"/>
      <c r="P40" s="438"/>
      <c r="Q40" s="461"/>
      <c r="R40" s="438"/>
      <c r="S40" s="461"/>
      <c r="T40" s="438"/>
      <c r="U40" s="461"/>
      <c r="V40" s="438"/>
      <c r="W40" s="461"/>
      <c r="X40" s="438"/>
      <c r="Y40" s="461"/>
      <c r="Z40" s="438"/>
      <c r="AA40" s="461"/>
      <c r="AB40" s="438"/>
    </row>
    <row r="41" spans="2:30" ht="13" x14ac:dyDescent="0.3">
      <c r="C41" s="461"/>
      <c r="D41" s="438"/>
      <c r="E41" s="461"/>
      <c r="F41" s="438"/>
      <c r="G41" s="461"/>
      <c r="H41" s="438"/>
      <c r="I41" s="461"/>
      <c r="J41" s="438"/>
      <c r="K41" s="461"/>
      <c r="L41" s="438"/>
      <c r="M41" s="461"/>
      <c r="N41" s="438"/>
      <c r="O41" s="461"/>
      <c r="P41" s="438"/>
      <c r="Q41" s="461"/>
      <c r="R41" s="438"/>
      <c r="S41" s="461"/>
      <c r="T41" s="438"/>
      <c r="U41" s="461"/>
      <c r="V41" s="438"/>
      <c r="W41" s="461"/>
      <c r="X41" s="438"/>
      <c r="Y41" s="461"/>
      <c r="Z41" s="438"/>
      <c r="AA41" s="461"/>
      <c r="AB41" s="438"/>
    </row>
    <row r="43" spans="2:30" ht="13" x14ac:dyDescent="0.3">
      <c r="B43" s="250" t="s">
        <v>343</v>
      </c>
      <c r="C43" s="396" t="s">
        <v>418</v>
      </c>
      <c r="D43" s="397"/>
      <c r="E43" s="396" t="s">
        <v>419</v>
      </c>
      <c r="F43" s="397"/>
      <c r="G43" s="396" t="s">
        <v>417</v>
      </c>
      <c r="H43" s="397"/>
      <c r="I43" s="396" t="s">
        <v>420</v>
      </c>
      <c r="J43" s="397"/>
      <c r="K43" s="396" t="s">
        <v>421</v>
      </c>
      <c r="L43" s="397"/>
      <c r="M43" s="396" t="s">
        <v>422</v>
      </c>
      <c r="N43" s="397"/>
      <c r="O43" s="396" t="s">
        <v>423</v>
      </c>
      <c r="P43" s="397"/>
      <c r="Q43" s="396" t="s">
        <v>428</v>
      </c>
      <c r="R43" s="397"/>
      <c r="S43" s="396" t="s">
        <v>424</v>
      </c>
      <c r="T43" s="397"/>
      <c r="U43" s="396" t="s">
        <v>425</v>
      </c>
      <c r="V43" s="397"/>
      <c r="W43" s="396" t="s">
        <v>426</v>
      </c>
      <c r="X43" s="397"/>
      <c r="Y43" s="396" t="s">
        <v>427</v>
      </c>
      <c r="Z43" s="431"/>
      <c r="AA43" s="452" t="s">
        <v>496</v>
      </c>
      <c r="AB43" s="431"/>
    </row>
    <row r="44" spans="2:30" x14ac:dyDescent="0.25">
      <c r="B44" s="137" t="s">
        <v>38</v>
      </c>
      <c r="C44" s="454">
        <v>1750.636</v>
      </c>
      <c r="D44" s="414">
        <f>IF(C$44=0,"N.D.",C44/C$44)</f>
        <v>1</v>
      </c>
      <c r="E44" s="454">
        <v>1696.8789999999999</v>
      </c>
      <c r="F44" s="414">
        <f>IF(E$44=0,"N.D.",E44/E$44)</f>
        <v>1</v>
      </c>
      <c r="G44" s="454">
        <v>1885.366</v>
      </c>
      <c r="H44" s="414">
        <f>IF(G$44=0,"N.D.",G44/G$44)</f>
        <v>1</v>
      </c>
      <c r="I44" s="454">
        <v>862.14</v>
      </c>
      <c r="J44" s="414">
        <f>IF(I$44=0,"N.D.",I44/I$44)</f>
        <v>1</v>
      </c>
      <c r="K44" s="454">
        <v>0</v>
      </c>
      <c r="L44" s="414" t="str">
        <f>IF(K$44=0,"N.D.",K44/K$44)</f>
        <v>N.D.</v>
      </c>
      <c r="M44" s="454">
        <v>0</v>
      </c>
      <c r="N44" s="414" t="str">
        <f>IF(M$44=0,"N.D.",M44/M$44)</f>
        <v>N.D.</v>
      </c>
      <c r="O44" s="454">
        <v>0</v>
      </c>
      <c r="P44" s="414" t="str">
        <f>IF(O$44=0,"N.D.",O44/O$44)</f>
        <v>N.D.</v>
      </c>
      <c r="Q44" s="454"/>
      <c r="R44" s="414" t="str">
        <f>IF(Q$44=0,"N.D.",Q44/Q$44)</f>
        <v>N.D.</v>
      </c>
      <c r="S44" s="454"/>
      <c r="T44" s="414" t="str">
        <f>IF(S$44=0,"N.D.",S44/S$44)</f>
        <v>N.D.</v>
      </c>
      <c r="U44" s="454"/>
      <c r="V44" s="414" t="str">
        <f>IF(U$44=0,"N.D.",U44/U$44)</f>
        <v>N.D.</v>
      </c>
      <c r="W44" s="454"/>
      <c r="X44" s="414" t="str">
        <f>IF(W$44=0,"N.D.",W44/W$44)</f>
        <v>N.D.</v>
      </c>
      <c r="Y44" s="454"/>
      <c r="Z44" s="414" t="str">
        <f>IF(Y$44=0,"N.D.",Y44/Y$44)</f>
        <v>N.D.</v>
      </c>
      <c r="AA44" s="454">
        <f>+Y44+W44+U44+S44+Q44+O44+M44+K44+I44+G44+E44+C44</f>
        <v>6195.0210000000006</v>
      </c>
      <c r="AB44" s="414">
        <f>IF(AA$44=0,"N.D.",AA44/AA$44)</f>
        <v>1</v>
      </c>
      <c r="AD44" s="455">
        <f>+ER!AE44-'ER Act'!AA44</f>
        <v>-1.4500000006592018E-3</v>
      </c>
    </row>
    <row r="45" spans="2:30" x14ac:dyDescent="0.25">
      <c r="B45" s="137" t="s">
        <v>39</v>
      </c>
      <c r="C45" s="454">
        <v>657.26900000000001</v>
      </c>
      <c r="D45" s="414">
        <f>IF(C$44=0,"N.D.",C45/C$44)</f>
        <v>0.37544583796974357</v>
      </c>
      <c r="E45" s="454">
        <v>630.197</v>
      </c>
      <c r="F45" s="414">
        <f>IF(E$44=0,"N.D.",E45/E$44)</f>
        <v>0.37138593853775081</v>
      </c>
      <c r="G45" s="454">
        <v>690.875</v>
      </c>
      <c r="H45" s="414">
        <f>IF(G$44=0,"N.D.",G45/G$44)</f>
        <v>0.36644078656345769</v>
      </c>
      <c r="I45" s="454">
        <v>314.61799999999999</v>
      </c>
      <c r="J45" s="414">
        <f>IF(I$44=0,"N.D.",I45/I$44)</f>
        <v>0.36492681003085348</v>
      </c>
      <c r="K45" s="454">
        <v>0</v>
      </c>
      <c r="L45" s="414" t="str">
        <f>IF(K$44=0,"N.D.",K45/K$44)</f>
        <v>N.D.</v>
      </c>
      <c r="M45" s="454">
        <v>0</v>
      </c>
      <c r="N45" s="414" t="str">
        <f>IF(M$44=0,"N.D.",M45/M$44)</f>
        <v>N.D.</v>
      </c>
      <c r="O45" s="454">
        <v>0</v>
      </c>
      <c r="P45" s="414" t="str">
        <f>IF(O$44=0,"N.D.",O45/O$44)</f>
        <v>N.D.</v>
      </c>
      <c r="Q45" s="454"/>
      <c r="R45" s="414" t="str">
        <f>IF(Q$44=0,"N.D.",Q45/Q$44)</f>
        <v>N.D.</v>
      </c>
      <c r="S45" s="454"/>
      <c r="T45" s="414" t="str">
        <f>IF(S$44=0,"N.D.",S45/S$44)</f>
        <v>N.D.</v>
      </c>
      <c r="U45" s="454"/>
      <c r="V45" s="414" t="str">
        <f>IF(U$44=0,"N.D.",U45/U$44)</f>
        <v>N.D.</v>
      </c>
      <c r="W45" s="454"/>
      <c r="X45" s="414" t="str">
        <f>IF(W$44=0,"N.D.",W45/W$44)</f>
        <v>N.D.</v>
      </c>
      <c r="Y45" s="454"/>
      <c r="Z45" s="414" t="str">
        <f>IF(Y$44=0,"N.D.",Y45/Y$44)</f>
        <v>N.D.</v>
      </c>
      <c r="AA45" s="454">
        <f t="shared" ref="AA45:AA71" si="111">+Y45+W45+U45+S45+Q45+O45+M45+K45+I45+G45+E45+C45</f>
        <v>2292.9589999999998</v>
      </c>
      <c r="AB45" s="414">
        <f>IF(AA$44=0,"N.D.",AA45/AA$44)</f>
        <v>0.37012933450911623</v>
      </c>
      <c r="AD45" s="454">
        <f>+ER!AE45-'ER Act'!AA45</f>
        <v>-1.0600000000522414E-3</v>
      </c>
    </row>
    <row r="46" spans="2:30" x14ac:dyDescent="0.25">
      <c r="B46" s="9" t="s">
        <v>219</v>
      </c>
      <c r="C46" s="454">
        <v>0</v>
      </c>
      <c r="D46" s="414">
        <f>IF(C$44=0,"N.D.",C46/C$44)</f>
        <v>0</v>
      </c>
      <c r="E46" s="454">
        <v>0</v>
      </c>
      <c r="F46" s="414">
        <f>IF(E$44=0,"N.D.",E46/E$44)</f>
        <v>0</v>
      </c>
      <c r="G46" s="454">
        <v>0</v>
      </c>
      <c r="H46" s="414">
        <f>IF(G$44=0,"N.D.",G46/G$44)</f>
        <v>0</v>
      </c>
      <c r="I46" s="454">
        <v>0</v>
      </c>
      <c r="J46" s="414">
        <f>IF(I$44=0,"N.D.",I46/I$44)</f>
        <v>0</v>
      </c>
      <c r="K46" s="454">
        <v>0</v>
      </c>
      <c r="L46" s="414" t="str">
        <f>IF(K$44=0,"N.D.",K46/K$44)</f>
        <v>N.D.</v>
      </c>
      <c r="M46" s="454">
        <v>0</v>
      </c>
      <c r="N46" s="414" t="str">
        <f>IF(M$44=0,"N.D.",M46/M$44)</f>
        <v>N.D.</v>
      </c>
      <c r="O46" s="454">
        <v>0</v>
      </c>
      <c r="P46" s="414" t="str">
        <f>IF(O$44=0,"N.D.",O46/O$44)</f>
        <v>N.D.</v>
      </c>
      <c r="Q46" s="454"/>
      <c r="R46" s="414" t="str">
        <f>IF(Q$44=0,"N.D.",Q46/Q$44)</f>
        <v>N.D.</v>
      </c>
      <c r="S46" s="454"/>
      <c r="T46" s="414" t="str">
        <f>IF(S$44=0,"N.D.",S46/S$44)</f>
        <v>N.D.</v>
      </c>
      <c r="U46" s="454"/>
      <c r="V46" s="414" t="str">
        <f>IF(U$44=0,"N.D.",U46/U$44)</f>
        <v>N.D.</v>
      </c>
      <c r="W46" s="454"/>
      <c r="X46" s="414" t="str">
        <f>IF(W$44=0,"N.D.",W46/W$44)</f>
        <v>N.D.</v>
      </c>
      <c r="Y46" s="454"/>
      <c r="Z46" s="414" t="str">
        <f>IF(Y$44=0,"N.D.",Y46/Y$44)</f>
        <v>N.D.</v>
      </c>
      <c r="AA46" s="454"/>
      <c r="AB46" s="414">
        <f>IF(AA$44=0,"N.D.",AA46/AA$44)</f>
        <v>0</v>
      </c>
      <c r="AD46" s="454">
        <f>+ER!AE46-'ER Act'!AA46</f>
        <v>0</v>
      </c>
    </row>
    <row r="47" spans="2:30" ht="13" x14ac:dyDescent="0.3">
      <c r="B47" s="137" t="s">
        <v>40</v>
      </c>
      <c r="C47" s="456">
        <v>1093.367</v>
      </c>
      <c r="D47" s="415">
        <f>IF(C$44=0,"N.D.",C47/C$44)</f>
        <v>0.62455416203025638</v>
      </c>
      <c r="E47" s="456">
        <v>1066.6819999999998</v>
      </c>
      <c r="F47" s="415">
        <f>IF(E$44=0,"N.D.",E47/E$44)</f>
        <v>0.62861406146224919</v>
      </c>
      <c r="G47" s="456">
        <v>1194.491</v>
      </c>
      <c r="H47" s="415">
        <f>IF(G$44=0,"N.D.",G47/G$44)</f>
        <v>0.63355921343654231</v>
      </c>
      <c r="I47" s="456">
        <v>547.52199999999993</v>
      </c>
      <c r="J47" s="415">
        <f>IF(I$44=0,"N.D.",I47/I$44)</f>
        <v>0.63507318996914652</v>
      </c>
      <c r="K47" s="456">
        <v>0</v>
      </c>
      <c r="L47" s="415" t="str">
        <f>IF(K$44=0,"N.D.",K47/K$44)</f>
        <v>N.D.</v>
      </c>
      <c r="M47" s="456">
        <v>0</v>
      </c>
      <c r="N47" s="415" t="str">
        <f>IF(M$44=0,"N.D.",M47/M$44)</f>
        <v>N.D.</v>
      </c>
      <c r="O47" s="456">
        <v>0</v>
      </c>
      <c r="P47" s="415" t="str">
        <f>IF(O$44=0,"N.D.",O47/O$44)</f>
        <v>N.D.</v>
      </c>
      <c r="Q47" s="456"/>
      <c r="R47" s="415" t="str">
        <f>IF(Q$44=0,"N.D.",Q47/Q$44)</f>
        <v>N.D.</v>
      </c>
      <c r="S47" s="456"/>
      <c r="T47" s="415" t="str">
        <f>IF(S$44=0,"N.D.",S47/S$44)</f>
        <v>N.D.</v>
      </c>
      <c r="U47" s="456"/>
      <c r="V47" s="415" t="str">
        <f>IF(U$44=0,"N.D.",U47/U$44)</f>
        <v>N.D.</v>
      </c>
      <c r="W47" s="456"/>
      <c r="X47" s="415" t="str">
        <f>IF(W$44=0,"N.D.",W47/W$44)</f>
        <v>N.D.</v>
      </c>
      <c r="Y47" s="456"/>
      <c r="Z47" s="415" t="str">
        <f>IF(Y$44=0,"N.D.",Y47/Y$44)</f>
        <v>N.D.</v>
      </c>
      <c r="AA47" s="456">
        <f t="shared" si="111"/>
        <v>3902.0619999999999</v>
      </c>
      <c r="AB47" s="415">
        <f>IF(AA$44=0,"N.D.",AA47/AA$44)</f>
        <v>0.62987066549088366</v>
      </c>
      <c r="AD47" s="456">
        <f>+ER!AE47-'ER Act'!AA47</f>
        <v>-3.8999999969746568E-4</v>
      </c>
    </row>
    <row r="48" spans="2:30" x14ac:dyDescent="0.25">
      <c r="B48" s="137"/>
      <c r="C48" s="457"/>
      <c r="D48" s="416"/>
      <c r="E48" s="457"/>
      <c r="F48" s="416"/>
      <c r="G48" s="457"/>
      <c r="H48" s="416"/>
      <c r="I48" s="457"/>
      <c r="J48" s="416"/>
      <c r="K48" s="457"/>
      <c r="L48" s="416"/>
      <c r="M48" s="457"/>
      <c r="N48" s="416"/>
      <c r="O48" s="457"/>
      <c r="P48" s="416"/>
      <c r="Q48" s="457"/>
      <c r="R48" s="416"/>
      <c r="S48" s="457"/>
      <c r="T48" s="416"/>
      <c r="U48" s="457"/>
      <c r="V48" s="416"/>
      <c r="W48" s="457"/>
      <c r="X48" s="416"/>
      <c r="Y48" s="457"/>
      <c r="Z48" s="416"/>
      <c r="AA48" s="457"/>
      <c r="AB48" s="416"/>
      <c r="AD48" s="457"/>
    </row>
    <row r="49" spans="2:30" x14ac:dyDescent="0.25">
      <c r="B49" s="137" t="s">
        <v>41</v>
      </c>
      <c r="C49" s="455">
        <v>933.98500000000001</v>
      </c>
      <c r="D49" s="417">
        <f>IF(C$44=0,"N.D.",C49/C$44)</f>
        <v>0.53351182084682369</v>
      </c>
      <c r="E49" s="455">
        <v>893.12400000000002</v>
      </c>
      <c r="F49" s="417">
        <f>IF(E$44=0,"N.D.",E49/E$44)</f>
        <v>0.52633334492323858</v>
      </c>
      <c r="G49" s="455">
        <v>974.82799999999997</v>
      </c>
      <c r="H49" s="417">
        <f>IF(G$44=0,"N.D.",G49/G$44)</f>
        <v>0.51704973994439274</v>
      </c>
      <c r="I49" s="455">
        <v>474.95</v>
      </c>
      <c r="J49" s="417">
        <f>IF(I$44=0,"N.D.",I49/I$44)</f>
        <v>0.55089660611965574</v>
      </c>
      <c r="K49" s="455">
        <v>3.254</v>
      </c>
      <c r="L49" s="417" t="str">
        <f>IF(K$44=0,"N.D.",K49/K$44)</f>
        <v>N.D.</v>
      </c>
      <c r="M49" s="455">
        <v>0.36699999999999999</v>
      </c>
      <c r="N49" s="417" t="str">
        <f>IF(M$44=0,"N.D.",M49/M$44)</f>
        <v>N.D.</v>
      </c>
      <c r="O49" s="455">
        <v>0.36657000000000001</v>
      </c>
      <c r="P49" s="417" t="str">
        <f>IF(O$44=0,"N.D.",O49/O$44)</f>
        <v>N.D.</v>
      </c>
      <c r="Q49" s="455"/>
      <c r="R49" s="417" t="str">
        <f>IF(Q$44=0,"N.D.",Q49/Q$44)</f>
        <v>N.D.</v>
      </c>
      <c r="S49" s="455"/>
      <c r="T49" s="417" t="str">
        <f>IF(S$44=0,"N.D.",S49/S$44)</f>
        <v>N.D.</v>
      </c>
      <c r="U49" s="455"/>
      <c r="V49" s="417" t="str">
        <f>IF(U$44=0,"N.D.",U49/U$44)</f>
        <v>N.D.</v>
      </c>
      <c r="W49" s="455"/>
      <c r="X49" s="417" t="str">
        <f>IF(W$44=0,"N.D.",W49/W$44)</f>
        <v>N.D.</v>
      </c>
      <c r="Y49" s="455"/>
      <c r="Z49" s="417" t="str">
        <f>IF(Y$44=0,"N.D.",Y49/Y$44)</f>
        <v>N.D.</v>
      </c>
      <c r="AA49" s="455">
        <f t="shared" si="111"/>
        <v>3280.8745700000004</v>
      </c>
      <c r="AB49" s="417">
        <f>IF(AA$44=0,"N.D.",AA49/AA$44)</f>
        <v>0.52959861960112808</v>
      </c>
      <c r="AD49" s="455">
        <f>+ER!AE49-'ER Act'!AA49</f>
        <v>-0.36723000000074535</v>
      </c>
    </row>
    <row r="50" spans="2:30" x14ac:dyDescent="0.25">
      <c r="B50" s="137" t="s">
        <v>42</v>
      </c>
      <c r="C50" s="454">
        <v>114.696</v>
      </c>
      <c r="D50" s="414">
        <f>IF(C$44=0,"N.D.",C50/C$44)</f>
        <v>6.5516760765801679E-2</v>
      </c>
      <c r="E50" s="454">
        <v>95.966999999999999</v>
      </c>
      <c r="F50" s="414">
        <f>IF(E$44=0,"N.D.",E50/E$44)</f>
        <v>5.655500480588186E-2</v>
      </c>
      <c r="G50" s="454">
        <v>112.53400000000001</v>
      </c>
      <c r="H50" s="414">
        <f>IF(G$44=0,"N.D.",G50/G$44)</f>
        <v>5.9688145431709284E-2</v>
      </c>
      <c r="I50" s="454">
        <v>75.903999999999996</v>
      </c>
      <c r="J50" s="414">
        <f>IF(I$44=0,"N.D.",I50/I$44)</f>
        <v>8.8041385389843879E-2</v>
      </c>
      <c r="K50" s="454">
        <v>17.725000000000001</v>
      </c>
      <c r="L50" s="414" t="str">
        <f>IF(K$44=0,"N.D.",K50/K$44)</f>
        <v>N.D.</v>
      </c>
      <c r="M50" s="454">
        <v>8.5839999999999996</v>
      </c>
      <c r="N50" s="414" t="str">
        <f>IF(M$44=0,"N.D.",M50/M$44)</f>
        <v>N.D.</v>
      </c>
      <c r="O50" s="454">
        <v>8.5841399999999997</v>
      </c>
      <c r="P50" s="414" t="str">
        <f>IF(O$44=0,"N.D.",O50/O$44)</f>
        <v>N.D.</v>
      </c>
      <c r="Q50" s="454"/>
      <c r="R50" s="414" t="str">
        <f>IF(Q$44=0,"N.D.",Q50/Q$44)</f>
        <v>N.D.</v>
      </c>
      <c r="S50" s="454"/>
      <c r="T50" s="414" t="str">
        <f>IF(S$44=0,"N.D.",S50/S$44)</f>
        <v>N.D.</v>
      </c>
      <c r="U50" s="454"/>
      <c r="V50" s="414" t="str">
        <f>IF(U$44=0,"N.D.",U50/U$44)</f>
        <v>N.D.</v>
      </c>
      <c r="W50" s="454"/>
      <c r="X50" s="414" t="str">
        <f>IF(W$44=0,"N.D.",W50/W$44)</f>
        <v>N.D.</v>
      </c>
      <c r="Y50" s="454"/>
      <c r="Z50" s="414" t="str">
        <f>IF(Y$44=0,"N.D.",Y50/Y$44)</f>
        <v>N.D.</v>
      </c>
      <c r="AA50" s="454">
        <f t="shared" si="111"/>
        <v>433.99414000000002</v>
      </c>
      <c r="AB50" s="414">
        <f>IF(AA$44=0,"N.D.",AA50/AA$44)</f>
        <v>7.0055313775368958E-2</v>
      </c>
      <c r="AD50" s="454">
        <f>+ER!AE50-'ER Act'!AA50</f>
        <v>-8.5844200000000228</v>
      </c>
    </row>
    <row r="51" spans="2:30" x14ac:dyDescent="0.25">
      <c r="B51" s="137" t="s">
        <v>43</v>
      </c>
      <c r="C51" s="454">
        <v>15.382</v>
      </c>
      <c r="D51" s="414">
        <f>IF(C$44=0,"N.D.",C51/C$44)</f>
        <v>8.7865210129347282E-3</v>
      </c>
      <c r="E51" s="454">
        <v>15.382</v>
      </c>
      <c r="F51" s="414">
        <f>IF(E$44=0,"N.D.",E51/E$44)</f>
        <v>9.0648773424622502E-3</v>
      </c>
      <c r="G51" s="454">
        <v>15.382</v>
      </c>
      <c r="H51" s="414">
        <f>IF(G$44=0,"N.D.",G51/G$44)</f>
        <v>8.1586280860055822E-3</v>
      </c>
      <c r="I51" s="454">
        <v>15.382</v>
      </c>
      <c r="J51" s="414">
        <f>IF(I$44=0,"N.D.",I51/I$44)</f>
        <v>1.7841649848052522E-2</v>
      </c>
      <c r="K51" s="454">
        <v>0</v>
      </c>
      <c r="L51" s="414" t="str">
        <f>IF(K$44=0,"N.D.",K51/K$44)</f>
        <v>N.D.</v>
      </c>
      <c r="M51" s="454">
        <v>0</v>
      </c>
      <c r="N51" s="414" t="str">
        <f>IF(M$44=0,"N.D.",M51/M$44)</f>
        <v>N.D.</v>
      </c>
      <c r="O51" s="454">
        <v>0</v>
      </c>
      <c r="P51" s="414" t="str">
        <f>IF(O$44=0,"N.D.",O51/O$44)</f>
        <v>N.D.</v>
      </c>
      <c r="Q51" s="454"/>
      <c r="R51" s="414" t="str">
        <f>IF(Q$44=0,"N.D.",Q51/Q$44)</f>
        <v>N.D.</v>
      </c>
      <c r="S51" s="454"/>
      <c r="T51" s="414" t="str">
        <f>IF(S$44=0,"N.D.",S51/S$44)</f>
        <v>N.D.</v>
      </c>
      <c r="U51" s="454"/>
      <c r="V51" s="414" t="str">
        <f>IF(U$44=0,"N.D.",U51/U$44)</f>
        <v>N.D.</v>
      </c>
      <c r="W51" s="454"/>
      <c r="X51" s="414" t="str">
        <f>IF(W$44=0,"N.D.",W51/W$44)</f>
        <v>N.D.</v>
      </c>
      <c r="Y51" s="454"/>
      <c r="Z51" s="414" t="str">
        <f>IF(Y$44=0,"N.D.",Y51/Y$44)</f>
        <v>N.D.</v>
      </c>
      <c r="AA51" s="454">
        <f t="shared" si="111"/>
        <v>61.527999999999999</v>
      </c>
      <c r="AB51" s="414">
        <f>IF(AA$44=0,"N.D.",AA51/AA$44)</f>
        <v>9.9318468815521362E-3</v>
      </c>
      <c r="AD51" s="454">
        <f>+ER!AE51-'ER Act'!AA51</f>
        <v>1.1999999999972033E-3</v>
      </c>
    </row>
    <row r="52" spans="2:30" ht="13" x14ac:dyDescent="0.3">
      <c r="B52" s="137" t="s">
        <v>44</v>
      </c>
      <c r="C52" s="456">
        <v>1064.0630000000001</v>
      </c>
      <c r="D52" s="415">
        <f>IF(C$44=0,"N.D.",C52/C$44)</f>
        <v>0.60781510262556016</v>
      </c>
      <c r="E52" s="456">
        <v>1004.473</v>
      </c>
      <c r="F52" s="415">
        <f>IF(E$44=0,"N.D.",E52/E$44)</f>
        <v>0.5919532270715826</v>
      </c>
      <c r="G52" s="456">
        <v>1102.7440000000001</v>
      </c>
      <c r="H52" s="415">
        <f>IF(G$44=0,"N.D.",G52/G$44)</f>
        <v>0.58489651346210769</v>
      </c>
      <c r="I52" s="456">
        <v>566.23599999999999</v>
      </c>
      <c r="J52" s="415">
        <f>IF(I$44=0,"N.D.",I52/I$44)</f>
        <v>0.65677964135755218</v>
      </c>
      <c r="K52" s="456">
        <v>20.979000000000003</v>
      </c>
      <c r="L52" s="415" t="str">
        <f>IF(K$44=0,"N.D.",K52/K$44)</f>
        <v>N.D.</v>
      </c>
      <c r="M52" s="456">
        <v>8.9510000000000005</v>
      </c>
      <c r="N52" s="415" t="str">
        <f>IF(M$44=0,"N.D.",M52/M$44)</f>
        <v>N.D.</v>
      </c>
      <c r="O52" s="456">
        <v>8.9507099999999991</v>
      </c>
      <c r="P52" s="415" t="str">
        <f>IF(O$44=0,"N.D.",O52/O$44)</f>
        <v>N.D.</v>
      </c>
      <c r="Q52" s="456"/>
      <c r="R52" s="415" t="str">
        <f>IF(Q$44=0,"N.D.",Q52/Q$44)</f>
        <v>N.D.</v>
      </c>
      <c r="S52" s="456"/>
      <c r="T52" s="415" t="str">
        <f>IF(S$44=0,"N.D.",S52/S$44)</f>
        <v>N.D.</v>
      </c>
      <c r="U52" s="456"/>
      <c r="V52" s="415" t="str">
        <f>IF(U$44=0,"N.D.",U52/U$44)</f>
        <v>N.D.</v>
      </c>
      <c r="W52" s="456"/>
      <c r="X52" s="415" t="str">
        <f>IF(W$44=0,"N.D.",W52/W$44)</f>
        <v>N.D.</v>
      </c>
      <c r="Y52" s="456"/>
      <c r="Z52" s="415" t="str">
        <f>IF(Y$44=0,"N.D.",Y52/Y$44)</f>
        <v>N.D.</v>
      </c>
      <c r="AA52" s="456">
        <f t="shared" si="111"/>
        <v>3776.39671</v>
      </c>
      <c r="AB52" s="415">
        <f>IF(AA$44=0,"N.D.",AA52/AA$44)</f>
        <v>0.6095857802580491</v>
      </c>
      <c r="AD52" s="456">
        <f>+ER!AE52-'ER Act'!AA52</f>
        <v>-8.9504500000002736</v>
      </c>
    </row>
    <row r="53" spans="2:30" ht="13" x14ac:dyDescent="0.3">
      <c r="B53" s="137" t="s">
        <v>45</v>
      </c>
      <c r="C53" s="456">
        <v>29.30399999999986</v>
      </c>
      <c r="D53" s="415">
        <f>IF(C$44=0,"N.D.",C53/C$44)</f>
        <v>1.673905940469627E-2</v>
      </c>
      <c r="E53" s="456">
        <v>62.208999999999833</v>
      </c>
      <c r="F53" s="415">
        <f>IF(E$44=0,"N.D.",E53/E$44)</f>
        <v>3.666083439066653E-2</v>
      </c>
      <c r="G53" s="456">
        <v>91.746999999999844</v>
      </c>
      <c r="H53" s="415">
        <f>IF(G$44=0,"N.D.",G53/G$44)</f>
        <v>4.8662699974434592E-2</v>
      </c>
      <c r="I53" s="456">
        <v>-18.714000000000055</v>
      </c>
      <c r="J53" s="415">
        <f>IF(I$44=0,"N.D.",I53/I$44)</f>
        <v>-2.170645138840566E-2</v>
      </c>
      <c r="K53" s="456">
        <v>-20.979000000000003</v>
      </c>
      <c r="L53" s="415" t="str">
        <f>IF(K$44=0,"N.D.",K53/K$44)</f>
        <v>N.D.</v>
      </c>
      <c r="M53" s="456">
        <v>-8.9510000000000005</v>
      </c>
      <c r="N53" s="415" t="str">
        <f>IF(M$44=0,"N.D.",M53/M$44)</f>
        <v>N.D.</v>
      </c>
      <c r="O53" s="456">
        <v>-8.9507099999999991</v>
      </c>
      <c r="P53" s="415" t="str">
        <f>IF(O$44=0,"N.D.",O53/O$44)</f>
        <v>N.D.</v>
      </c>
      <c r="Q53" s="456"/>
      <c r="R53" s="415" t="str">
        <f>IF(Q$44=0,"N.D.",Q53/Q$44)</f>
        <v>N.D.</v>
      </c>
      <c r="S53" s="456"/>
      <c r="T53" s="415" t="str">
        <f>IF(S$44=0,"N.D.",S53/S$44)</f>
        <v>N.D.</v>
      </c>
      <c r="U53" s="456"/>
      <c r="V53" s="415" t="str">
        <f>IF(U$44=0,"N.D.",U53/U$44)</f>
        <v>N.D.</v>
      </c>
      <c r="W53" s="456"/>
      <c r="X53" s="415" t="str">
        <f>IF(W$44=0,"N.D.",W53/W$44)</f>
        <v>N.D.</v>
      </c>
      <c r="Y53" s="456"/>
      <c r="Z53" s="415" t="str">
        <f>IF(Y$44=0,"N.D.",Y53/Y$44)</f>
        <v>N.D.</v>
      </c>
      <c r="AA53" s="456">
        <f t="shared" si="111"/>
        <v>125.66528999999947</v>
      </c>
      <c r="AB53" s="415">
        <f>IF(AA$44=0,"N.D.",AA53/AA$44)</f>
        <v>2.0284885232834473E-2</v>
      </c>
      <c r="AD53" s="456">
        <f>+ER!AE53-'ER Act'!AA53</f>
        <v>8.9500600000010166</v>
      </c>
    </row>
    <row r="54" spans="2:30" x14ac:dyDescent="0.25">
      <c r="C54" s="457"/>
      <c r="D54" s="416"/>
      <c r="E54" s="457"/>
      <c r="F54" s="416"/>
      <c r="G54" s="457"/>
      <c r="H54" s="416"/>
      <c r="I54" s="457"/>
      <c r="J54" s="416"/>
      <c r="K54" s="457"/>
      <c r="L54" s="416"/>
      <c r="M54" s="457"/>
      <c r="N54" s="416"/>
      <c r="O54" s="457"/>
      <c r="P54" s="416"/>
      <c r="Q54" s="457"/>
      <c r="R54" s="416"/>
      <c r="S54" s="457"/>
      <c r="T54" s="416"/>
      <c r="U54" s="457"/>
      <c r="V54" s="416"/>
      <c r="W54" s="457"/>
      <c r="X54" s="416"/>
      <c r="Y54" s="457"/>
      <c r="Z54" s="416"/>
      <c r="AA54" s="457"/>
      <c r="AB54" s="416"/>
      <c r="AD54" s="458"/>
    </row>
    <row r="55" spans="2:30" x14ac:dyDescent="0.25">
      <c r="B55" s="137"/>
      <c r="C55" s="455">
        <v>0</v>
      </c>
      <c r="D55" s="417">
        <f>IF(C$44=0,"N.D.",C55/C$44)</f>
        <v>0</v>
      </c>
      <c r="E55" s="455">
        <v>0</v>
      </c>
      <c r="F55" s="417">
        <f>IF(E$44=0,"N.D.",E55/E$44)</f>
        <v>0</v>
      </c>
      <c r="G55" s="455">
        <v>0</v>
      </c>
      <c r="H55" s="417">
        <f>IF(G$44=0,"N.D.",G55/G$44)</f>
        <v>0</v>
      </c>
      <c r="I55" s="455">
        <v>0</v>
      </c>
      <c r="J55" s="417">
        <f>IF(I$44=0,"N.D.",I55/I$44)</f>
        <v>0</v>
      </c>
      <c r="K55" s="455">
        <v>0</v>
      </c>
      <c r="L55" s="417" t="str">
        <f>IF(K$44=0,"N.D.",K55/K$44)</f>
        <v>N.D.</v>
      </c>
      <c r="M55" s="455">
        <v>0</v>
      </c>
      <c r="N55" s="417" t="str">
        <f>IF(M$44=0,"N.D.",M55/M$44)</f>
        <v>N.D.</v>
      </c>
      <c r="O55" s="455">
        <v>0</v>
      </c>
      <c r="P55" s="417" t="str">
        <f>IF(O$44=0,"N.D.",O55/O$44)</f>
        <v>N.D.</v>
      </c>
      <c r="Q55" s="455"/>
      <c r="R55" s="417" t="str">
        <f>IF(Q$44=0,"N.D.",Q55/Q$44)</f>
        <v>N.D.</v>
      </c>
      <c r="S55" s="455"/>
      <c r="T55" s="417" t="str">
        <f>IF(S$44=0,"N.D.",S55/S$44)</f>
        <v>N.D.</v>
      </c>
      <c r="U55" s="455"/>
      <c r="V55" s="417" t="str">
        <f>IF(U$44=0,"N.D.",U55/U$44)</f>
        <v>N.D.</v>
      </c>
      <c r="W55" s="455"/>
      <c r="X55" s="417" t="str">
        <f>IF(W$44=0,"N.D.",W55/W$44)</f>
        <v>N.D.</v>
      </c>
      <c r="Y55" s="455"/>
      <c r="Z55" s="417" t="str">
        <f>IF(Y$44=0,"N.D.",Y55/Y$44)</f>
        <v>N.D.</v>
      </c>
      <c r="AA55" s="455">
        <f t="shared" si="111"/>
        <v>0</v>
      </c>
      <c r="AB55" s="417">
        <f>IF(AA$44=0,"N.D.",AA55/AA$44)</f>
        <v>0</v>
      </c>
      <c r="AD55" s="455">
        <f>+ER!AE55-'ER Act'!AA55</f>
        <v>0</v>
      </c>
    </row>
    <row r="56" spans="2:30" x14ac:dyDescent="0.25">
      <c r="B56" s="137" t="s">
        <v>52</v>
      </c>
      <c r="C56" s="454">
        <v>-25.545000000000002</v>
      </c>
      <c r="D56" s="414">
        <f>IF(C$44=0,"N.D.",C56/C$44)</f>
        <v>-1.4591839765662308E-2</v>
      </c>
      <c r="E56" s="454">
        <v>-61.24</v>
      </c>
      <c r="F56" s="414">
        <f>IF(E$44=0,"N.D.",E56/E$44)</f>
        <v>-3.6089786013027453E-2</v>
      </c>
      <c r="G56" s="454">
        <v>-38.021999999999998</v>
      </c>
      <c r="H56" s="414">
        <f>IF(G$44=0,"N.D.",G56/G$44)</f>
        <v>-2.0166906584716177E-2</v>
      </c>
      <c r="I56" s="454">
        <v>-14.218999999999999</v>
      </c>
      <c r="J56" s="414">
        <f>IF(I$44=0,"N.D.",I56/I$44)</f>
        <v>-1.6492681003085347E-2</v>
      </c>
      <c r="K56" s="454">
        <v>-7.5359999999999996</v>
      </c>
      <c r="L56" s="414" t="str">
        <f>IF(K$44=0,"N.D.",K56/K$44)</f>
        <v>N.D.</v>
      </c>
      <c r="M56" s="454">
        <v>-4.2789999999999999</v>
      </c>
      <c r="N56" s="414" t="str">
        <f>IF(M$44=0,"N.D.",M56/M$44)</f>
        <v>N.D.</v>
      </c>
      <c r="O56" s="454">
        <v>-4.2791399999999999</v>
      </c>
      <c r="P56" s="414" t="str">
        <f>IF(O$44=0,"N.D.",O56/O$44)</f>
        <v>N.D.</v>
      </c>
      <c r="Q56" s="454"/>
      <c r="R56" s="414" t="str">
        <f>IF(Q$44=0,"N.D.",Q56/Q$44)</f>
        <v>N.D.</v>
      </c>
      <c r="S56" s="454"/>
      <c r="T56" s="414" t="str">
        <f>IF(S$44=0,"N.D.",S56/S$44)</f>
        <v>N.D.</v>
      </c>
      <c r="U56" s="454"/>
      <c r="V56" s="414" t="str">
        <f>IF(U$44=0,"N.D.",U56/U$44)</f>
        <v>N.D.</v>
      </c>
      <c r="W56" s="454"/>
      <c r="X56" s="414" t="str">
        <f>IF(W$44=0,"N.D.",W56/W$44)</f>
        <v>N.D.</v>
      </c>
      <c r="Y56" s="454"/>
      <c r="Z56" s="414" t="str">
        <f>IF(Y$44=0,"N.D.",Y56/Y$44)</f>
        <v>N.D.</v>
      </c>
      <c r="AA56" s="454">
        <f t="shared" si="111"/>
        <v>-155.12013999999999</v>
      </c>
      <c r="AB56" s="414">
        <f>IF(AA$44=0,"N.D.",AA56/AA$44)</f>
        <v>-2.503948574185624E-2</v>
      </c>
      <c r="AD56" s="454">
        <f>+ER!AE56-'ER Act'!AA56</f>
        <v>4.2779999999999916</v>
      </c>
    </row>
    <row r="57" spans="2:30" x14ac:dyDescent="0.25">
      <c r="B57" s="137" t="s">
        <v>184</v>
      </c>
      <c r="C57" s="454">
        <v>31.123999999999999</v>
      </c>
      <c r="D57" s="414">
        <f>IF(C$44=0,"N.D.",C57/C$44)</f>
        <v>1.77786815762957E-2</v>
      </c>
      <c r="E57" s="454">
        <v>28.928999999999998</v>
      </c>
      <c r="F57" s="414">
        <f>IF(E$44=0,"N.D.",E57/E$44)</f>
        <v>1.7048357602398284E-2</v>
      </c>
      <c r="G57" s="454">
        <v>29.856999999999999</v>
      </c>
      <c r="H57" s="414">
        <f>IF(G$44=0,"N.D.",G57/G$44)</f>
        <v>1.5836182470671478E-2</v>
      </c>
      <c r="I57" s="454">
        <v>28.731999999999999</v>
      </c>
      <c r="J57" s="414">
        <f>IF(I$44=0,"N.D.",I57/I$44)</f>
        <v>3.332637390679008E-2</v>
      </c>
      <c r="K57" s="454">
        <v>0</v>
      </c>
      <c r="L57" s="414" t="str">
        <f>IF(K$44=0,"N.D.",K57/K$44)</f>
        <v>N.D.</v>
      </c>
      <c r="M57" s="454">
        <v>0</v>
      </c>
      <c r="N57" s="414" t="str">
        <f>IF(M$44=0,"N.D.",M57/M$44)</f>
        <v>N.D.</v>
      </c>
      <c r="O57" s="454">
        <v>0</v>
      </c>
      <c r="P57" s="414" t="str">
        <f>IF(O$44=0,"N.D.",O57/O$44)</f>
        <v>N.D.</v>
      </c>
      <c r="Q57" s="454"/>
      <c r="R57" s="414" t="str">
        <f>IF(Q$44=0,"N.D.",Q57/Q$44)</f>
        <v>N.D.</v>
      </c>
      <c r="S57" s="454"/>
      <c r="T57" s="414" t="str">
        <f>IF(S$44=0,"N.D.",S57/S$44)</f>
        <v>N.D.</v>
      </c>
      <c r="U57" s="454"/>
      <c r="V57" s="414" t="str">
        <f>IF(U$44=0,"N.D.",U57/U$44)</f>
        <v>N.D.</v>
      </c>
      <c r="W57" s="454"/>
      <c r="X57" s="414" t="str">
        <f>IF(W$44=0,"N.D.",W57/W$44)</f>
        <v>N.D.</v>
      </c>
      <c r="Y57" s="454"/>
      <c r="Z57" s="414" t="str">
        <f>IF(Y$44=0,"N.D.",Y57/Y$44)</f>
        <v>N.D.</v>
      </c>
      <c r="AA57" s="454">
        <f t="shared" si="111"/>
        <v>118.642</v>
      </c>
      <c r="AB57" s="414">
        <f>IF(AA$44=0,"N.D.",AA57/AA$44)</f>
        <v>1.9151186089603246E-2</v>
      </c>
      <c r="AD57" s="454">
        <f>+ER!AE57-'ER Act'!AA57</f>
        <v>7.5999999999964984E-4</v>
      </c>
    </row>
    <row r="58" spans="2:30" x14ac:dyDescent="0.25">
      <c r="B58" s="137" t="s">
        <v>47</v>
      </c>
      <c r="C58" s="454">
        <v>0</v>
      </c>
      <c r="D58" s="414">
        <f>IF(C$44=0,"N.D.",C58/C$44)</f>
        <v>0</v>
      </c>
      <c r="E58" s="454">
        <v>0</v>
      </c>
      <c r="F58" s="414">
        <f>IF(E$44=0,"N.D.",E58/E$44)</f>
        <v>0</v>
      </c>
      <c r="G58" s="454">
        <v>0</v>
      </c>
      <c r="H58" s="414">
        <f>IF(G$44=0,"N.D.",G58/G$44)</f>
        <v>0</v>
      </c>
      <c r="I58" s="454">
        <v>0</v>
      </c>
      <c r="J58" s="414">
        <f>IF(I$44=0,"N.D.",I58/I$44)</f>
        <v>0</v>
      </c>
      <c r="K58" s="454">
        <v>0</v>
      </c>
      <c r="L58" s="414" t="str">
        <f>IF(K$44=0,"N.D.",K58/K$44)</f>
        <v>N.D.</v>
      </c>
      <c r="M58" s="454">
        <v>0</v>
      </c>
      <c r="N58" s="414" t="str">
        <f>IF(M$44=0,"N.D.",M58/M$44)</f>
        <v>N.D.</v>
      </c>
      <c r="O58" s="454">
        <v>0</v>
      </c>
      <c r="P58" s="414" t="str">
        <f>IF(O$44=0,"N.D.",O58/O$44)</f>
        <v>N.D.</v>
      </c>
      <c r="Q58" s="454"/>
      <c r="R58" s="414" t="str">
        <f>IF(Q$44=0,"N.D.",Q58/Q$44)</f>
        <v>N.D.</v>
      </c>
      <c r="S58" s="454"/>
      <c r="T58" s="414" t="str">
        <f>IF(S$44=0,"N.D.",S58/S$44)</f>
        <v>N.D.</v>
      </c>
      <c r="U58" s="454"/>
      <c r="V58" s="414" t="str">
        <f>IF(U$44=0,"N.D.",U58/U$44)</f>
        <v>N.D.</v>
      </c>
      <c r="W58" s="454"/>
      <c r="X58" s="414" t="str">
        <f>IF(W$44=0,"N.D.",W58/W$44)</f>
        <v>N.D.</v>
      </c>
      <c r="Y58" s="454"/>
      <c r="Z58" s="414" t="str">
        <f>IF(Y$44=0,"N.D.",Y58/Y$44)</f>
        <v>N.D.</v>
      </c>
      <c r="AA58" s="454">
        <f t="shared" si="111"/>
        <v>0</v>
      </c>
      <c r="AB58" s="414">
        <f>IF(AA$44=0,"N.D.",AA58/AA$44)</f>
        <v>0</v>
      </c>
      <c r="AD58" s="454">
        <f>+ER!AE58-'ER Act'!AA58</f>
        <v>0</v>
      </c>
    </row>
    <row r="59" spans="2:30" x14ac:dyDescent="0.25">
      <c r="C59" s="454"/>
      <c r="D59" s="414"/>
      <c r="E59" s="454"/>
      <c r="F59" s="414"/>
      <c r="G59" s="454"/>
      <c r="H59" s="414"/>
      <c r="I59" s="454"/>
      <c r="J59" s="414"/>
      <c r="K59" s="454"/>
      <c r="L59" s="414"/>
      <c r="M59" s="454"/>
      <c r="N59" s="414"/>
      <c r="O59" s="454"/>
      <c r="P59" s="414"/>
      <c r="Q59" s="454"/>
      <c r="R59" s="414"/>
      <c r="S59" s="454"/>
      <c r="T59" s="414"/>
      <c r="U59" s="454"/>
      <c r="V59" s="414"/>
      <c r="W59" s="454"/>
      <c r="X59" s="414"/>
      <c r="Y59" s="454"/>
      <c r="Z59" s="414"/>
      <c r="AA59" s="454"/>
      <c r="AB59" s="414"/>
      <c r="AD59" s="454">
        <f>+ER!AE59-'ER Act'!AA59</f>
        <v>0</v>
      </c>
    </row>
    <row r="60" spans="2:30" ht="13" x14ac:dyDescent="0.3">
      <c r="B60" s="137" t="s">
        <v>48</v>
      </c>
      <c r="C60" s="456">
        <v>5.5789999999999971</v>
      </c>
      <c r="D60" s="415">
        <f>IF(C$44=0,"N.D.",C60/C$44)</f>
        <v>3.1868418106333909E-3</v>
      </c>
      <c r="E60" s="456">
        <v>-32.311000000000007</v>
      </c>
      <c r="F60" s="415">
        <f>IF(E$44=0,"N.D.",E60/E$44)</f>
        <v>-1.9041428410629165E-2</v>
      </c>
      <c r="G60" s="456">
        <v>-8.1649999999999991</v>
      </c>
      <c r="H60" s="415">
        <f>IF(G$44=0,"N.D.",G60/G$44)</f>
        <v>-4.3307241140446992E-3</v>
      </c>
      <c r="I60" s="456">
        <v>14.513</v>
      </c>
      <c r="J60" s="415">
        <f>IF(I$44=0,"N.D.",I60/I$44)</f>
        <v>1.6833692903704733E-2</v>
      </c>
      <c r="K60" s="456">
        <v>-7.5359999999999996</v>
      </c>
      <c r="L60" s="415" t="str">
        <f>IF(K$44=0,"N.D.",K60/K$44)</f>
        <v>N.D.</v>
      </c>
      <c r="M60" s="456">
        <v>-4.2789999999999999</v>
      </c>
      <c r="N60" s="415" t="str">
        <f>IF(M$44=0,"N.D.",M60/M$44)</f>
        <v>N.D.</v>
      </c>
      <c r="O60" s="456">
        <v>-4.2791399999999999</v>
      </c>
      <c r="P60" s="415" t="str">
        <f>IF(O$44=0,"N.D.",O60/O$44)</f>
        <v>N.D.</v>
      </c>
      <c r="Q60" s="456"/>
      <c r="R60" s="415" t="str">
        <f>IF(Q$44=0,"N.D.",Q60/Q$44)</f>
        <v>N.D.</v>
      </c>
      <c r="S60" s="456"/>
      <c r="T60" s="415" t="str">
        <f>IF(S$44=0,"N.D.",S60/S$44)</f>
        <v>N.D.</v>
      </c>
      <c r="U60" s="456"/>
      <c r="V60" s="415" t="str">
        <f>IF(U$44=0,"N.D.",U60/U$44)</f>
        <v>N.D.</v>
      </c>
      <c r="W60" s="456"/>
      <c r="X60" s="415" t="str">
        <f>IF(W$44=0,"N.D.",W60/W$44)</f>
        <v>N.D.</v>
      </c>
      <c r="Y60" s="456"/>
      <c r="Z60" s="415" t="str">
        <f>IF(Y$44=0,"N.D.",Y60/Y$44)</f>
        <v>N.D.</v>
      </c>
      <c r="AA60" s="456">
        <f t="shared" si="111"/>
        <v>-36.47814000000001</v>
      </c>
      <c r="AB60" s="415">
        <f>IF(AA$44=0,"N.D.",AA60/AA$44)</f>
        <v>-5.888299652252996E-3</v>
      </c>
      <c r="AD60" s="456">
        <f>+ER!AE60-'ER Act'!AA60</f>
        <v>4.2787600000000054</v>
      </c>
    </row>
    <row r="61" spans="2:30" ht="13" x14ac:dyDescent="0.3">
      <c r="B61" s="137" t="s">
        <v>49</v>
      </c>
      <c r="C61" s="456">
        <v>23.724999999999863</v>
      </c>
      <c r="D61" s="415">
        <f>IF(C$44=0,"N.D.",C61/C$44)</f>
        <v>1.3552217594062879E-2</v>
      </c>
      <c r="E61" s="456">
        <v>94.51999999999984</v>
      </c>
      <c r="F61" s="415">
        <f>IF(E$44=0,"N.D.",E61/E$44)</f>
        <v>5.5702262801295699E-2</v>
      </c>
      <c r="G61" s="456">
        <v>99.911999999999836</v>
      </c>
      <c r="H61" s="415">
        <f>IF(G$44=0,"N.D.",G61/G$44)</f>
        <v>5.2993424088479284E-2</v>
      </c>
      <c r="I61" s="456">
        <v>-33.227000000000054</v>
      </c>
      <c r="J61" s="415">
        <f>IF(I$44=0,"N.D.",I61/I$44)</f>
        <v>-3.854014429211039E-2</v>
      </c>
      <c r="K61" s="456">
        <v>-13.443000000000003</v>
      </c>
      <c r="L61" s="415" t="str">
        <f>IF(K$44=0,"N.D.",K61/K$44)</f>
        <v>N.D.</v>
      </c>
      <c r="M61" s="456">
        <v>-4.6720000000000006</v>
      </c>
      <c r="N61" s="415" t="str">
        <f>IF(M$44=0,"N.D.",M61/M$44)</f>
        <v>N.D.</v>
      </c>
      <c r="O61" s="456">
        <v>-4.6715699999999991</v>
      </c>
      <c r="P61" s="415" t="str">
        <f>IF(O$44=0,"N.D.",O61/O$44)</f>
        <v>N.D.</v>
      </c>
      <c r="Q61" s="456"/>
      <c r="R61" s="415" t="str">
        <f>IF(Q$44=0,"N.D.",Q61/Q$44)</f>
        <v>N.D.</v>
      </c>
      <c r="S61" s="456"/>
      <c r="T61" s="415" t="str">
        <f>IF(S$44=0,"N.D.",S61/S$44)</f>
        <v>N.D.</v>
      </c>
      <c r="U61" s="456"/>
      <c r="V61" s="415" t="str">
        <f>IF(U$44=0,"N.D.",U61/U$44)</f>
        <v>N.D.</v>
      </c>
      <c r="W61" s="456"/>
      <c r="X61" s="415" t="str">
        <f>IF(W$44=0,"N.D.",W61/W$44)</f>
        <v>N.D.</v>
      </c>
      <c r="Y61" s="456"/>
      <c r="Z61" s="415" t="str">
        <f>IF(Y$44=0,"N.D.",Y61/Y$44)</f>
        <v>N.D.</v>
      </c>
      <c r="AA61" s="456">
        <f t="shared" si="111"/>
        <v>162.14342999999946</v>
      </c>
      <c r="AB61" s="415">
        <f>IF(AA$44=0,"N.D.",AA61/AA$44)</f>
        <v>2.6173184885087467E-2</v>
      </c>
      <c r="AD61" s="456">
        <f>+ER!AE61-'ER Act'!AA61</f>
        <v>4.6713000000010538</v>
      </c>
    </row>
    <row r="62" spans="2:30" x14ac:dyDescent="0.25">
      <c r="C62" s="457"/>
      <c r="D62" s="416"/>
      <c r="E62" s="457"/>
      <c r="F62" s="416"/>
      <c r="G62" s="457"/>
      <c r="H62" s="416"/>
      <c r="I62" s="457"/>
      <c r="J62" s="416"/>
      <c r="K62" s="457"/>
      <c r="L62" s="416"/>
      <c r="M62" s="457"/>
      <c r="N62" s="416"/>
      <c r="O62" s="457"/>
      <c r="P62" s="416"/>
      <c r="Q62" s="457"/>
      <c r="R62" s="416"/>
      <c r="S62" s="457"/>
      <c r="T62" s="416"/>
      <c r="U62" s="457"/>
      <c r="V62" s="416"/>
      <c r="W62" s="457"/>
      <c r="X62" s="416"/>
      <c r="Y62" s="457"/>
      <c r="Z62" s="416"/>
      <c r="AA62" s="457"/>
      <c r="AB62" s="416"/>
      <c r="AD62" s="457"/>
    </row>
    <row r="63" spans="2:30" x14ac:dyDescent="0.25">
      <c r="B63" s="137" t="s">
        <v>50</v>
      </c>
      <c r="C63" s="455">
        <v>0</v>
      </c>
      <c r="D63" s="417">
        <f>IF(C$44=0,"N.D.",C63/C$44)</f>
        <v>0</v>
      </c>
      <c r="E63" s="455">
        <v>0</v>
      </c>
      <c r="F63" s="417">
        <f>IF(E$44=0,"N.D.",E63/E$44)</f>
        <v>0</v>
      </c>
      <c r="G63" s="455">
        <v>0</v>
      </c>
      <c r="H63" s="417">
        <f t="shared" ref="H63:H72" si="112">IF(G$44=0,"N.D.",G63/G$44)</f>
        <v>0</v>
      </c>
      <c r="I63" s="455">
        <v>0</v>
      </c>
      <c r="J63" s="417">
        <f t="shared" ref="J63:J72" si="113">IF(I$44=0,"N.D.",I63/I$44)</f>
        <v>0</v>
      </c>
      <c r="K63" s="455">
        <v>0</v>
      </c>
      <c r="L63" s="417" t="str">
        <f t="shared" ref="L63:L72" si="114">IF(K$44=0,"N.D.",K63/K$44)</f>
        <v>N.D.</v>
      </c>
      <c r="M63" s="455">
        <v>0</v>
      </c>
      <c r="N63" s="417" t="str">
        <f t="shared" ref="N63:N72" si="115">IF(M$44=0,"N.D.",M63/M$44)</f>
        <v>N.D.</v>
      </c>
      <c r="O63" s="455">
        <v>0</v>
      </c>
      <c r="P63" s="417" t="str">
        <f t="shared" ref="P63:P72" si="116">IF(O$44=0,"N.D.",O63/O$44)</f>
        <v>N.D.</v>
      </c>
      <c r="Q63" s="455"/>
      <c r="R63" s="417" t="str">
        <f t="shared" ref="R63:R72" si="117">IF(Q$44=0,"N.D.",Q63/Q$44)</f>
        <v>N.D.</v>
      </c>
      <c r="S63" s="455"/>
      <c r="T63" s="417" t="str">
        <f t="shared" ref="T63:T72" si="118">IF(S$44=0,"N.D.",S63/S$44)</f>
        <v>N.D.</v>
      </c>
      <c r="U63" s="455"/>
      <c r="V63" s="417" t="str">
        <f t="shared" ref="V63:V72" si="119">IF(U$44=0,"N.D.",U63/U$44)</f>
        <v>N.D.</v>
      </c>
      <c r="W63" s="455"/>
      <c r="X63" s="417" t="str">
        <f t="shared" ref="X63:X72" si="120">IF(W$44=0,"N.D.",W63/W$44)</f>
        <v>N.D.</v>
      </c>
      <c r="Y63" s="455"/>
      <c r="Z63" s="417" t="str">
        <f t="shared" ref="Z63:Z72" si="121">IF(Y$44=0,"N.D.",Y63/Y$44)</f>
        <v>N.D.</v>
      </c>
      <c r="AA63" s="455">
        <f t="shared" si="111"/>
        <v>0</v>
      </c>
      <c r="AB63" s="417">
        <f t="shared" ref="AB63:AB72" si="122">IF(AA$44=0,"N.D.",AA63/AA$44)</f>
        <v>0</v>
      </c>
      <c r="AD63" s="455">
        <f>+ER!AE63-'ER Act'!AA63</f>
        <v>0</v>
      </c>
    </row>
    <row r="64" spans="2:30" x14ac:dyDescent="0.25">
      <c r="B64" s="137" t="s">
        <v>51</v>
      </c>
      <c r="C64" s="454">
        <v>0.97</v>
      </c>
      <c r="D64" s="414">
        <f>IF(C$44=0,"N.D.",C64/C$44)</f>
        <v>5.5408434420404931E-4</v>
      </c>
      <c r="E64" s="454">
        <v>3.8220000000000001</v>
      </c>
      <c r="F64" s="414">
        <f>IF(E$44=0,"N.D.",E64/E$44)</f>
        <v>2.2523703811526928E-3</v>
      </c>
      <c r="G64" s="454">
        <v>3.8220000000000001</v>
      </c>
      <c r="H64" s="414">
        <f t="shared" si="112"/>
        <v>2.0271925981480521E-3</v>
      </c>
      <c r="I64" s="454">
        <v>3.8220000000000001</v>
      </c>
      <c r="J64" s="414">
        <f t="shared" si="113"/>
        <v>4.433154708052057E-3</v>
      </c>
      <c r="K64" s="454">
        <v>0</v>
      </c>
      <c r="L64" s="414" t="str">
        <f t="shared" si="114"/>
        <v>N.D.</v>
      </c>
      <c r="M64" s="454">
        <v>0</v>
      </c>
      <c r="N64" s="414" t="str">
        <f t="shared" si="115"/>
        <v>N.D.</v>
      </c>
      <c r="O64" s="454">
        <v>0</v>
      </c>
      <c r="P64" s="414" t="str">
        <f t="shared" si="116"/>
        <v>N.D.</v>
      </c>
      <c r="Q64" s="454"/>
      <c r="R64" s="414" t="str">
        <f t="shared" si="117"/>
        <v>N.D.</v>
      </c>
      <c r="S64" s="454"/>
      <c r="T64" s="414" t="str">
        <f t="shared" si="118"/>
        <v>N.D.</v>
      </c>
      <c r="U64" s="454"/>
      <c r="V64" s="414" t="str">
        <f t="shared" si="119"/>
        <v>N.D.</v>
      </c>
      <c r="W64" s="454"/>
      <c r="X64" s="414" t="str">
        <f t="shared" si="120"/>
        <v>N.D.</v>
      </c>
      <c r="Y64" s="454"/>
      <c r="Z64" s="414" t="str">
        <f t="shared" si="121"/>
        <v>N.D.</v>
      </c>
      <c r="AA64" s="454">
        <f t="shared" si="111"/>
        <v>12.436000000000002</v>
      </c>
      <c r="AB64" s="414">
        <f t="shared" si="122"/>
        <v>2.0074185382099592E-3</v>
      </c>
      <c r="AD64" s="454">
        <f>+ER!AE64-'ER Act'!AA64</f>
        <v>3.8999999999766999E-4</v>
      </c>
    </row>
    <row r="65" spans="2:30" ht="13" x14ac:dyDescent="0.3">
      <c r="B65" s="137" t="s">
        <v>53</v>
      </c>
      <c r="C65" s="456">
        <v>22.754999999999864</v>
      </c>
      <c r="D65" s="415">
        <f>IF(C$44=0,"N.D.",C65/C$44)</f>
        <v>1.2998133249858832E-2</v>
      </c>
      <c r="E65" s="456">
        <v>90.697999999999837</v>
      </c>
      <c r="F65" s="415">
        <f>IF(E$44=0,"N.D.",E65/E$44)</f>
        <v>5.3449892420143003E-2</v>
      </c>
      <c r="G65" s="456">
        <v>96.089999999999833</v>
      </c>
      <c r="H65" s="415">
        <f t="shared" si="112"/>
        <v>5.0966231490331235E-2</v>
      </c>
      <c r="I65" s="456">
        <v>-37.049000000000056</v>
      </c>
      <c r="J65" s="415">
        <f t="shared" si="113"/>
        <v>-4.2973299000162453E-2</v>
      </c>
      <c r="K65" s="456">
        <v>-13.443000000000003</v>
      </c>
      <c r="L65" s="415" t="str">
        <f t="shared" si="114"/>
        <v>N.D.</v>
      </c>
      <c r="M65" s="456">
        <v>-4.6720000000000006</v>
      </c>
      <c r="N65" s="415" t="str">
        <f t="shared" si="115"/>
        <v>N.D.</v>
      </c>
      <c r="O65" s="456">
        <v>-4.6715699999999991</v>
      </c>
      <c r="P65" s="415" t="str">
        <f t="shared" si="116"/>
        <v>N.D.</v>
      </c>
      <c r="Q65" s="456"/>
      <c r="R65" s="415" t="str">
        <f t="shared" si="117"/>
        <v>N.D.</v>
      </c>
      <c r="S65" s="456"/>
      <c r="T65" s="415" t="str">
        <f t="shared" si="118"/>
        <v>N.D.</v>
      </c>
      <c r="U65" s="456"/>
      <c r="V65" s="415" t="str">
        <f t="shared" si="119"/>
        <v>N.D.</v>
      </c>
      <c r="W65" s="456"/>
      <c r="X65" s="415" t="str">
        <f t="shared" si="120"/>
        <v>N.D.</v>
      </c>
      <c r="Y65" s="456"/>
      <c r="Z65" s="415" t="str">
        <f t="shared" si="121"/>
        <v>N.D.</v>
      </c>
      <c r="AA65" s="456">
        <f t="shared" si="111"/>
        <v>149.70742999999948</v>
      </c>
      <c r="AB65" s="415">
        <f t="shared" si="122"/>
        <v>2.4165766346877511E-2</v>
      </c>
      <c r="AD65" s="456">
        <f>+ER!AE65-'ER Act'!AA65</f>
        <v>4.6709100000010437</v>
      </c>
    </row>
    <row r="66" spans="2:30" ht="13" x14ac:dyDescent="0.3">
      <c r="B66" s="131" t="s">
        <v>122</v>
      </c>
      <c r="C66" s="456">
        <v>44.685999999999858</v>
      </c>
      <c r="D66" s="415">
        <f>IF(C$44=0,"N.D.",C66/C$44)</f>
        <v>2.5525580417630998E-2</v>
      </c>
      <c r="E66" s="456">
        <v>77.590999999999838</v>
      </c>
      <c r="F66" s="415">
        <f>IF(E$44=0,"N.D.",E66/E$44)</f>
        <v>4.5725711733128789E-2</v>
      </c>
      <c r="G66" s="456">
        <v>107.12899999999985</v>
      </c>
      <c r="H66" s="415">
        <f t="shared" si="112"/>
        <v>5.6821328060440171E-2</v>
      </c>
      <c r="I66" s="456">
        <v>-3.3320000000000558</v>
      </c>
      <c r="J66" s="415">
        <f t="shared" si="113"/>
        <v>-3.8648015403531396E-3</v>
      </c>
      <c r="K66" s="456">
        <v>-20.979000000000003</v>
      </c>
      <c r="L66" s="415" t="str">
        <f t="shared" si="114"/>
        <v>N.D.</v>
      </c>
      <c r="M66" s="456">
        <v>-8.9510000000000005</v>
      </c>
      <c r="N66" s="415" t="str">
        <f t="shared" si="115"/>
        <v>N.D.</v>
      </c>
      <c r="O66" s="456">
        <v>-8.9507099999999991</v>
      </c>
      <c r="P66" s="415" t="str">
        <f t="shared" si="116"/>
        <v>N.D.</v>
      </c>
      <c r="Q66" s="456"/>
      <c r="R66" s="415" t="str">
        <f t="shared" si="117"/>
        <v>N.D.</v>
      </c>
      <c r="S66" s="456"/>
      <c r="T66" s="415" t="str">
        <f t="shared" si="118"/>
        <v>N.D.</v>
      </c>
      <c r="U66" s="456"/>
      <c r="V66" s="415" t="str">
        <f t="shared" si="119"/>
        <v>N.D.</v>
      </c>
      <c r="W66" s="456"/>
      <c r="X66" s="415" t="str">
        <f t="shared" si="120"/>
        <v>N.D.</v>
      </c>
      <c r="Y66" s="456"/>
      <c r="Z66" s="415" t="str">
        <f t="shared" si="121"/>
        <v>N.D.</v>
      </c>
      <c r="AA66" s="456">
        <f t="shared" si="111"/>
        <v>187.19328999999948</v>
      </c>
      <c r="AB66" s="415">
        <f t="shared" si="122"/>
        <v>3.0216732114386611E-2</v>
      </c>
      <c r="AD66" s="459">
        <f>+ER!AE66-'ER Act'!AA66</f>
        <v>8.9512600000010139</v>
      </c>
    </row>
    <row r="67" spans="2:30" ht="13" x14ac:dyDescent="0.3">
      <c r="B67" s="1" t="s">
        <v>194</v>
      </c>
      <c r="C67" s="373">
        <v>0</v>
      </c>
      <c r="D67" s="407">
        <f t="shared" ref="D67:F72" si="123">IF(C$44=0,"N.D.",C67/C$44)</f>
        <v>0</v>
      </c>
      <c r="E67" s="373">
        <v>0</v>
      </c>
      <c r="F67" s="407">
        <f t="shared" si="123"/>
        <v>0</v>
      </c>
      <c r="G67" s="373">
        <v>0</v>
      </c>
      <c r="H67" s="407">
        <f t="shared" si="112"/>
        <v>0</v>
      </c>
      <c r="I67" s="373">
        <v>0</v>
      </c>
      <c r="J67" s="407">
        <f t="shared" si="113"/>
        <v>0</v>
      </c>
      <c r="K67" s="373">
        <v>0</v>
      </c>
      <c r="L67" s="407" t="str">
        <f t="shared" si="114"/>
        <v>N.D.</v>
      </c>
      <c r="M67" s="373">
        <v>0</v>
      </c>
      <c r="N67" s="407" t="str">
        <f t="shared" si="115"/>
        <v>N.D.</v>
      </c>
      <c r="O67" s="373">
        <v>0</v>
      </c>
      <c r="P67" s="407" t="str">
        <f t="shared" si="116"/>
        <v>N.D.</v>
      </c>
      <c r="Q67" s="373"/>
      <c r="R67" s="407" t="str">
        <f t="shared" si="117"/>
        <v>N.D.</v>
      </c>
      <c r="S67" s="373"/>
      <c r="T67" s="407" t="str">
        <f t="shared" si="118"/>
        <v>N.D.</v>
      </c>
      <c r="U67" s="373"/>
      <c r="V67" s="407" t="str">
        <f t="shared" si="119"/>
        <v>N.D.</v>
      </c>
      <c r="W67" s="373"/>
      <c r="X67" s="407" t="str">
        <f t="shared" si="120"/>
        <v>N.D.</v>
      </c>
      <c r="Y67" s="373"/>
      <c r="Z67" s="407" t="str">
        <f t="shared" si="121"/>
        <v>N.D.</v>
      </c>
      <c r="AA67" s="373">
        <f t="shared" si="111"/>
        <v>0</v>
      </c>
      <c r="AB67" s="407">
        <f t="shared" si="122"/>
        <v>0</v>
      </c>
      <c r="AD67" s="418">
        <f>+ER!AE67-'ER Act'!AA67</f>
        <v>0</v>
      </c>
    </row>
    <row r="68" spans="2:30" ht="13" x14ac:dyDescent="0.3">
      <c r="B68" s="1" t="s">
        <v>123</v>
      </c>
      <c r="C68" s="408"/>
      <c r="D68" s="409">
        <f t="shared" si="123"/>
        <v>0</v>
      </c>
      <c r="E68" s="408"/>
      <c r="F68" s="409">
        <f t="shared" si="123"/>
        <v>0</v>
      </c>
      <c r="G68" s="408"/>
      <c r="H68" s="409">
        <f t="shared" si="112"/>
        <v>0</v>
      </c>
      <c r="I68" s="408"/>
      <c r="J68" s="409">
        <f t="shared" si="113"/>
        <v>0</v>
      </c>
      <c r="K68" s="408"/>
      <c r="L68" s="409" t="str">
        <f t="shared" si="114"/>
        <v>N.D.</v>
      </c>
      <c r="M68" s="408"/>
      <c r="N68" s="409" t="str">
        <f t="shared" si="115"/>
        <v>N.D.</v>
      </c>
      <c r="O68" s="408"/>
      <c r="P68" s="409" t="str">
        <f t="shared" si="116"/>
        <v>N.D.</v>
      </c>
      <c r="Q68" s="408"/>
      <c r="R68" s="409" t="str">
        <f t="shared" si="117"/>
        <v>N.D.</v>
      </c>
      <c r="S68" s="408"/>
      <c r="T68" s="409" t="str">
        <f t="shared" si="118"/>
        <v>N.D.</v>
      </c>
      <c r="U68" s="408"/>
      <c r="V68" s="409" t="str">
        <f t="shared" si="119"/>
        <v>N.D.</v>
      </c>
      <c r="W68" s="408"/>
      <c r="X68" s="409" t="str">
        <f t="shared" si="120"/>
        <v>N.D.</v>
      </c>
      <c r="Y68" s="408"/>
      <c r="Z68" s="409" t="str">
        <f t="shared" si="121"/>
        <v>N.D.</v>
      </c>
      <c r="AA68" s="408">
        <f t="shared" si="111"/>
        <v>0</v>
      </c>
      <c r="AB68" s="409">
        <f t="shared" si="122"/>
        <v>0</v>
      </c>
      <c r="AD68" s="460">
        <f>+ER!AE68-'ER Act'!AA68</f>
        <v>0</v>
      </c>
    </row>
    <row r="69" spans="2:30" ht="13" x14ac:dyDescent="0.3">
      <c r="B69" s="7" t="s">
        <v>190</v>
      </c>
      <c r="C69" s="410">
        <v>38.136999999999865</v>
      </c>
      <c r="D69" s="409">
        <f t="shared" si="123"/>
        <v>2.1784654262793558E-2</v>
      </c>
      <c r="E69" s="410">
        <v>106.07999999999984</v>
      </c>
      <c r="F69" s="409">
        <f t="shared" si="123"/>
        <v>6.2514769762605255E-2</v>
      </c>
      <c r="G69" s="410">
        <v>111.47199999999984</v>
      </c>
      <c r="H69" s="409">
        <f t="shared" si="112"/>
        <v>5.9124859576336813E-2</v>
      </c>
      <c r="I69" s="410">
        <v>-21.667000000000058</v>
      </c>
      <c r="J69" s="409">
        <f t="shared" si="113"/>
        <v>-2.5131649152109935E-2</v>
      </c>
      <c r="K69" s="410">
        <v>-13.443000000000003</v>
      </c>
      <c r="L69" s="409" t="str">
        <f t="shared" si="114"/>
        <v>N.D.</v>
      </c>
      <c r="M69" s="410">
        <v>-4.6720000000000006</v>
      </c>
      <c r="N69" s="409" t="str">
        <f t="shared" si="115"/>
        <v>N.D.</v>
      </c>
      <c r="O69" s="410">
        <v>-4.6715699999999991</v>
      </c>
      <c r="P69" s="409" t="str">
        <f t="shared" si="116"/>
        <v>N.D.</v>
      </c>
      <c r="Q69" s="410"/>
      <c r="R69" s="409" t="str">
        <f t="shared" si="117"/>
        <v>N.D.</v>
      </c>
      <c r="S69" s="410"/>
      <c r="T69" s="409" t="str">
        <f t="shared" si="118"/>
        <v>N.D.</v>
      </c>
      <c r="U69" s="410"/>
      <c r="V69" s="409" t="str">
        <f t="shared" si="119"/>
        <v>N.D.</v>
      </c>
      <c r="W69" s="410"/>
      <c r="X69" s="409" t="str">
        <f t="shared" si="120"/>
        <v>N.D.</v>
      </c>
      <c r="Y69" s="410"/>
      <c r="Z69" s="409" t="str">
        <f t="shared" si="121"/>
        <v>N.D.</v>
      </c>
      <c r="AA69" s="410">
        <f t="shared" si="111"/>
        <v>211.23542999999947</v>
      </c>
      <c r="AB69" s="409">
        <f t="shared" si="122"/>
        <v>3.4097613228429642E-2</v>
      </c>
      <c r="AD69" s="410">
        <f>+ER!AE69-'ER Act'!AA69</f>
        <v>4.6721100000010551</v>
      </c>
    </row>
    <row r="70" spans="2:30" ht="13" x14ac:dyDescent="0.3">
      <c r="B70" s="7" t="s">
        <v>191</v>
      </c>
      <c r="C70" s="381">
        <v>26</v>
      </c>
      <c r="D70" s="411">
        <f t="shared" si="123"/>
        <v>1.4851745308562146E-2</v>
      </c>
      <c r="E70" s="381">
        <v>28.850729999999999</v>
      </c>
      <c r="F70" s="411">
        <f t="shared" si="123"/>
        <v>1.700223174427876E-2</v>
      </c>
      <c r="G70" s="381">
        <v>27.396509999999999</v>
      </c>
      <c r="H70" s="411">
        <f t="shared" si="112"/>
        <v>1.4531136129536652E-2</v>
      </c>
      <c r="I70" s="381">
        <v>0</v>
      </c>
      <c r="J70" s="411">
        <f t="shared" si="113"/>
        <v>0</v>
      </c>
      <c r="K70" s="381">
        <v>0</v>
      </c>
      <c r="L70" s="411" t="str">
        <f t="shared" si="114"/>
        <v>N.D.</v>
      </c>
      <c r="M70" s="381">
        <v>0</v>
      </c>
      <c r="N70" s="411" t="str">
        <f t="shared" si="115"/>
        <v>N.D.</v>
      </c>
      <c r="O70" s="381">
        <v>0</v>
      </c>
      <c r="P70" s="411" t="str">
        <f t="shared" si="116"/>
        <v>N.D.</v>
      </c>
      <c r="Q70" s="381"/>
      <c r="R70" s="411" t="str">
        <f t="shared" si="117"/>
        <v>N.D.</v>
      </c>
      <c r="S70" s="381"/>
      <c r="T70" s="411" t="str">
        <f t="shared" si="118"/>
        <v>N.D.</v>
      </c>
      <c r="U70" s="381"/>
      <c r="V70" s="411" t="str">
        <f t="shared" si="119"/>
        <v>N.D.</v>
      </c>
      <c r="W70" s="381"/>
      <c r="X70" s="411" t="str">
        <f t="shared" si="120"/>
        <v>N.D.</v>
      </c>
      <c r="Y70" s="381"/>
      <c r="Z70" s="411" t="str">
        <f t="shared" si="121"/>
        <v>N.D.</v>
      </c>
      <c r="AA70" s="381">
        <f t="shared" si="111"/>
        <v>82.247240000000005</v>
      </c>
      <c r="AB70" s="411">
        <f t="shared" si="122"/>
        <v>1.3276345633049509E-2</v>
      </c>
      <c r="AD70" s="381">
        <f>+ER!AE70-'ER Act'!AA70</f>
        <v>-0.24724000000000501</v>
      </c>
    </row>
    <row r="71" spans="2:30" ht="13" x14ac:dyDescent="0.3">
      <c r="B71" s="7" t="s">
        <v>84</v>
      </c>
      <c r="C71" s="381">
        <v>12.136999999999865</v>
      </c>
      <c r="D71" s="411">
        <f t="shared" si="123"/>
        <v>6.9329089542314142E-3</v>
      </c>
      <c r="E71" s="381">
        <v>77.229269999999843</v>
      </c>
      <c r="F71" s="411">
        <f t="shared" si="123"/>
        <v>4.5512538018326498E-2</v>
      </c>
      <c r="G71" s="381">
        <v>84.075489999999832</v>
      </c>
      <c r="H71" s="411">
        <f t="shared" si="112"/>
        <v>4.4593723446800161E-2</v>
      </c>
      <c r="I71" s="381">
        <v>-21.667000000000058</v>
      </c>
      <c r="J71" s="411">
        <f t="shared" si="113"/>
        <v>-2.5131649152109935E-2</v>
      </c>
      <c r="K71" s="381">
        <v>-13.443000000000003</v>
      </c>
      <c r="L71" s="411" t="str">
        <f t="shared" si="114"/>
        <v>N.D.</v>
      </c>
      <c r="M71" s="381">
        <v>-4.6720000000000006</v>
      </c>
      <c r="N71" s="411" t="str">
        <f t="shared" si="115"/>
        <v>N.D.</v>
      </c>
      <c r="O71" s="381">
        <v>-4.6715699999999991</v>
      </c>
      <c r="P71" s="411" t="str">
        <f t="shared" si="116"/>
        <v>N.D.</v>
      </c>
      <c r="Q71" s="381"/>
      <c r="R71" s="411" t="str">
        <f t="shared" si="117"/>
        <v>N.D.</v>
      </c>
      <c r="S71" s="381"/>
      <c r="T71" s="411" t="str">
        <f t="shared" si="118"/>
        <v>N.D.</v>
      </c>
      <c r="U71" s="381"/>
      <c r="V71" s="411" t="str">
        <f t="shared" si="119"/>
        <v>N.D.</v>
      </c>
      <c r="W71" s="381"/>
      <c r="X71" s="411" t="str">
        <f t="shared" si="120"/>
        <v>N.D.</v>
      </c>
      <c r="Y71" s="381"/>
      <c r="Z71" s="411" t="str">
        <f t="shared" si="121"/>
        <v>N.D.</v>
      </c>
      <c r="AA71" s="381">
        <f t="shared" si="111"/>
        <v>128.98818999999946</v>
      </c>
      <c r="AB71" s="411">
        <f t="shared" si="122"/>
        <v>2.0821267595380135E-2</v>
      </c>
      <c r="AD71" s="381">
        <f>+ER!AE71-'ER Act'!AA71</f>
        <v>4.9193500000010602</v>
      </c>
    </row>
    <row r="72" spans="2:30" ht="13" x14ac:dyDescent="0.3">
      <c r="B72" s="1" t="s">
        <v>193</v>
      </c>
      <c r="C72" s="412">
        <f>IF(C70=0,"N.D.",(C69-C67-C68)/C70)</f>
        <v>1.4668076923076871</v>
      </c>
      <c r="D72" s="411">
        <f t="shared" si="123"/>
        <v>8.3787131779975235E-4</v>
      </c>
      <c r="E72" s="412">
        <v>3.6768567034525588</v>
      </c>
      <c r="F72" s="411">
        <f t="shared" si="123"/>
        <v>2.1668349384090196E-3</v>
      </c>
      <c r="G72" s="412">
        <v>4.0688394251676527</v>
      </c>
      <c r="H72" s="411">
        <f t="shared" si="112"/>
        <v>2.1581164745559499E-3</v>
      </c>
      <c r="I72" s="412" t="s">
        <v>451</v>
      </c>
      <c r="J72" s="411" t="e">
        <f t="shared" si="113"/>
        <v>#VALUE!</v>
      </c>
      <c r="K72" s="412" t="s">
        <v>451</v>
      </c>
      <c r="L72" s="411" t="str">
        <f t="shared" si="114"/>
        <v>N.D.</v>
      </c>
      <c r="M72" s="412" t="s">
        <v>451</v>
      </c>
      <c r="N72" s="411" t="str">
        <f t="shared" si="115"/>
        <v>N.D.</v>
      </c>
      <c r="O72" s="412" t="s">
        <v>451</v>
      </c>
      <c r="P72" s="411" t="str">
        <f t="shared" si="116"/>
        <v>N.D.</v>
      </c>
      <c r="Q72" s="412" t="str">
        <f>IF(Q70=0,"N.D.",(Q69-Q67-Q68)/Q70)</f>
        <v>N.D.</v>
      </c>
      <c r="R72" s="411" t="str">
        <f t="shared" si="117"/>
        <v>N.D.</v>
      </c>
      <c r="S72" s="412" t="str">
        <f>IF(S70=0,"N.D.",(S69-S67-S68)/S70)</f>
        <v>N.D.</v>
      </c>
      <c r="T72" s="411" t="str">
        <f t="shared" si="118"/>
        <v>N.D.</v>
      </c>
      <c r="U72" s="412" t="str">
        <f>IF(U70=0,"N.D.",(U69-U67-U68)/U70)</f>
        <v>N.D.</v>
      </c>
      <c r="V72" s="411" t="str">
        <f t="shared" si="119"/>
        <v>N.D.</v>
      </c>
      <c r="W72" s="412" t="str">
        <f>IF(W70=0,"N.D.",(W69-W67-W68)/W70)</f>
        <v>N.D.</v>
      </c>
      <c r="X72" s="411" t="str">
        <f t="shared" si="120"/>
        <v>N.D.</v>
      </c>
      <c r="Y72" s="412" t="str">
        <f>IF(Y70=0,"N.D.",(Y69-Y67-Y68)/Y70)</f>
        <v>N.D.</v>
      </c>
      <c r="Z72" s="411" t="str">
        <f t="shared" si="121"/>
        <v>N.D.</v>
      </c>
      <c r="AA72" s="412">
        <f>IF(AA70=0,"N.D.",(AA69-AA67-AA68)/AA70)</f>
        <v>2.568298097297848</v>
      </c>
      <c r="AB72" s="411">
        <f t="shared" si="122"/>
        <v>4.1457455871381997E-4</v>
      </c>
      <c r="AD72" s="412">
        <f>+ER!AE72-'ER Act'!AA72</f>
        <v>6.4720683189963157E-2</v>
      </c>
    </row>
    <row r="73" spans="2:30" x14ac:dyDescent="0.25">
      <c r="D73" s="429"/>
      <c r="F73" s="429"/>
      <c r="H73" s="429"/>
      <c r="J73" s="429"/>
      <c r="L73" s="429"/>
      <c r="N73" s="429"/>
      <c r="P73" s="429"/>
      <c r="R73" s="429"/>
      <c r="T73" s="429"/>
      <c r="V73" s="429"/>
      <c r="X73" s="429"/>
      <c r="Z73" s="429"/>
      <c r="AB73" s="429"/>
    </row>
    <row r="74" spans="2:30" x14ac:dyDescent="0.25">
      <c r="D74" s="429"/>
      <c r="F74" s="429"/>
      <c r="H74" s="429"/>
      <c r="J74" s="429"/>
      <c r="L74" s="429"/>
      <c r="N74" s="429"/>
      <c r="P74" s="429"/>
      <c r="R74" s="429"/>
      <c r="T74" s="429"/>
      <c r="V74" s="429"/>
      <c r="X74" s="429"/>
      <c r="Z74" s="429"/>
      <c r="AB74" s="429"/>
    </row>
    <row r="75" spans="2:30" x14ac:dyDescent="0.25">
      <c r="D75" s="429"/>
      <c r="F75" s="429"/>
      <c r="H75" s="429"/>
      <c r="J75" s="429"/>
      <c r="L75" s="429"/>
      <c r="N75" s="429"/>
      <c r="P75" s="429"/>
      <c r="R75" s="429"/>
      <c r="T75" s="429"/>
      <c r="V75" s="429"/>
      <c r="X75" s="429"/>
      <c r="Z75" s="429"/>
      <c r="AB75" s="429"/>
    </row>
    <row r="76" spans="2:30" ht="13" x14ac:dyDescent="0.3">
      <c r="B76" s="251" t="s">
        <v>342</v>
      </c>
      <c r="C76" s="396" t="s">
        <v>418</v>
      </c>
      <c r="D76" s="397"/>
      <c r="E76" s="396" t="s">
        <v>419</v>
      </c>
      <c r="F76" s="397"/>
      <c r="G76" s="396" t="s">
        <v>417</v>
      </c>
      <c r="H76" s="397"/>
      <c r="I76" s="396" t="s">
        <v>420</v>
      </c>
      <c r="J76" s="397"/>
      <c r="K76" s="396" t="s">
        <v>421</v>
      </c>
      <c r="L76" s="397"/>
      <c r="M76" s="396" t="s">
        <v>422</v>
      </c>
      <c r="N76" s="397"/>
      <c r="O76" s="396" t="s">
        <v>423</v>
      </c>
      <c r="P76" s="397"/>
      <c r="Q76" s="396" t="s">
        <v>428</v>
      </c>
      <c r="R76" s="397"/>
      <c r="S76" s="396" t="s">
        <v>424</v>
      </c>
      <c r="T76" s="397"/>
      <c r="U76" s="396" t="s">
        <v>425</v>
      </c>
      <c r="V76" s="397"/>
      <c r="W76" s="396" t="s">
        <v>426</v>
      </c>
      <c r="X76" s="397"/>
      <c r="Y76" s="396" t="s">
        <v>427</v>
      </c>
      <c r="Z76" s="431"/>
      <c r="AA76" s="452" t="s">
        <v>496</v>
      </c>
      <c r="AB76" s="431"/>
    </row>
    <row r="77" spans="2:30" x14ac:dyDescent="0.25">
      <c r="B77" s="137" t="s">
        <v>38</v>
      </c>
      <c r="C77" s="454">
        <v>579.04999999999995</v>
      </c>
      <c r="D77" s="414">
        <f>IF(C$77=0,"N.D.",C77/C$77)</f>
        <v>1</v>
      </c>
      <c r="E77" s="454">
        <v>581.85400000000004</v>
      </c>
      <c r="F77" s="414">
        <f>IF(E$77=0,"N.D.",E77/E$77)</f>
        <v>1</v>
      </c>
      <c r="G77" s="454">
        <v>655.04700000000003</v>
      </c>
      <c r="H77" s="414">
        <f>IF(G$77=0,"N.D.",G77/G$77)</f>
        <v>1</v>
      </c>
      <c r="I77" s="454">
        <v>611.44500000000005</v>
      </c>
      <c r="J77" s="414">
        <f>IF(I$77=0,"N.D.",I77/I$77)</f>
        <v>1</v>
      </c>
      <c r="K77" s="454">
        <v>637.29499999999996</v>
      </c>
      <c r="L77" s="414">
        <f>IF(K$77=0,"N.D.",K77/K$77)</f>
        <v>1</v>
      </c>
      <c r="M77" s="454">
        <v>617.27300000000002</v>
      </c>
      <c r="N77" s="414">
        <f>IF(M$77=0,"N.D.",M77/M$77)</f>
        <v>1</v>
      </c>
      <c r="O77" s="454">
        <v>617.27277000000004</v>
      </c>
      <c r="P77" s="414">
        <f>IF(O$77=0,"N.D.",O77/O$77)</f>
        <v>1</v>
      </c>
      <c r="Q77" s="454"/>
      <c r="R77" s="414" t="str">
        <f>IF(Q$77=0,"N.D.",Q77/Q$77)</f>
        <v>N.D.</v>
      </c>
      <c r="S77" s="454"/>
      <c r="T77" s="414" t="str">
        <f>IF(S$77=0,"N.D.",S77/S$77)</f>
        <v>N.D.</v>
      </c>
      <c r="U77" s="454"/>
      <c r="V77" s="414" t="str">
        <f>IF(U$77=0,"N.D.",U77/U$77)</f>
        <v>N.D.</v>
      </c>
      <c r="W77" s="454"/>
      <c r="X77" s="414" t="str">
        <f>IF(W$77=0,"N.D.",W77/W$77)</f>
        <v>N.D.</v>
      </c>
      <c r="Y77" s="454"/>
      <c r="Z77" s="414" t="str">
        <f>IF(Y$77=0,"N.D.",Y77/Y$77)</f>
        <v>N.D.</v>
      </c>
      <c r="AA77" s="454">
        <f>+Y77+W77+U77+S77+Q77+O77+M77+K77+I77+G77+E77+C77</f>
        <v>4299.2367700000004</v>
      </c>
      <c r="AB77" s="414">
        <f>IF(AA$77=0,"N.D.",AA77/AA$77)</f>
        <v>1</v>
      </c>
      <c r="AD77" s="455">
        <f>+ER!AE114-'ER Act'!AA77</f>
        <v>-617.27419000000054</v>
      </c>
    </row>
    <row r="78" spans="2:30" x14ac:dyDescent="0.25">
      <c r="B78" s="137" t="s">
        <v>39</v>
      </c>
      <c r="C78" s="454">
        <v>202.339</v>
      </c>
      <c r="D78" s="414">
        <f>IF(C$77=0,"N.D.",C78/C$77)</f>
        <v>0.34943269147741995</v>
      </c>
      <c r="E78" s="454">
        <v>202.21100000000001</v>
      </c>
      <c r="F78" s="414">
        <f>IF(E$77=0,"N.D.",E78/E$77)</f>
        <v>0.34752876151061951</v>
      </c>
      <c r="G78" s="454">
        <v>217.76599999999999</v>
      </c>
      <c r="H78" s="414">
        <f>IF(G$77=0,"N.D.",G78/G$77)</f>
        <v>0.33244332086094586</v>
      </c>
      <c r="I78" s="454">
        <v>203.89400000000001</v>
      </c>
      <c r="J78" s="414">
        <f>IF(I$77=0,"N.D.",I78/I$77)</f>
        <v>0.33346253546925725</v>
      </c>
      <c r="K78" s="454">
        <v>221.61600000000001</v>
      </c>
      <c r="L78" s="414">
        <f>IF(K$77=0,"N.D.",K78/K$77)</f>
        <v>0.34774476498324958</v>
      </c>
      <c r="M78" s="454">
        <v>199.334</v>
      </c>
      <c r="N78" s="414">
        <f>IF(M$77=0,"N.D.",M78/M$77)</f>
        <v>0.32292680872158669</v>
      </c>
      <c r="O78" s="454">
        <v>199.33366000000001</v>
      </c>
      <c r="P78" s="414">
        <f>IF(O$77=0,"N.D.",O78/O$77)</f>
        <v>0.32292637823631842</v>
      </c>
      <c r="Q78" s="454"/>
      <c r="R78" s="414" t="str">
        <f>IF(Q$77=0,"N.D.",Q78/Q$77)</f>
        <v>N.D.</v>
      </c>
      <c r="S78" s="454"/>
      <c r="T78" s="414" t="str">
        <f>IF(S$77=0,"N.D.",S78/S$77)</f>
        <v>N.D.</v>
      </c>
      <c r="U78" s="454"/>
      <c r="V78" s="414" t="str">
        <f>IF(U$77=0,"N.D.",U78/U$77)</f>
        <v>N.D.</v>
      </c>
      <c r="W78" s="454"/>
      <c r="X78" s="414" t="str">
        <f>IF(W$77=0,"N.D.",W78/W$77)</f>
        <v>N.D.</v>
      </c>
      <c r="Y78" s="454"/>
      <c r="Z78" s="414" t="str">
        <f>IF(Y$77=0,"N.D.",Y78/Y$77)</f>
        <v>N.D.</v>
      </c>
      <c r="AA78" s="454">
        <f t="shared" ref="AA78:AA104" si="124">+Y78+W78+U78+S78+Q78+O78+M78+K78+I78+G78+E78+C78</f>
        <v>1446.4936600000001</v>
      </c>
      <c r="AB78" s="414">
        <f>IF(AA$77=0,"N.D.",AA78/AA$77)</f>
        <v>0.33645359336652675</v>
      </c>
      <c r="AD78" s="454">
        <f>+ER!AE115-'ER Act'!AA78</f>
        <v>-199.33384999999998</v>
      </c>
    </row>
    <row r="79" spans="2:30" x14ac:dyDescent="0.25">
      <c r="B79" s="9" t="s">
        <v>219</v>
      </c>
      <c r="C79" s="454">
        <v>0</v>
      </c>
      <c r="D79" s="414">
        <f>IF(C$77=0,"N.D.",C79/C$77)</f>
        <v>0</v>
      </c>
      <c r="E79" s="454">
        <v>0</v>
      </c>
      <c r="F79" s="414">
        <f>IF(E$77=0,"N.D.",E79/E$77)</f>
        <v>0</v>
      </c>
      <c r="G79" s="454">
        <v>0</v>
      </c>
      <c r="H79" s="414">
        <f>IF(G$77=0,"N.D.",G79/G$77)</f>
        <v>0</v>
      </c>
      <c r="I79" s="454">
        <v>0</v>
      </c>
      <c r="J79" s="414">
        <f>IF(I$77=0,"N.D.",I79/I$77)</f>
        <v>0</v>
      </c>
      <c r="K79" s="454">
        <v>0</v>
      </c>
      <c r="L79" s="414">
        <f>IF(K$77=0,"N.D.",K79/K$77)</f>
        <v>0</v>
      </c>
      <c r="M79" s="454">
        <v>0</v>
      </c>
      <c r="N79" s="414">
        <f>IF(M$77=0,"N.D.",M79/M$77)</f>
        <v>0</v>
      </c>
      <c r="O79" s="454">
        <v>0</v>
      </c>
      <c r="P79" s="414">
        <f>IF(O$77=0,"N.D.",O79/O$77)</f>
        <v>0</v>
      </c>
      <c r="Q79" s="454"/>
      <c r="R79" s="414" t="str">
        <f>IF(Q$77=0,"N.D.",Q79/Q$77)</f>
        <v>N.D.</v>
      </c>
      <c r="S79" s="454"/>
      <c r="T79" s="414" t="str">
        <f>IF(S$77=0,"N.D.",S79/S$77)</f>
        <v>N.D.</v>
      </c>
      <c r="U79" s="454"/>
      <c r="V79" s="414" t="str">
        <f>IF(U$77=0,"N.D.",U79/U$77)</f>
        <v>N.D.</v>
      </c>
      <c r="W79" s="454"/>
      <c r="X79" s="414" t="str">
        <f>IF(W$77=0,"N.D.",W79/W$77)</f>
        <v>N.D.</v>
      </c>
      <c r="Y79" s="454"/>
      <c r="Z79" s="414" t="str">
        <f>IF(Y$77=0,"N.D.",Y79/Y$77)</f>
        <v>N.D.</v>
      </c>
      <c r="AA79" s="454"/>
      <c r="AB79" s="414">
        <f>IF(AA$77=0,"N.D.",AA79/AA$77)</f>
        <v>0</v>
      </c>
      <c r="AD79" s="454">
        <f>+ER!AE116-'ER Act'!AA79</f>
        <v>0</v>
      </c>
    </row>
    <row r="80" spans="2:30" ht="13" x14ac:dyDescent="0.3">
      <c r="B80" s="137" t="s">
        <v>40</v>
      </c>
      <c r="C80" s="456">
        <v>376.71099999999996</v>
      </c>
      <c r="D80" s="415">
        <f>IF(C$77=0,"N.D.",C80/C$77)</f>
        <v>0.65056730852258005</v>
      </c>
      <c r="E80" s="456">
        <v>379.64300000000003</v>
      </c>
      <c r="F80" s="415">
        <f>IF(E$77=0,"N.D.",E80/E$77)</f>
        <v>0.65247123848938049</v>
      </c>
      <c r="G80" s="456">
        <v>437.28100000000006</v>
      </c>
      <c r="H80" s="415">
        <f>IF(G$77=0,"N.D.",G80/G$77)</f>
        <v>0.66755667913905425</v>
      </c>
      <c r="I80" s="456">
        <v>407.55100000000004</v>
      </c>
      <c r="J80" s="415">
        <f>IF(I$77=0,"N.D.",I80/I$77)</f>
        <v>0.66653746453074281</v>
      </c>
      <c r="K80" s="456">
        <v>415.67899999999997</v>
      </c>
      <c r="L80" s="415">
        <f>IF(K$77=0,"N.D.",K80/K$77)</f>
        <v>0.65225523501675053</v>
      </c>
      <c r="M80" s="456">
        <v>417.93900000000002</v>
      </c>
      <c r="N80" s="415">
        <f>IF(M$77=0,"N.D.",M80/M$77)</f>
        <v>0.67707319127841326</v>
      </c>
      <c r="O80" s="456">
        <v>417.93911000000003</v>
      </c>
      <c r="P80" s="415">
        <f>IF(O$77=0,"N.D.",O80/O$77)</f>
        <v>0.67707362176368158</v>
      </c>
      <c r="Q80" s="456"/>
      <c r="R80" s="415" t="str">
        <f>IF(Q$77=0,"N.D.",Q80/Q$77)</f>
        <v>N.D.</v>
      </c>
      <c r="S80" s="456"/>
      <c r="T80" s="415" t="str">
        <f>IF(S$77=0,"N.D.",S80/S$77)</f>
        <v>N.D.</v>
      </c>
      <c r="U80" s="456"/>
      <c r="V80" s="415" t="str">
        <f>IF(U$77=0,"N.D.",U80/U$77)</f>
        <v>N.D.</v>
      </c>
      <c r="W80" s="456"/>
      <c r="X80" s="415" t="str">
        <f>IF(W$77=0,"N.D.",W80/W$77)</f>
        <v>N.D.</v>
      </c>
      <c r="Y80" s="456"/>
      <c r="Z80" s="415" t="str">
        <f>IF(Y$77=0,"N.D.",Y80/Y$77)</f>
        <v>N.D.</v>
      </c>
      <c r="AA80" s="456">
        <f t="shared" si="124"/>
        <v>2852.7431099999999</v>
      </c>
      <c r="AB80" s="415">
        <f>IF(AA$77=0,"N.D.",AA80/AA$77)</f>
        <v>0.66354640663347308</v>
      </c>
      <c r="AD80" s="456">
        <f>+ER!AE117-'ER Act'!AA80</f>
        <v>-417.94034000000011</v>
      </c>
    </row>
    <row r="81" spans="2:30" x14ac:dyDescent="0.25">
      <c r="B81" s="137"/>
      <c r="C81" s="457"/>
      <c r="D81" s="416"/>
      <c r="E81" s="457"/>
      <c r="F81" s="416"/>
      <c r="G81" s="457"/>
      <c r="H81" s="416"/>
      <c r="I81" s="457"/>
      <c r="J81" s="416"/>
      <c r="K81" s="457"/>
      <c r="L81" s="416"/>
      <c r="M81" s="457"/>
      <c r="N81" s="416"/>
      <c r="O81" s="457"/>
      <c r="P81" s="416"/>
      <c r="Q81" s="457"/>
      <c r="R81" s="416"/>
      <c r="S81" s="457"/>
      <c r="T81" s="416"/>
      <c r="U81" s="457"/>
      <c r="V81" s="416"/>
      <c r="W81" s="457"/>
      <c r="X81" s="416"/>
      <c r="Y81" s="457"/>
      <c r="Z81" s="416"/>
      <c r="AA81" s="457"/>
      <c r="AB81" s="416"/>
      <c r="AD81" s="457"/>
    </row>
    <row r="82" spans="2:30" x14ac:dyDescent="0.25">
      <c r="B82" s="137" t="s">
        <v>41</v>
      </c>
      <c r="C82" s="455">
        <v>404.42099999999999</v>
      </c>
      <c r="D82" s="417">
        <f>IF(C$77=0,"N.D.",C82/C$77)</f>
        <v>0.69842155254295835</v>
      </c>
      <c r="E82" s="455">
        <v>369.55799999999999</v>
      </c>
      <c r="F82" s="417">
        <f>IF(E$77=0,"N.D.",E82/E$77)</f>
        <v>0.63513871177305636</v>
      </c>
      <c r="G82" s="455">
        <v>387.14499999999998</v>
      </c>
      <c r="H82" s="417">
        <f>IF(G$77=0,"N.D.",G82/G$77)</f>
        <v>0.59101865972975975</v>
      </c>
      <c r="I82" s="455">
        <v>367.71199999999999</v>
      </c>
      <c r="J82" s="417">
        <f>IF(I$77=0,"N.D.",I82/I$77)</f>
        <v>0.60138197221336331</v>
      </c>
      <c r="K82" s="455">
        <v>393.54300000000001</v>
      </c>
      <c r="L82" s="417">
        <f>IF(K$77=0,"N.D.",K82/K$77)</f>
        <v>0.61752092829851168</v>
      </c>
      <c r="M82" s="455">
        <v>381.94299999999998</v>
      </c>
      <c r="N82" s="417">
        <f>IF(M$77=0,"N.D.",M82/M$77)</f>
        <v>0.61875863677821641</v>
      </c>
      <c r="O82" s="455">
        <v>381.94327000000004</v>
      </c>
      <c r="P82" s="417">
        <f>IF(O$77=0,"N.D.",O82/O$77)</f>
        <v>0.61875930473978302</v>
      </c>
      <c r="Q82" s="455"/>
      <c r="R82" s="417" t="str">
        <f>IF(Q$77=0,"N.D.",Q82/Q$77)</f>
        <v>N.D.</v>
      </c>
      <c r="S82" s="455"/>
      <c r="T82" s="417" t="str">
        <f>IF(S$77=0,"N.D.",S82/S$77)</f>
        <v>N.D.</v>
      </c>
      <c r="U82" s="455"/>
      <c r="V82" s="417" t="str">
        <f>IF(U$77=0,"N.D.",U82/U$77)</f>
        <v>N.D.</v>
      </c>
      <c r="W82" s="455"/>
      <c r="X82" s="417" t="str">
        <f>IF(W$77=0,"N.D.",W82/W$77)</f>
        <v>N.D.</v>
      </c>
      <c r="Y82" s="455"/>
      <c r="Z82" s="417" t="str">
        <f>IF(Y$77=0,"N.D.",Y82/Y$77)</f>
        <v>N.D.</v>
      </c>
      <c r="AA82" s="455">
        <f t="shared" si="124"/>
        <v>2686.2652699999999</v>
      </c>
      <c r="AB82" s="417">
        <f>IF(AA$77=0,"N.D.",AA82/AA$77)</f>
        <v>0.62482375679904678</v>
      </c>
      <c r="AD82" s="455">
        <f>+ER!AE119-'ER Act'!AA82</f>
        <v>-381.9418099999998</v>
      </c>
    </row>
    <row r="83" spans="2:30" x14ac:dyDescent="0.25">
      <c r="B83" s="137" t="s">
        <v>42</v>
      </c>
      <c r="C83" s="454">
        <v>16.138999999999999</v>
      </c>
      <c r="D83" s="414">
        <f>IF(C$77=0,"N.D.",C83/C$77)</f>
        <v>2.7871513686210173E-2</v>
      </c>
      <c r="E83" s="454">
        <v>13.914</v>
      </c>
      <c r="F83" s="414">
        <f>IF(E$77=0,"N.D.",E83/E$77)</f>
        <v>2.3913215342680465E-2</v>
      </c>
      <c r="G83" s="454">
        <v>14.097</v>
      </c>
      <c r="H83" s="414">
        <f>IF(G$77=0,"N.D.",G83/G$77)</f>
        <v>2.1520593178810069E-2</v>
      </c>
      <c r="I83" s="454">
        <v>13.404999999999999</v>
      </c>
      <c r="J83" s="414">
        <f>IF(I$77=0,"N.D.",I83/I$77)</f>
        <v>2.1923476355191387E-2</v>
      </c>
      <c r="K83" s="454">
        <v>17.718</v>
      </c>
      <c r="L83" s="414">
        <f>IF(K$77=0,"N.D.",K83/K$77)</f>
        <v>2.7801881389309505E-2</v>
      </c>
      <c r="M83" s="454">
        <v>10.742000000000001</v>
      </c>
      <c r="N83" s="414">
        <f>IF(M$77=0,"N.D.",M83/M$77)</f>
        <v>1.7402348717666251E-2</v>
      </c>
      <c r="O83" s="454">
        <v>10.742090000000001</v>
      </c>
      <c r="P83" s="414">
        <f>IF(O$77=0,"N.D.",O83/O$77)</f>
        <v>1.7402501004539696E-2</v>
      </c>
      <c r="Q83" s="454"/>
      <c r="R83" s="414" t="str">
        <f>IF(Q$77=0,"N.D.",Q83/Q$77)</f>
        <v>N.D.</v>
      </c>
      <c r="S83" s="454"/>
      <c r="T83" s="414" t="str">
        <f>IF(S$77=0,"N.D.",S83/S$77)</f>
        <v>N.D.</v>
      </c>
      <c r="U83" s="454"/>
      <c r="V83" s="414" t="str">
        <f>IF(U$77=0,"N.D.",U83/U$77)</f>
        <v>N.D.</v>
      </c>
      <c r="W83" s="454"/>
      <c r="X83" s="414" t="str">
        <f>IF(W$77=0,"N.D.",W83/W$77)</f>
        <v>N.D.</v>
      </c>
      <c r="Y83" s="454"/>
      <c r="Z83" s="414" t="str">
        <f>IF(Y$77=0,"N.D.",Y83/Y$77)</f>
        <v>N.D.</v>
      </c>
      <c r="AA83" s="454">
        <f t="shared" si="124"/>
        <v>96.757089999999991</v>
      </c>
      <c r="AB83" s="414">
        <f>IF(AA$77=0,"N.D.",AA83/AA$77)</f>
        <v>2.250564348425034E-2</v>
      </c>
      <c r="AD83" s="454">
        <f>+ER!AE120-'ER Act'!AA83</f>
        <v>-10.742189999999994</v>
      </c>
    </row>
    <row r="84" spans="2:30" x14ac:dyDescent="0.25">
      <c r="B84" s="137" t="s">
        <v>43</v>
      </c>
      <c r="C84" s="454">
        <v>2.8380000000000001</v>
      </c>
      <c r="D84" s="414">
        <f>IF(C$77=0,"N.D.",C84/C$77)</f>
        <v>4.9011311631119939E-3</v>
      </c>
      <c r="E84" s="454">
        <v>2.8380000000000001</v>
      </c>
      <c r="F84" s="414">
        <f>IF(E$77=0,"N.D.",E84/E$77)</f>
        <v>4.8775122281534541E-3</v>
      </c>
      <c r="G84" s="454">
        <v>2.8380000000000001</v>
      </c>
      <c r="H84" s="414">
        <f>IF(G$77=0,"N.D.",G84/G$77)</f>
        <v>4.3325135448296073E-3</v>
      </c>
      <c r="I84" s="454">
        <v>2.8380000000000001</v>
      </c>
      <c r="J84" s="414">
        <f>IF(I$77=0,"N.D.",I84/I$77)</f>
        <v>4.6414640728111274E-3</v>
      </c>
      <c r="K84" s="454">
        <v>2.8380000000000001</v>
      </c>
      <c r="L84" s="414">
        <f>IF(K$77=0,"N.D.",K84/K$77)</f>
        <v>4.4531967142375202E-3</v>
      </c>
      <c r="M84" s="454">
        <v>3.089</v>
      </c>
      <c r="N84" s="414">
        <f>IF(M$77=0,"N.D.",M84/M$77)</f>
        <v>5.0042687757280808E-3</v>
      </c>
      <c r="O84" s="454">
        <v>3.0893099999999998</v>
      </c>
      <c r="P84" s="414">
        <f>IF(O$77=0,"N.D.",O84/O$77)</f>
        <v>5.0047728494487121E-3</v>
      </c>
      <c r="Q84" s="454"/>
      <c r="R84" s="414" t="str">
        <f>IF(Q$77=0,"N.D.",Q84/Q$77)</f>
        <v>N.D.</v>
      </c>
      <c r="S84" s="454"/>
      <c r="T84" s="414" t="str">
        <f>IF(S$77=0,"N.D.",S84/S$77)</f>
        <v>N.D.</v>
      </c>
      <c r="U84" s="454"/>
      <c r="V84" s="414" t="str">
        <f>IF(U$77=0,"N.D.",U84/U$77)</f>
        <v>N.D.</v>
      </c>
      <c r="W84" s="454"/>
      <c r="X84" s="414" t="str">
        <f>IF(W$77=0,"N.D.",W84/W$77)</f>
        <v>N.D.</v>
      </c>
      <c r="Y84" s="454"/>
      <c r="Z84" s="414" t="str">
        <f>IF(Y$77=0,"N.D.",Y84/Y$77)</f>
        <v>N.D.</v>
      </c>
      <c r="AA84" s="454">
        <f t="shared" si="124"/>
        <v>20.368310000000005</v>
      </c>
      <c r="AB84" s="414">
        <f>IF(AA$77=0,"N.D.",AA84/AA$77)</f>
        <v>4.7376571911855883E-3</v>
      </c>
      <c r="AD84" s="454">
        <f>+ER!AE121-'ER Act'!AA84</f>
        <v>-3.0879500000000029</v>
      </c>
    </row>
    <row r="85" spans="2:30" ht="13" x14ac:dyDescent="0.3">
      <c r="B85" s="137" t="s">
        <v>44</v>
      </c>
      <c r="C85" s="456">
        <v>423.39800000000002</v>
      </c>
      <c r="D85" s="415">
        <f>IF(C$77=0,"N.D.",C85/C$77)</f>
        <v>0.73119419739228053</v>
      </c>
      <c r="E85" s="456">
        <v>386.31</v>
      </c>
      <c r="F85" s="415">
        <f>IF(E$77=0,"N.D.",E85/E$77)</f>
        <v>0.66392943934389037</v>
      </c>
      <c r="G85" s="456">
        <v>404.08</v>
      </c>
      <c r="H85" s="415">
        <f>IF(G$77=0,"N.D.",G85/G$77)</f>
        <v>0.61687176645339947</v>
      </c>
      <c r="I85" s="456">
        <v>383.95499999999998</v>
      </c>
      <c r="J85" s="415">
        <f>IF(I$77=0,"N.D.",I85/I$77)</f>
        <v>0.62794691264136582</v>
      </c>
      <c r="K85" s="456">
        <v>414.09900000000005</v>
      </c>
      <c r="L85" s="415">
        <f>IF(K$77=0,"N.D.",K85/K$77)</f>
        <v>0.64977600640205879</v>
      </c>
      <c r="M85" s="456">
        <v>395.774</v>
      </c>
      <c r="N85" s="415">
        <f>IF(M$77=0,"N.D.",M85/M$77)</f>
        <v>0.64116525427161075</v>
      </c>
      <c r="O85" s="456">
        <v>395.77467000000007</v>
      </c>
      <c r="P85" s="415">
        <f>IF(O$77=0,"N.D.",O85/O$77)</f>
        <v>0.64116657859377146</v>
      </c>
      <c r="Q85" s="456"/>
      <c r="R85" s="415" t="str">
        <f>IF(Q$77=0,"N.D.",Q85/Q$77)</f>
        <v>N.D.</v>
      </c>
      <c r="S85" s="456"/>
      <c r="T85" s="415" t="str">
        <f>IF(S$77=0,"N.D.",S85/S$77)</f>
        <v>N.D.</v>
      </c>
      <c r="U85" s="456"/>
      <c r="V85" s="415" t="str">
        <f>IF(U$77=0,"N.D.",U85/U$77)</f>
        <v>N.D.</v>
      </c>
      <c r="W85" s="456"/>
      <c r="X85" s="415" t="str">
        <f>IF(W$77=0,"N.D.",W85/W$77)</f>
        <v>N.D.</v>
      </c>
      <c r="Y85" s="456"/>
      <c r="Z85" s="415" t="str">
        <f>IF(Y$77=0,"N.D.",Y85/Y$77)</f>
        <v>N.D.</v>
      </c>
      <c r="AA85" s="456">
        <f t="shared" si="124"/>
        <v>2803.3906700000002</v>
      </c>
      <c r="AB85" s="415">
        <f>IF(AA$77=0,"N.D.",AA85/AA$77)</f>
        <v>0.65206705747448279</v>
      </c>
      <c r="AD85" s="456">
        <f>+ER!AE122-'ER Act'!AA85</f>
        <v>-395.77194999999983</v>
      </c>
    </row>
    <row r="86" spans="2:30" ht="13" x14ac:dyDescent="0.3">
      <c r="B86" s="137" t="s">
        <v>45</v>
      </c>
      <c r="C86" s="456">
        <v>-46.687000000000069</v>
      </c>
      <c r="D86" s="415">
        <f>IF(C$77=0,"N.D.",C86/C$77)</f>
        <v>-8.06268888697005E-2</v>
      </c>
      <c r="E86" s="456">
        <v>-6.6669999999999732</v>
      </c>
      <c r="F86" s="415">
        <f>IF(E$77=0,"N.D.",E86/E$77)</f>
        <v>-1.1458200854509847E-2</v>
      </c>
      <c r="G86" s="456">
        <v>33.201000000000079</v>
      </c>
      <c r="H86" s="415">
        <f>IF(G$77=0,"N.D.",G86/G$77)</f>
        <v>5.0684912685654733E-2</v>
      </c>
      <c r="I86" s="456">
        <v>23.59600000000006</v>
      </c>
      <c r="J86" s="415">
        <f>IF(I$77=0,"N.D.",I86/I$77)</f>
        <v>3.8590551889376899E-2</v>
      </c>
      <c r="K86" s="456">
        <v>1.5799999999999272</v>
      </c>
      <c r="L86" s="415">
        <f>IF(K$77=0,"N.D.",K86/K$77)</f>
        <v>2.4792286146916691E-3</v>
      </c>
      <c r="M86" s="456">
        <v>22.16500000000002</v>
      </c>
      <c r="N86" s="415">
        <f>IF(M$77=0,"N.D.",M86/M$77)</f>
        <v>3.5907937006802532E-2</v>
      </c>
      <c r="O86" s="456">
        <v>22.164439999999956</v>
      </c>
      <c r="P86" s="415">
        <f>IF(O$77=0,"N.D.",O86/O$77)</f>
        <v>3.5907043169910044E-2</v>
      </c>
      <c r="Q86" s="456"/>
      <c r="R86" s="415" t="str">
        <f>IF(Q$77=0,"N.D.",Q86/Q$77)</f>
        <v>N.D.</v>
      </c>
      <c r="S86" s="456"/>
      <c r="T86" s="415" t="str">
        <f>IF(S$77=0,"N.D.",S86/S$77)</f>
        <v>N.D.</v>
      </c>
      <c r="U86" s="456"/>
      <c r="V86" s="415" t="str">
        <f>IF(U$77=0,"N.D.",U86/U$77)</f>
        <v>N.D.</v>
      </c>
      <c r="W86" s="456"/>
      <c r="X86" s="415" t="str">
        <f>IF(W$77=0,"N.D.",W86/W$77)</f>
        <v>N.D.</v>
      </c>
      <c r="Y86" s="456"/>
      <c r="Z86" s="415" t="str">
        <f>IF(Y$77=0,"N.D.",Y86/Y$77)</f>
        <v>N.D.</v>
      </c>
      <c r="AA86" s="456">
        <f t="shared" si="124"/>
        <v>49.352440000000001</v>
      </c>
      <c r="AB86" s="415">
        <f>IF(AA$77=0,"N.D.",AA86/AA$77)</f>
        <v>1.1479349158990374E-2</v>
      </c>
      <c r="AD86" s="456">
        <f>+ER!AE123-'ER Act'!AA86</f>
        <v>-22.168390000000613</v>
      </c>
    </row>
    <row r="87" spans="2:30" x14ac:dyDescent="0.25">
      <c r="C87" s="457"/>
      <c r="D87" s="416"/>
      <c r="E87" s="457"/>
      <c r="F87" s="416"/>
      <c r="G87" s="457"/>
      <c r="H87" s="416"/>
      <c r="I87" s="457"/>
      <c r="J87" s="416"/>
      <c r="K87" s="457"/>
      <c r="L87" s="416"/>
      <c r="M87" s="457"/>
      <c r="N87" s="416"/>
      <c r="O87" s="457"/>
      <c r="P87" s="416"/>
      <c r="Q87" s="457"/>
      <c r="R87" s="416"/>
      <c r="S87" s="457"/>
      <c r="T87" s="416"/>
      <c r="U87" s="457"/>
      <c r="V87" s="416"/>
      <c r="W87" s="457"/>
      <c r="X87" s="416"/>
      <c r="Y87" s="457"/>
      <c r="Z87" s="416"/>
      <c r="AA87" s="457"/>
      <c r="AB87" s="416"/>
      <c r="AD87" s="458"/>
    </row>
    <row r="88" spans="2:30" x14ac:dyDescent="0.25">
      <c r="B88" s="137"/>
      <c r="C88" s="455">
        <v>0</v>
      </c>
      <c r="D88" s="417">
        <f t="shared" ref="D88:D94" si="125">IF(C$77=0,"N.D.",C88/C$77)</f>
        <v>0</v>
      </c>
      <c r="E88" s="455">
        <v>0</v>
      </c>
      <c r="F88" s="417">
        <f t="shared" ref="F88:F94" si="126">IF(E$77=0,"N.D.",E88/E$77)</f>
        <v>0</v>
      </c>
      <c r="G88" s="455">
        <v>0</v>
      </c>
      <c r="H88" s="417">
        <f t="shared" ref="H88:H94" si="127">IF(G$77=0,"N.D.",G88/G$77)</f>
        <v>0</v>
      </c>
      <c r="I88" s="455">
        <v>0</v>
      </c>
      <c r="J88" s="417">
        <f t="shared" ref="J88:J94" si="128">IF(I$77=0,"N.D.",I88/I$77)</f>
        <v>0</v>
      </c>
      <c r="K88" s="455">
        <v>0</v>
      </c>
      <c r="L88" s="417">
        <f t="shared" ref="L88:L94" si="129">IF(K$77=0,"N.D.",K88/K$77)</f>
        <v>0</v>
      </c>
      <c r="M88" s="455">
        <v>0</v>
      </c>
      <c r="N88" s="417">
        <f t="shared" ref="N88:N94" si="130">IF(M$77=0,"N.D.",M88/M$77)</f>
        <v>0</v>
      </c>
      <c r="O88" s="455">
        <v>0</v>
      </c>
      <c r="P88" s="417">
        <f t="shared" ref="P88:P94" si="131">IF(O$77=0,"N.D.",O88/O$77)</f>
        <v>0</v>
      </c>
      <c r="Q88" s="455"/>
      <c r="R88" s="417" t="str">
        <f t="shared" ref="R88:R94" si="132">IF(Q$77=0,"N.D.",Q88/Q$77)</f>
        <v>N.D.</v>
      </c>
      <c r="S88" s="455"/>
      <c r="T88" s="417" t="str">
        <f t="shared" ref="T88:T94" si="133">IF(S$77=0,"N.D.",S88/S$77)</f>
        <v>N.D.</v>
      </c>
      <c r="U88" s="455"/>
      <c r="V88" s="417" t="str">
        <f t="shared" ref="V88:V94" si="134">IF(U$77=0,"N.D.",U88/U$77)</f>
        <v>N.D.</v>
      </c>
      <c r="W88" s="455"/>
      <c r="X88" s="417" t="str">
        <f t="shared" ref="X88:X94" si="135">IF(W$77=0,"N.D.",W88/W$77)</f>
        <v>N.D.</v>
      </c>
      <c r="Y88" s="455"/>
      <c r="Z88" s="417" t="str">
        <f t="shared" ref="Z88:Z94" si="136">IF(Y$77=0,"N.D.",Y88/Y$77)</f>
        <v>N.D.</v>
      </c>
      <c r="AA88" s="455">
        <f t="shared" si="124"/>
        <v>0</v>
      </c>
      <c r="AB88" s="417">
        <f t="shared" ref="AB88:AB94" si="137">IF(AA$77=0,"N.D.",AA88/AA$77)</f>
        <v>0</v>
      </c>
      <c r="AD88" s="455">
        <f>+ER!AE125-'ER Act'!AA88</f>
        <v>0</v>
      </c>
    </row>
    <row r="89" spans="2:30" x14ac:dyDescent="0.25">
      <c r="B89" s="137" t="s">
        <v>52</v>
      </c>
      <c r="C89" s="454">
        <v>-2.0510000000000002</v>
      </c>
      <c r="D89" s="414">
        <f t="shared" si="125"/>
        <v>-3.5420084621362582E-3</v>
      </c>
      <c r="E89" s="454">
        <v>-2.4689999999999999</v>
      </c>
      <c r="F89" s="414">
        <f t="shared" si="126"/>
        <v>-4.2433325198417467E-3</v>
      </c>
      <c r="G89" s="454">
        <v>-2.5819999999999999</v>
      </c>
      <c r="H89" s="414">
        <f t="shared" si="127"/>
        <v>-3.9417018931465981E-3</v>
      </c>
      <c r="I89" s="454">
        <v>-2.79</v>
      </c>
      <c r="J89" s="414">
        <f t="shared" si="128"/>
        <v>-4.5629615092117846E-3</v>
      </c>
      <c r="K89" s="454">
        <v>-5.6379999999999999</v>
      </c>
      <c r="L89" s="414">
        <f t="shared" si="129"/>
        <v>-8.8467664111596678E-3</v>
      </c>
      <c r="M89" s="454">
        <v>-2.7490000000000001</v>
      </c>
      <c r="N89" s="414">
        <f t="shared" si="130"/>
        <v>-4.4534590043627375E-3</v>
      </c>
      <c r="O89" s="454">
        <v>-2.7489400000000002</v>
      </c>
      <c r="P89" s="414">
        <f t="shared" si="131"/>
        <v>-4.4533634619910419E-3</v>
      </c>
      <c r="Q89" s="454"/>
      <c r="R89" s="414" t="str">
        <f t="shared" si="132"/>
        <v>N.D.</v>
      </c>
      <c r="S89" s="454"/>
      <c r="T89" s="414" t="str">
        <f t="shared" si="133"/>
        <v>N.D.</v>
      </c>
      <c r="U89" s="454"/>
      <c r="V89" s="414" t="str">
        <f t="shared" si="134"/>
        <v>N.D.</v>
      </c>
      <c r="W89" s="454"/>
      <c r="X89" s="414" t="str">
        <f t="shared" si="135"/>
        <v>N.D.</v>
      </c>
      <c r="Y89" s="454"/>
      <c r="Z89" s="414" t="str">
        <f t="shared" si="136"/>
        <v>N.D.</v>
      </c>
      <c r="AA89" s="454">
        <f t="shared" si="124"/>
        <v>-21.027940000000001</v>
      </c>
      <c r="AB89" s="414">
        <f t="shared" si="137"/>
        <v>-4.8910867498000114E-3</v>
      </c>
      <c r="AD89" s="454">
        <f>+ER!AE126-'ER Act'!AA89</f>
        <v>2.7490000000000023</v>
      </c>
    </row>
    <row r="90" spans="2:30" x14ac:dyDescent="0.25">
      <c r="B90" s="137" t="s">
        <v>46</v>
      </c>
      <c r="C90" s="454">
        <v>20.51</v>
      </c>
      <c r="D90" s="414">
        <f t="shared" si="125"/>
        <v>3.5420084621362584E-2</v>
      </c>
      <c r="E90" s="454">
        <v>19.556000000000001</v>
      </c>
      <c r="F90" s="414">
        <f t="shared" si="126"/>
        <v>3.3609805896324507E-2</v>
      </c>
      <c r="G90" s="454">
        <v>18.914999999999999</v>
      </c>
      <c r="H90" s="414">
        <f t="shared" si="127"/>
        <v>2.8875790592125448E-2</v>
      </c>
      <c r="I90" s="454">
        <v>20.21</v>
      </c>
      <c r="J90" s="414">
        <f t="shared" si="128"/>
        <v>3.3052850215473183E-2</v>
      </c>
      <c r="K90" s="454">
        <v>19.109000000000002</v>
      </c>
      <c r="L90" s="414">
        <f t="shared" si="129"/>
        <v>2.9984544049459046E-2</v>
      </c>
      <c r="M90" s="454">
        <v>18.224</v>
      </c>
      <c r="N90" s="414">
        <f t="shared" si="130"/>
        <v>2.952340374518244E-2</v>
      </c>
      <c r="O90" s="454">
        <v>18.223929999999999</v>
      </c>
      <c r="P90" s="414">
        <f t="shared" si="131"/>
        <v>2.9523301343747917E-2</v>
      </c>
      <c r="Q90" s="454"/>
      <c r="R90" s="414" t="str">
        <f t="shared" si="132"/>
        <v>N.D.</v>
      </c>
      <c r="S90" s="454"/>
      <c r="T90" s="414" t="str">
        <f t="shared" si="133"/>
        <v>N.D.</v>
      </c>
      <c r="U90" s="454"/>
      <c r="V90" s="414" t="str">
        <f t="shared" si="134"/>
        <v>N.D.</v>
      </c>
      <c r="W90" s="454"/>
      <c r="X90" s="414" t="str">
        <f t="shared" si="135"/>
        <v>N.D.</v>
      </c>
      <c r="Y90" s="454"/>
      <c r="Z90" s="414" t="str">
        <f t="shared" si="136"/>
        <v>N.D.</v>
      </c>
      <c r="AA90" s="454">
        <f t="shared" si="124"/>
        <v>134.74793</v>
      </c>
      <c r="AB90" s="414">
        <f t="shared" si="137"/>
        <v>3.134229101785431E-2</v>
      </c>
      <c r="AD90" s="454">
        <f>+ER!AE127-'ER Act'!AA90</f>
        <v>-18.224099999999993</v>
      </c>
    </row>
    <row r="91" spans="2:30" x14ac:dyDescent="0.25">
      <c r="B91" s="137" t="s">
        <v>47</v>
      </c>
      <c r="C91" s="454">
        <v>0</v>
      </c>
      <c r="D91" s="414">
        <f t="shared" si="125"/>
        <v>0</v>
      </c>
      <c r="E91" s="454">
        <v>0</v>
      </c>
      <c r="F91" s="414">
        <f t="shared" si="126"/>
        <v>0</v>
      </c>
      <c r="G91" s="454">
        <v>0</v>
      </c>
      <c r="H91" s="414">
        <f t="shared" si="127"/>
        <v>0</v>
      </c>
      <c r="I91" s="454">
        <v>0</v>
      </c>
      <c r="J91" s="414">
        <f t="shared" si="128"/>
        <v>0</v>
      </c>
      <c r="K91" s="454">
        <v>0</v>
      </c>
      <c r="L91" s="414">
        <f t="shared" si="129"/>
        <v>0</v>
      </c>
      <c r="M91" s="454">
        <v>-30</v>
      </c>
      <c r="N91" s="414">
        <f t="shared" si="130"/>
        <v>-4.860086217929506E-2</v>
      </c>
      <c r="O91" s="454">
        <v>-30</v>
      </c>
      <c r="P91" s="414">
        <f t="shared" si="131"/>
        <v>-4.860088028830431E-2</v>
      </c>
      <c r="Q91" s="454"/>
      <c r="R91" s="414" t="str">
        <f t="shared" si="132"/>
        <v>N.D.</v>
      </c>
      <c r="S91" s="454"/>
      <c r="T91" s="414" t="str">
        <f t="shared" si="133"/>
        <v>N.D.</v>
      </c>
      <c r="U91" s="454"/>
      <c r="V91" s="414" t="str">
        <f t="shared" si="134"/>
        <v>N.D.</v>
      </c>
      <c r="W91" s="454"/>
      <c r="X91" s="414" t="str">
        <f t="shared" si="135"/>
        <v>N.D.</v>
      </c>
      <c r="Y91" s="454"/>
      <c r="Z91" s="414" t="str">
        <f t="shared" si="136"/>
        <v>N.D.</v>
      </c>
      <c r="AA91" s="454">
        <f t="shared" si="124"/>
        <v>-60</v>
      </c>
      <c r="AB91" s="414">
        <f t="shared" si="137"/>
        <v>-1.3955965491056217E-2</v>
      </c>
      <c r="AD91" s="454">
        <f>+ER!AE128-'ER Act'!AA91</f>
        <v>60</v>
      </c>
    </row>
    <row r="92" spans="2:30" x14ac:dyDescent="0.25">
      <c r="C92" s="454"/>
      <c r="D92" s="414">
        <f t="shared" si="125"/>
        <v>0</v>
      </c>
      <c r="E92" s="454"/>
      <c r="F92" s="414">
        <f t="shared" si="126"/>
        <v>0</v>
      </c>
      <c r="G92" s="454"/>
      <c r="H92" s="414">
        <f t="shared" si="127"/>
        <v>0</v>
      </c>
      <c r="I92" s="454"/>
      <c r="J92" s="414">
        <f t="shared" si="128"/>
        <v>0</v>
      </c>
      <c r="K92" s="454"/>
      <c r="L92" s="414">
        <f t="shared" si="129"/>
        <v>0</v>
      </c>
      <c r="M92" s="454"/>
      <c r="N92" s="414">
        <f t="shared" si="130"/>
        <v>0</v>
      </c>
      <c r="O92" s="454"/>
      <c r="P92" s="414">
        <f t="shared" si="131"/>
        <v>0</v>
      </c>
      <c r="Q92" s="454"/>
      <c r="R92" s="414" t="str">
        <f t="shared" si="132"/>
        <v>N.D.</v>
      </c>
      <c r="S92" s="454"/>
      <c r="T92" s="414" t="str">
        <f t="shared" si="133"/>
        <v>N.D.</v>
      </c>
      <c r="U92" s="454"/>
      <c r="V92" s="414" t="str">
        <f t="shared" si="134"/>
        <v>N.D.</v>
      </c>
      <c r="W92" s="454"/>
      <c r="X92" s="414" t="str">
        <f t="shared" si="135"/>
        <v>N.D.</v>
      </c>
      <c r="Y92" s="454"/>
      <c r="Z92" s="414" t="str">
        <f t="shared" si="136"/>
        <v>N.D.</v>
      </c>
      <c r="AA92" s="454">
        <f t="shared" si="124"/>
        <v>0</v>
      </c>
      <c r="AB92" s="414">
        <f t="shared" si="137"/>
        <v>0</v>
      </c>
      <c r="AD92" s="454">
        <f>+ER!AE129-'ER Act'!AA92</f>
        <v>0</v>
      </c>
    </row>
    <row r="93" spans="2:30" ht="13" x14ac:dyDescent="0.3">
      <c r="B93" s="137" t="s">
        <v>48</v>
      </c>
      <c r="C93" s="456">
        <v>18.459000000000003</v>
      </c>
      <c r="D93" s="415">
        <f t="shared" si="125"/>
        <v>3.1878076159226325E-2</v>
      </c>
      <c r="E93" s="456">
        <v>17.087</v>
      </c>
      <c r="F93" s="415">
        <f t="shared" si="126"/>
        <v>2.9366473376482759E-2</v>
      </c>
      <c r="G93" s="456">
        <v>16.332999999999998</v>
      </c>
      <c r="H93" s="415">
        <f t="shared" si="127"/>
        <v>2.4934088698978847E-2</v>
      </c>
      <c r="I93" s="456">
        <v>17.420000000000002</v>
      </c>
      <c r="J93" s="415">
        <f t="shared" si="128"/>
        <v>2.8489888706261398E-2</v>
      </c>
      <c r="K93" s="456">
        <v>13.471000000000002</v>
      </c>
      <c r="L93" s="415">
        <f t="shared" si="129"/>
        <v>2.1137777638299379E-2</v>
      </c>
      <c r="M93" s="456">
        <v>15.475</v>
      </c>
      <c r="N93" s="415">
        <f t="shared" si="130"/>
        <v>2.5069944740819701E-2</v>
      </c>
      <c r="O93" s="456">
        <v>15.474989999999998</v>
      </c>
      <c r="P93" s="415">
        <f t="shared" si="131"/>
        <v>2.5069937881756873E-2</v>
      </c>
      <c r="Q93" s="456"/>
      <c r="R93" s="415" t="str">
        <f t="shared" si="132"/>
        <v>N.D.</v>
      </c>
      <c r="S93" s="456"/>
      <c r="T93" s="415" t="str">
        <f t="shared" si="133"/>
        <v>N.D.</v>
      </c>
      <c r="U93" s="456"/>
      <c r="V93" s="415" t="str">
        <f t="shared" si="134"/>
        <v>N.D.</v>
      </c>
      <c r="W93" s="456"/>
      <c r="X93" s="415" t="str">
        <f t="shared" si="135"/>
        <v>N.D.</v>
      </c>
      <c r="Y93" s="456"/>
      <c r="Z93" s="415" t="str">
        <f t="shared" si="136"/>
        <v>N.D.</v>
      </c>
      <c r="AA93" s="456">
        <f t="shared" si="124"/>
        <v>113.71999000000001</v>
      </c>
      <c r="AB93" s="415">
        <f t="shared" si="137"/>
        <v>2.6451204268054303E-2</v>
      </c>
      <c r="AD93" s="456">
        <f>+ER!AE130-'ER Act'!AA93</f>
        <v>-15.475100000000012</v>
      </c>
    </row>
    <row r="94" spans="2:30" ht="13" x14ac:dyDescent="0.3">
      <c r="B94" s="137" t="s">
        <v>49</v>
      </c>
      <c r="C94" s="456">
        <v>-65.146000000000072</v>
      </c>
      <c r="D94" s="415">
        <f t="shared" si="125"/>
        <v>-0.11250496502892682</v>
      </c>
      <c r="E94" s="456">
        <v>-23.753999999999973</v>
      </c>
      <c r="F94" s="415">
        <f t="shared" si="126"/>
        <v>-4.0824674230992605E-2</v>
      </c>
      <c r="G94" s="456">
        <v>16.86800000000008</v>
      </c>
      <c r="H94" s="415">
        <f t="shared" si="127"/>
        <v>2.5750823986675886E-2</v>
      </c>
      <c r="I94" s="456">
        <v>6.1760000000000588</v>
      </c>
      <c r="J94" s="415">
        <f t="shared" si="128"/>
        <v>1.0100663183115503E-2</v>
      </c>
      <c r="K94" s="456">
        <v>-11.891000000000075</v>
      </c>
      <c r="L94" s="415">
        <f t="shared" si="129"/>
        <v>-1.865854902360771E-2</v>
      </c>
      <c r="M94" s="456">
        <v>6.6900000000000208</v>
      </c>
      <c r="N94" s="415">
        <f t="shared" si="130"/>
        <v>1.0837992265982832E-2</v>
      </c>
      <c r="O94" s="456">
        <v>6.6894499999999582</v>
      </c>
      <c r="P94" s="415">
        <f t="shared" si="131"/>
        <v>1.0837105288153175E-2</v>
      </c>
      <c r="Q94" s="456"/>
      <c r="R94" s="415" t="str">
        <f t="shared" si="132"/>
        <v>N.D.</v>
      </c>
      <c r="S94" s="456"/>
      <c r="T94" s="415" t="str">
        <f t="shared" si="133"/>
        <v>N.D.</v>
      </c>
      <c r="U94" s="456"/>
      <c r="V94" s="415" t="str">
        <f t="shared" si="134"/>
        <v>N.D.</v>
      </c>
      <c r="W94" s="456"/>
      <c r="X94" s="415" t="str">
        <f t="shared" si="135"/>
        <v>N.D.</v>
      </c>
      <c r="Y94" s="456"/>
      <c r="Z94" s="415" t="str">
        <f t="shared" si="136"/>
        <v>N.D.</v>
      </c>
      <c r="AA94" s="456">
        <f t="shared" si="124"/>
        <v>-64.367549999999994</v>
      </c>
      <c r="AB94" s="415">
        <f t="shared" si="137"/>
        <v>-1.4971855109063925E-2</v>
      </c>
      <c r="AD94" s="456">
        <f>+ER!AE131-'ER Act'!AA94</f>
        <v>-6.6932900000006157</v>
      </c>
    </row>
    <row r="95" spans="2:30" x14ac:dyDescent="0.25">
      <c r="C95" s="457"/>
      <c r="D95" s="416"/>
      <c r="E95" s="457"/>
      <c r="F95" s="416"/>
      <c r="G95" s="457"/>
      <c r="H95" s="416"/>
      <c r="I95" s="457"/>
      <c r="J95" s="416"/>
      <c r="K95" s="457"/>
      <c r="L95" s="416"/>
      <c r="M95" s="457"/>
      <c r="N95" s="416"/>
      <c r="O95" s="457"/>
      <c r="P95" s="416"/>
      <c r="Q95" s="457"/>
      <c r="R95" s="416"/>
      <c r="S95" s="457"/>
      <c r="T95" s="416"/>
      <c r="U95" s="457"/>
      <c r="V95" s="416"/>
      <c r="W95" s="457"/>
      <c r="X95" s="416"/>
      <c r="Y95" s="457"/>
      <c r="Z95" s="416"/>
      <c r="AA95" s="457"/>
      <c r="AB95" s="416"/>
      <c r="AD95" s="457"/>
    </row>
    <row r="96" spans="2:30" x14ac:dyDescent="0.25">
      <c r="B96" s="137" t="s">
        <v>50</v>
      </c>
      <c r="C96" s="455">
        <v>0</v>
      </c>
      <c r="D96" s="417">
        <f>IF(C$77=0,"N.D.",C96/C$77)</f>
        <v>0</v>
      </c>
      <c r="E96" s="455">
        <v>0</v>
      </c>
      <c r="F96" s="417">
        <f>IF(E$77=0,"N.D.",E96/E$77)</f>
        <v>0</v>
      </c>
      <c r="G96" s="455">
        <v>0</v>
      </c>
      <c r="H96" s="417">
        <f t="shared" ref="H96:H105" si="138">IF(G$77=0,"N.D.",G96/G$77)</f>
        <v>0</v>
      </c>
      <c r="I96" s="455">
        <v>0</v>
      </c>
      <c r="J96" s="417">
        <f t="shared" ref="J96:J105" si="139">IF(I$77=0,"N.D.",I96/I$77)</f>
        <v>0</v>
      </c>
      <c r="K96" s="455">
        <v>0</v>
      </c>
      <c r="L96" s="417">
        <f t="shared" ref="L96:L105" si="140">IF(K$77=0,"N.D.",K96/K$77)</f>
        <v>0</v>
      </c>
      <c r="M96" s="455">
        <v>0</v>
      </c>
      <c r="N96" s="417">
        <f t="shared" ref="N96:N105" si="141">IF(M$77=0,"N.D.",M96/M$77)</f>
        <v>0</v>
      </c>
      <c r="O96" s="455">
        <v>0</v>
      </c>
      <c r="P96" s="417">
        <f t="shared" ref="P96:P105" si="142">IF(O$77=0,"N.D.",O96/O$77)</f>
        <v>0</v>
      </c>
      <c r="Q96" s="455"/>
      <c r="R96" s="417" t="str">
        <f t="shared" ref="R96:R105" si="143">IF(Q$77=0,"N.D.",Q96/Q$77)</f>
        <v>N.D.</v>
      </c>
      <c r="S96" s="455"/>
      <c r="T96" s="417" t="str">
        <f t="shared" ref="T96:T105" si="144">IF(S$77=0,"N.D.",S96/S$77)</f>
        <v>N.D.</v>
      </c>
      <c r="U96" s="455"/>
      <c r="V96" s="417" t="str">
        <f t="shared" ref="V96:V105" si="145">IF(U$77=0,"N.D.",U96/U$77)</f>
        <v>N.D.</v>
      </c>
      <c r="W96" s="455"/>
      <c r="X96" s="417" t="str">
        <f t="shared" ref="X96:X105" si="146">IF(W$77=0,"N.D.",W96/W$77)</f>
        <v>N.D.</v>
      </c>
      <c r="Y96" s="455"/>
      <c r="Z96" s="417" t="str">
        <f t="shared" ref="Z96:Z105" si="147">IF(Y$77=0,"N.D.",Y96/Y$77)</f>
        <v>N.D.</v>
      </c>
      <c r="AA96" s="455">
        <f t="shared" si="124"/>
        <v>0</v>
      </c>
      <c r="AB96" s="417">
        <f t="shared" ref="AB96:AB105" si="148">IF(AA$77=0,"N.D.",AA96/AA$77)</f>
        <v>0</v>
      </c>
      <c r="AD96" s="455">
        <f>+ER!AE133-'ER Act'!AA96</f>
        <v>0</v>
      </c>
    </row>
    <row r="97" spans="2:30" x14ac:dyDescent="0.25">
      <c r="B97" s="137" t="s">
        <v>51</v>
      </c>
      <c r="C97" s="454">
        <v>0</v>
      </c>
      <c r="D97" s="414">
        <f>IF(C$77=0,"N.D.",C97/C$77)</f>
        <v>0</v>
      </c>
      <c r="E97" s="454">
        <v>0</v>
      </c>
      <c r="F97" s="414">
        <f>IF(E$77=0,"N.D.",E97/E$77)</f>
        <v>0</v>
      </c>
      <c r="G97" s="454">
        <v>0</v>
      </c>
      <c r="H97" s="414">
        <f t="shared" si="138"/>
        <v>0</v>
      </c>
      <c r="I97" s="454">
        <v>0</v>
      </c>
      <c r="J97" s="414">
        <f t="shared" si="139"/>
        <v>0</v>
      </c>
      <c r="K97" s="454">
        <v>0</v>
      </c>
      <c r="L97" s="414">
        <f t="shared" si="140"/>
        <v>0</v>
      </c>
      <c r="M97" s="454">
        <v>0</v>
      </c>
      <c r="N97" s="414">
        <f t="shared" si="141"/>
        <v>0</v>
      </c>
      <c r="O97" s="454">
        <v>0</v>
      </c>
      <c r="P97" s="414">
        <f t="shared" si="142"/>
        <v>0</v>
      </c>
      <c r="Q97" s="454"/>
      <c r="R97" s="414" t="str">
        <f t="shared" si="143"/>
        <v>N.D.</v>
      </c>
      <c r="S97" s="454"/>
      <c r="T97" s="414" t="str">
        <f t="shared" si="144"/>
        <v>N.D.</v>
      </c>
      <c r="U97" s="454"/>
      <c r="V97" s="414" t="str">
        <f t="shared" si="145"/>
        <v>N.D.</v>
      </c>
      <c r="W97" s="454"/>
      <c r="X97" s="414" t="str">
        <f t="shared" si="146"/>
        <v>N.D.</v>
      </c>
      <c r="Y97" s="454"/>
      <c r="Z97" s="414" t="str">
        <f t="shared" si="147"/>
        <v>N.D.</v>
      </c>
      <c r="AA97" s="454">
        <f t="shared" si="124"/>
        <v>0</v>
      </c>
      <c r="AB97" s="414">
        <f t="shared" si="148"/>
        <v>0</v>
      </c>
      <c r="AD97" s="454">
        <f>+ER!AE134-'ER Act'!AA97</f>
        <v>0</v>
      </c>
    </row>
    <row r="98" spans="2:30" ht="13" x14ac:dyDescent="0.3">
      <c r="B98" s="137" t="s">
        <v>53</v>
      </c>
      <c r="C98" s="456">
        <v>-65.146000000000072</v>
      </c>
      <c r="D98" s="415">
        <f>IF(C$77=0,"N.D.",C98/C$77)</f>
        <v>-0.11250496502892682</v>
      </c>
      <c r="E98" s="456">
        <v>-23.753999999999973</v>
      </c>
      <c r="F98" s="415">
        <f>IF(E$77=0,"N.D.",E98/E$77)</f>
        <v>-4.0824674230992605E-2</v>
      </c>
      <c r="G98" s="456">
        <v>16.86800000000008</v>
      </c>
      <c r="H98" s="415">
        <f t="shared" si="138"/>
        <v>2.5750823986675886E-2</v>
      </c>
      <c r="I98" s="456">
        <v>6.1760000000000588</v>
      </c>
      <c r="J98" s="415">
        <f t="shared" si="139"/>
        <v>1.0100663183115503E-2</v>
      </c>
      <c r="K98" s="456">
        <v>-11.891000000000075</v>
      </c>
      <c r="L98" s="415">
        <f t="shared" si="140"/>
        <v>-1.865854902360771E-2</v>
      </c>
      <c r="M98" s="456">
        <v>6.6900000000000208</v>
      </c>
      <c r="N98" s="415">
        <f t="shared" si="141"/>
        <v>1.0837992265982832E-2</v>
      </c>
      <c r="O98" s="456">
        <v>6.6894499999999582</v>
      </c>
      <c r="P98" s="415">
        <f t="shared" si="142"/>
        <v>1.0837105288153175E-2</v>
      </c>
      <c r="Q98" s="456"/>
      <c r="R98" s="415" t="str">
        <f t="shared" si="143"/>
        <v>N.D.</v>
      </c>
      <c r="S98" s="456"/>
      <c r="T98" s="415" t="str">
        <f t="shared" si="144"/>
        <v>N.D.</v>
      </c>
      <c r="U98" s="456"/>
      <c r="V98" s="415" t="str">
        <f t="shared" si="145"/>
        <v>N.D.</v>
      </c>
      <c r="W98" s="456"/>
      <c r="X98" s="415" t="str">
        <f t="shared" si="146"/>
        <v>N.D.</v>
      </c>
      <c r="Y98" s="456"/>
      <c r="Z98" s="415" t="str">
        <f t="shared" si="147"/>
        <v>N.D.</v>
      </c>
      <c r="AA98" s="456">
        <f t="shared" si="124"/>
        <v>-64.367549999999994</v>
      </c>
      <c r="AB98" s="415">
        <f t="shared" si="148"/>
        <v>-1.4971855109063925E-2</v>
      </c>
      <c r="AD98" s="456">
        <f>+ER!AE135-'ER Act'!AA98</f>
        <v>-6.6932900000006157</v>
      </c>
    </row>
    <row r="99" spans="2:30" ht="13" x14ac:dyDescent="0.3">
      <c r="B99" s="131" t="s">
        <v>3</v>
      </c>
      <c r="C99" s="456">
        <v>-43.849000000000068</v>
      </c>
      <c r="D99" s="415">
        <f>IF(C$77=0,"N.D.",C99/C$77)</f>
        <v>-7.5725757706588501E-2</v>
      </c>
      <c r="E99" s="456">
        <v>-3.8289999999999731</v>
      </c>
      <c r="F99" s="415">
        <f>IF(E$77=0,"N.D.",E99/E$77)</f>
        <v>-6.5806886263563933E-3</v>
      </c>
      <c r="G99" s="456">
        <v>36.03900000000008</v>
      </c>
      <c r="H99" s="415">
        <f t="shared" si="138"/>
        <v>5.5017426230484341E-2</v>
      </c>
      <c r="I99" s="456">
        <v>26.434000000000061</v>
      </c>
      <c r="J99" s="415">
        <f t="shared" si="139"/>
        <v>4.3232015962188029E-2</v>
      </c>
      <c r="K99" s="456">
        <v>4.4179999999999273</v>
      </c>
      <c r="L99" s="415">
        <f t="shared" si="140"/>
        <v>6.9324253289291893E-3</v>
      </c>
      <c r="M99" s="456">
        <v>25.254000000000019</v>
      </c>
      <c r="N99" s="415">
        <f t="shared" si="141"/>
        <v>4.091220578253061E-2</v>
      </c>
      <c r="O99" s="456">
        <v>25.253749999999958</v>
      </c>
      <c r="P99" s="415">
        <f t="shared" si="142"/>
        <v>4.0911816019358761E-2</v>
      </c>
      <c r="Q99" s="456"/>
      <c r="R99" s="415" t="str">
        <f t="shared" si="143"/>
        <v>N.D.</v>
      </c>
      <c r="S99" s="456"/>
      <c r="T99" s="415" t="str">
        <f t="shared" si="144"/>
        <v>N.D.</v>
      </c>
      <c r="U99" s="456"/>
      <c r="V99" s="415" t="str">
        <f t="shared" si="145"/>
        <v>N.D.</v>
      </c>
      <c r="W99" s="456"/>
      <c r="X99" s="415" t="str">
        <f t="shared" si="146"/>
        <v>N.D.</v>
      </c>
      <c r="Y99" s="456"/>
      <c r="Z99" s="415" t="str">
        <f t="shared" si="147"/>
        <v>N.D.</v>
      </c>
      <c r="AA99" s="456">
        <f t="shared" si="124"/>
        <v>69.720749999999981</v>
      </c>
      <c r="AB99" s="415">
        <f t="shared" si="148"/>
        <v>1.6217006350175957E-2</v>
      </c>
      <c r="AD99" s="459">
        <f>+ER!AE136-'ER Act'!AA99</f>
        <v>-25.256340000000591</v>
      </c>
    </row>
    <row r="100" spans="2:30" ht="13" x14ac:dyDescent="0.3">
      <c r="B100" s="1" t="s">
        <v>194</v>
      </c>
      <c r="C100" s="373">
        <v>0</v>
      </c>
      <c r="D100" s="407">
        <f t="shared" ref="D100:F105" si="149">IF(C$77=0,"N.D.",C100/C$77)</f>
        <v>0</v>
      </c>
      <c r="E100" s="373">
        <v>0</v>
      </c>
      <c r="F100" s="407">
        <f t="shared" si="149"/>
        <v>0</v>
      </c>
      <c r="G100" s="373">
        <v>0</v>
      </c>
      <c r="H100" s="407">
        <f t="shared" si="138"/>
        <v>0</v>
      </c>
      <c r="I100" s="373">
        <v>0</v>
      </c>
      <c r="J100" s="407">
        <f t="shared" si="139"/>
        <v>0</v>
      </c>
      <c r="K100" s="373">
        <v>0</v>
      </c>
      <c r="L100" s="407">
        <f t="shared" si="140"/>
        <v>0</v>
      </c>
      <c r="M100" s="373">
        <v>0</v>
      </c>
      <c r="N100" s="407">
        <f t="shared" si="141"/>
        <v>0</v>
      </c>
      <c r="O100" s="373">
        <v>0</v>
      </c>
      <c r="P100" s="407">
        <f t="shared" si="142"/>
        <v>0</v>
      </c>
      <c r="Q100" s="373"/>
      <c r="R100" s="407" t="str">
        <f t="shared" si="143"/>
        <v>N.D.</v>
      </c>
      <c r="S100" s="373"/>
      <c r="T100" s="407" t="str">
        <f t="shared" si="144"/>
        <v>N.D.</v>
      </c>
      <c r="U100" s="373"/>
      <c r="V100" s="407" t="str">
        <f t="shared" si="145"/>
        <v>N.D.</v>
      </c>
      <c r="W100" s="373"/>
      <c r="X100" s="407" t="str">
        <f t="shared" si="146"/>
        <v>N.D.</v>
      </c>
      <c r="Y100" s="373"/>
      <c r="Z100" s="407" t="str">
        <f t="shared" si="147"/>
        <v>N.D.</v>
      </c>
      <c r="AA100" s="373">
        <f t="shared" si="124"/>
        <v>0</v>
      </c>
      <c r="AB100" s="407">
        <f t="shared" si="148"/>
        <v>0</v>
      </c>
      <c r="AD100" s="418">
        <f>+ER!AE137-'ER Act'!AA100</f>
        <v>0</v>
      </c>
    </row>
    <row r="101" spans="2:30" ht="13" x14ac:dyDescent="0.3">
      <c r="B101" s="1" t="s">
        <v>123</v>
      </c>
      <c r="C101" s="408"/>
      <c r="D101" s="409">
        <f t="shared" si="149"/>
        <v>0</v>
      </c>
      <c r="E101" s="408"/>
      <c r="F101" s="409">
        <f t="shared" si="149"/>
        <v>0</v>
      </c>
      <c r="G101" s="408"/>
      <c r="H101" s="409">
        <f t="shared" si="138"/>
        <v>0</v>
      </c>
      <c r="I101" s="408"/>
      <c r="J101" s="409">
        <f t="shared" si="139"/>
        <v>0</v>
      </c>
      <c r="K101" s="408"/>
      <c r="L101" s="409">
        <f t="shared" si="140"/>
        <v>0</v>
      </c>
      <c r="M101" s="408"/>
      <c r="N101" s="409">
        <f t="shared" si="141"/>
        <v>0</v>
      </c>
      <c r="O101" s="408"/>
      <c r="P101" s="409">
        <f t="shared" si="142"/>
        <v>0</v>
      </c>
      <c r="Q101" s="408"/>
      <c r="R101" s="409" t="str">
        <f t="shared" si="143"/>
        <v>N.D.</v>
      </c>
      <c r="S101" s="408"/>
      <c r="T101" s="409" t="str">
        <f t="shared" si="144"/>
        <v>N.D.</v>
      </c>
      <c r="U101" s="408"/>
      <c r="V101" s="409" t="str">
        <f t="shared" si="145"/>
        <v>N.D.</v>
      </c>
      <c r="W101" s="408"/>
      <c r="X101" s="409" t="str">
        <f t="shared" si="146"/>
        <v>N.D.</v>
      </c>
      <c r="Y101" s="408"/>
      <c r="Z101" s="409" t="str">
        <f t="shared" si="147"/>
        <v>N.D.</v>
      </c>
      <c r="AA101" s="408">
        <f t="shared" si="124"/>
        <v>0</v>
      </c>
      <c r="AB101" s="409">
        <f t="shared" si="148"/>
        <v>0</v>
      </c>
      <c r="AD101" s="460">
        <f>+ER!AE138-'ER Act'!AA101</f>
        <v>0</v>
      </c>
    </row>
    <row r="102" spans="2:30" ht="13" x14ac:dyDescent="0.3">
      <c r="B102" s="7" t="s">
        <v>190</v>
      </c>
      <c r="C102" s="410">
        <v>-62.308000000000071</v>
      </c>
      <c r="D102" s="409">
        <f t="shared" si="149"/>
        <v>-0.10760383386581483</v>
      </c>
      <c r="E102" s="410">
        <v>-20.915999999999972</v>
      </c>
      <c r="F102" s="409">
        <f t="shared" si="149"/>
        <v>-3.594716200283915E-2</v>
      </c>
      <c r="G102" s="410">
        <v>19.706000000000081</v>
      </c>
      <c r="H102" s="409">
        <f t="shared" si="138"/>
        <v>3.0083337531505494E-2</v>
      </c>
      <c r="I102" s="410">
        <v>9.0140000000000597</v>
      </c>
      <c r="J102" s="409">
        <f t="shared" si="139"/>
        <v>1.4742127255926631E-2</v>
      </c>
      <c r="K102" s="410">
        <v>-9.0530000000000754</v>
      </c>
      <c r="L102" s="409">
        <f t="shared" si="140"/>
        <v>-1.4205352309370192E-2</v>
      </c>
      <c r="M102" s="410">
        <v>9.7790000000000212</v>
      </c>
      <c r="N102" s="409">
        <f t="shared" si="141"/>
        <v>1.5842261041710912E-2</v>
      </c>
      <c r="O102" s="410">
        <v>9.7787599999999575</v>
      </c>
      <c r="P102" s="409">
        <f t="shared" si="142"/>
        <v>1.5841878137601885E-2</v>
      </c>
      <c r="Q102" s="410"/>
      <c r="R102" s="409" t="str">
        <f t="shared" si="143"/>
        <v>N.D.</v>
      </c>
      <c r="S102" s="410"/>
      <c r="T102" s="409" t="str">
        <f t="shared" si="144"/>
        <v>N.D.</v>
      </c>
      <c r="U102" s="410"/>
      <c r="V102" s="409" t="str">
        <f t="shared" si="145"/>
        <v>N.D.</v>
      </c>
      <c r="W102" s="410"/>
      <c r="X102" s="409" t="str">
        <f t="shared" si="146"/>
        <v>N.D.</v>
      </c>
      <c r="Y102" s="410"/>
      <c r="Z102" s="409" t="str">
        <f t="shared" si="147"/>
        <v>N.D.</v>
      </c>
      <c r="AA102" s="410">
        <f t="shared" si="124"/>
        <v>-43.99924</v>
      </c>
      <c r="AB102" s="409">
        <f t="shared" si="148"/>
        <v>-1.023419791787834E-2</v>
      </c>
      <c r="AD102" s="410">
        <f>+ER!AE139-'ER Act'!AA102</f>
        <v>-9.7812400000006079</v>
      </c>
    </row>
    <row r="103" spans="2:30" ht="13" x14ac:dyDescent="0.3">
      <c r="B103" s="7" t="s">
        <v>191</v>
      </c>
      <c r="C103" s="381">
        <v>13.6</v>
      </c>
      <c r="D103" s="411">
        <f t="shared" si="149"/>
        <v>2.3486745531473969E-2</v>
      </c>
      <c r="E103" s="381">
        <v>14.4443</v>
      </c>
      <c r="F103" s="411">
        <f t="shared" si="149"/>
        <v>2.4824612359801598E-2</v>
      </c>
      <c r="G103" s="381">
        <v>15.08464</v>
      </c>
      <c r="H103" s="411">
        <f t="shared" si="138"/>
        <v>2.3028332318139003E-2</v>
      </c>
      <c r="I103" s="381">
        <v>13.790389999999999</v>
      </c>
      <c r="J103" s="411">
        <f t="shared" si="139"/>
        <v>2.2553770167390359E-2</v>
      </c>
      <c r="K103" s="381">
        <v>13</v>
      </c>
      <c r="L103" s="411">
        <f t="shared" si="140"/>
        <v>2.0398716449995687E-2</v>
      </c>
      <c r="M103" s="381">
        <v>0</v>
      </c>
      <c r="N103" s="411">
        <f t="shared" si="141"/>
        <v>0</v>
      </c>
      <c r="O103" s="381">
        <v>0</v>
      </c>
      <c r="P103" s="411">
        <f t="shared" si="142"/>
        <v>0</v>
      </c>
      <c r="Q103" s="381"/>
      <c r="R103" s="411" t="str">
        <f t="shared" si="143"/>
        <v>N.D.</v>
      </c>
      <c r="S103" s="381"/>
      <c r="T103" s="411" t="str">
        <f t="shared" si="144"/>
        <v>N.D.</v>
      </c>
      <c r="U103" s="381"/>
      <c r="V103" s="411" t="str">
        <f t="shared" si="145"/>
        <v>N.D.</v>
      </c>
      <c r="W103" s="381"/>
      <c r="X103" s="411" t="str">
        <f t="shared" si="146"/>
        <v>N.D.</v>
      </c>
      <c r="Y103" s="381"/>
      <c r="Z103" s="411" t="str">
        <f t="shared" si="147"/>
        <v>N.D.</v>
      </c>
      <c r="AA103" s="381">
        <f t="shared" si="124"/>
        <v>69.919329999999988</v>
      </c>
      <c r="AB103" s="411">
        <f t="shared" si="148"/>
        <v>1.6263195943962857E-2</v>
      </c>
      <c r="AD103" s="381">
        <f>+ER!AE140-'ER Act'!AA103</f>
        <v>8.067000000001201E-2</v>
      </c>
    </row>
    <row r="104" spans="2:30" ht="13" x14ac:dyDescent="0.3">
      <c r="B104" s="7" t="s">
        <v>84</v>
      </c>
      <c r="C104" s="381">
        <v>-75.908000000000072</v>
      </c>
      <c r="D104" s="411">
        <f t="shared" si="149"/>
        <v>-0.1310905793972888</v>
      </c>
      <c r="E104" s="381">
        <v>-35.360299999999974</v>
      </c>
      <c r="F104" s="411">
        <f t="shared" si="149"/>
        <v>-6.0771774362640751E-2</v>
      </c>
      <c r="G104" s="381">
        <v>4.621360000000081</v>
      </c>
      <c r="H104" s="411">
        <f t="shared" si="138"/>
        <v>7.0550052133664925E-3</v>
      </c>
      <c r="I104" s="381">
        <v>-4.7763899999999389</v>
      </c>
      <c r="J104" s="411">
        <f t="shared" si="139"/>
        <v>-7.8116429114637271E-3</v>
      </c>
      <c r="K104" s="381">
        <v>-22.053000000000075</v>
      </c>
      <c r="L104" s="411">
        <f t="shared" si="140"/>
        <v>-3.4604068759365877E-2</v>
      </c>
      <c r="M104" s="381">
        <v>9.7790000000000212</v>
      </c>
      <c r="N104" s="411">
        <f t="shared" si="141"/>
        <v>1.5842261041710912E-2</v>
      </c>
      <c r="O104" s="381">
        <v>9.7787599999999575</v>
      </c>
      <c r="P104" s="411">
        <f t="shared" si="142"/>
        <v>1.5841878137601885E-2</v>
      </c>
      <c r="Q104" s="381"/>
      <c r="R104" s="411" t="str">
        <f t="shared" si="143"/>
        <v>N.D.</v>
      </c>
      <c r="S104" s="381"/>
      <c r="T104" s="411" t="str">
        <f t="shared" si="144"/>
        <v>N.D.</v>
      </c>
      <c r="U104" s="381"/>
      <c r="V104" s="411" t="str">
        <f t="shared" si="145"/>
        <v>N.D.</v>
      </c>
      <c r="W104" s="381"/>
      <c r="X104" s="411" t="str">
        <f t="shared" si="146"/>
        <v>N.D.</v>
      </c>
      <c r="Y104" s="381"/>
      <c r="Z104" s="411" t="str">
        <f t="shared" si="147"/>
        <v>N.D.</v>
      </c>
      <c r="AA104" s="381">
        <f t="shared" si="124"/>
        <v>-113.91857</v>
      </c>
      <c r="AB104" s="411">
        <f t="shared" si="148"/>
        <v>-2.64973938618412E-2</v>
      </c>
      <c r="AD104" s="381">
        <f>+ER!AE141-'ER Act'!AA104</f>
        <v>-9.8619100000006057</v>
      </c>
    </row>
    <row r="105" spans="2:30" ht="13" x14ac:dyDescent="0.3">
      <c r="B105" s="1" t="s">
        <v>193</v>
      </c>
      <c r="C105" s="412">
        <v>-4.5814705882352991</v>
      </c>
      <c r="D105" s="411">
        <f t="shared" si="149"/>
        <v>-7.912046607780502E-3</v>
      </c>
      <c r="E105" s="412">
        <v>-1.4480452496832641</v>
      </c>
      <c r="F105" s="411">
        <f t="shared" si="149"/>
        <v>-2.4886745638652719E-3</v>
      </c>
      <c r="G105" s="412">
        <v>1.3063619682007712</v>
      </c>
      <c r="H105" s="411">
        <f t="shared" si="138"/>
        <v>1.9943026503453512E-3</v>
      </c>
      <c r="I105" s="412">
        <v>0.65364358803486056</v>
      </c>
      <c r="J105" s="411">
        <f t="shared" si="139"/>
        <v>1.0690145279376895E-3</v>
      </c>
      <c r="K105" s="412">
        <v>-0.69638461538462115</v>
      </c>
      <c r="L105" s="411">
        <f t="shared" si="140"/>
        <v>-1.0927194084130916E-3</v>
      </c>
      <c r="M105" s="412" t="s">
        <v>451</v>
      </c>
      <c r="N105" s="411" t="e">
        <f t="shared" si="141"/>
        <v>#VALUE!</v>
      </c>
      <c r="O105" s="412" t="s">
        <v>451</v>
      </c>
      <c r="P105" s="411" t="e">
        <f t="shared" si="142"/>
        <v>#VALUE!</v>
      </c>
      <c r="Q105" s="412"/>
      <c r="R105" s="411" t="str">
        <f t="shared" si="143"/>
        <v>N.D.</v>
      </c>
      <c r="S105" s="412"/>
      <c r="T105" s="411" t="str">
        <f t="shared" si="144"/>
        <v>N.D.</v>
      </c>
      <c r="U105" s="412"/>
      <c r="V105" s="411" t="str">
        <f t="shared" si="145"/>
        <v>N.D.</v>
      </c>
      <c r="W105" s="412"/>
      <c r="X105" s="411" t="str">
        <f t="shared" si="146"/>
        <v>N.D.</v>
      </c>
      <c r="Y105" s="412"/>
      <c r="Z105" s="411" t="str">
        <f t="shared" si="147"/>
        <v>N.D.</v>
      </c>
      <c r="AA105" s="412">
        <f>IF(AA103=0,"N.D.",(AA102-AA100-AA101)/AA103)</f>
        <v>-0.62928577833912325</v>
      </c>
      <c r="AB105" s="411">
        <f t="shared" si="148"/>
        <v>-1.4637151010855426E-4</v>
      </c>
      <c r="AD105" s="412">
        <f>+ER!AE142-'ER Act'!AA105</f>
        <v>-0.13900679308945685</v>
      </c>
    </row>
    <row r="106" spans="2:30" x14ac:dyDescent="0.25">
      <c r="D106" s="429"/>
      <c r="F106" s="429"/>
      <c r="H106" s="429"/>
      <c r="J106" s="429"/>
      <c r="L106" s="429"/>
      <c r="N106" s="429"/>
      <c r="P106" s="429"/>
      <c r="R106" s="429"/>
      <c r="T106" s="429"/>
      <c r="V106" s="429"/>
      <c r="X106" s="429"/>
      <c r="Z106" s="429"/>
      <c r="AB106" s="429"/>
    </row>
    <row r="107" spans="2:30" x14ac:dyDescent="0.25">
      <c r="D107" s="429"/>
      <c r="F107" s="429"/>
      <c r="H107" s="429"/>
      <c r="J107" s="429"/>
      <c r="L107" s="429"/>
      <c r="N107" s="429"/>
      <c r="P107" s="429"/>
      <c r="R107" s="429"/>
      <c r="T107" s="429"/>
      <c r="V107" s="429"/>
      <c r="X107" s="429"/>
      <c r="Z107" s="429"/>
      <c r="AB107" s="429"/>
    </row>
    <row r="108" spans="2:30" ht="13" x14ac:dyDescent="0.3">
      <c r="C108" s="450"/>
      <c r="D108" s="430"/>
      <c r="E108" s="450"/>
      <c r="F108" s="430"/>
      <c r="G108" s="450"/>
      <c r="H108" s="430"/>
      <c r="I108" s="450"/>
      <c r="J108" s="430"/>
      <c r="K108" s="450"/>
      <c r="L108" s="430"/>
      <c r="M108" s="450"/>
      <c r="N108" s="430"/>
      <c r="O108" s="450"/>
      <c r="P108" s="430"/>
      <c r="Q108" s="450"/>
      <c r="R108" s="430"/>
      <c r="S108" s="450"/>
      <c r="T108" s="430"/>
      <c r="U108" s="450"/>
      <c r="V108" s="430"/>
      <c r="W108" s="450"/>
      <c r="X108" s="430"/>
      <c r="Y108" s="450"/>
      <c r="Z108" s="430"/>
      <c r="AA108" s="450" t="s">
        <v>181</v>
      </c>
      <c r="AB108" s="430"/>
    </row>
    <row r="109" spans="2:30" ht="13" x14ac:dyDescent="0.3">
      <c r="B109" s="251" t="s">
        <v>341</v>
      </c>
      <c r="C109" s="396" t="s">
        <v>418</v>
      </c>
      <c r="D109" s="397"/>
      <c r="E109" s="396" t="s">
        <v>419</v>
      </c>
      <c r="F109" s="397"/>
      <c r="G109" s="396" t="s">
        <v>417</v>
      </c>
      <c r="H109" s="397"/>
      <c r="I109" s="396" t="s">
        <v>420</v>
      </c>
      <c r="J109" s="397"/>
      <c r="K109" s="396" t="s">
        <v>421</v>
      </c>
      <c r="L109" s="397"/>
      <c r="M109" s="396" t="s">
        <v>422</v>
      </c>
      <c r="N109" s="397"/>
      <c r="O109" s="396" t="s">
        <v>423</v>
      </c>
      <c r="P109" s="397"/>
      <c r="Q109" s="396" t="s">
        <v>428</v>
      </c>
      <c r="R109" s="397"/>
      <c r="S109" s="396" t="s">
        <v>424</v>
      </c>
      <c r="T109" s="397"/>
      <c r="U109" s="396" t="s">
        <v>425</v>
      </c>
      <c r="V109" s="397"/>
      <c r="W109" s="396" t="s">
        <v>426</v>
      </c>
      <c r="X109" s="397"/>
      <c r="Y109" s="396" t="s">
        <v>427</v>
      </c>
      <c r="Z109" s="431"/>
      <c r="AA109" s="452" t="s">
        <v>496</v>
      </c>
      <c r="AB109" s="431"/>
    </row>
    <row r="110" spans="2:30" x14ac:dyDescent="0.25">
      <c r="B110" s="137" t="s">
        <v>38</v>
      </c>
      <c r="C110" s="454">
        <v>272.04000000000002</v>
      </c>
      <c r="D110" s="414">
        <f>IF(C$110=0,"N.D.",C110/C$110)</f>
        <v>1</v>
      </c>
      <c r="E110" s="454">
        <v>289.18099999999998</v>
      </c>
      <c r="F110" s="414">
        <f>IF(E$110=0,"N.D.",E110/E$110)</f>
        <v>1</v>
      </c>
      <c r="G110" s="454">
        <v>323.149</v>
      </c>
      <c r="H110" s="414">
        <f>IF(G$110=0,"N.D.",G110/G$110)</f>
        <v>1</v>
      </c>
      <c r="I110" s="454">
        <v>298.74099999999999</v>
      </c>
      <c r="J110" s="414">
        <f>IF(I$110=0,"N.D.",I110/I$110)</f>
        <v>1</v>
      </c>
      <c r="K110" s="454">
        <v>306.56400000000002</v>
      </c>
      <c r="L110" s="414">
        <f>IF(K$110=0,"N.D.",K110/K$110)</f>
        <v>1</v>
      </c>
      <c r="M110" s="454">
        <v>290.988</v>
      </c>
      <c r="N110" s="414">
        <f>IF(M$110=0,"N.D.",M110/M$110)</f>
        <v>1</v>
      </c>
      <c r="O110" s="454">
        <v>290.98833000000002</v>
      </c>
      <c r="P110" s="414">
        <f>IF(O$110=0,"N.D.",O110/O$110)</f>
        <v>1</v>
      </c>
      <c r="Q110" s="454"/>
      <c r="R110" s="414" t="str">
        <f>IF(Q$110=0,"N.D.",Q110/Q$110)</f>
        <v>N.D.</v>
      </c>
      <c r="S110" s="454"/>
      <c r="T110" s="414" t="str">
        <f>IF(S$110=0,"N.D.",S110/S$110)</f>
        <v>N.D.</v>
      </c>
      <c r="U110" s="454"/>
      <c r="V110" s="414" t="str">
        <f>IF(U$110=0,"N.D.",U110/U$110)</f>
        <v>N.D.</v>
      </c>
      <c r="W110" s="454"/>
      <c r="X110" s="414" t="str">
        <f>IF(W$110=0,"N.D.",W110/W$110)</f>
        <v>N.D.</v>
      </c>
      <c r="Y110" s="454"/>
      <c r="Z110" s="414" t="str">
        <f>IF(Y$110=0,"N.D.",Y110/Y$110)</f>
        <v>N.D.</v>
      </c>
      <c r="AA110" s="454">
        <f>+Y110+W110+U110+S110+Q110+O110+M110+K110+I110+G110+E110+C110</f>
        <v>2071.6513300000001</v>
      </c>
      <c r="AB110" s="414">
        <f>IF(AA$110=0,"N.D.",AA110/AA$110)</f>
        <v>1</v>
      </c>
      <c r="AD110" s="455">
        <f>+ER!AE79-'ER Act'!AA110</f>
        <v>-290.98811000000023</v>
      </c>
    </row>
    <row r="111" spans="2:30" x14ac:dyDescent="0.25">
      <c r="B111" s="137" t="s">
        <v>39</v>
      </c>
      <c r="C111" s="454">
        <v>95.923000000000002</v>
      </c>
      <c r="D111" s="414">
        <f>IF(C$110=0,"N.D.",C111/C$110)</f>
        <v>0.35260623437729743</v>
      </c>
      <c r="E111" s="454">
        <v>99.307000000000002</v>
      </c>
      <c r="F111" s="414">
        <f>IF(E$110=0,"N.D.",E111/E$110)</f>
        <v>0.3434077619207348</v>
      </c>
      <c r="G111" s="454">
        <v>104.709</v>
      </c>
      <c r="H111" s="414">
        <f>IF(G$110=0,"N.D.",G111/G$110)</f>
        <v>0.32402699683427771</v>
      </c>
      <c r="I111" s="454">
        <v>98.016000000000005</v>
      </c>
      <c r="J111" s="414">
        <f>IF(I$110=0,"N.D.",I111/I$110)</f>
        <v>0.32809691337981733</v>
      </c>
      <c r="K111" s="454">
        <v>101.07599999999999</v>
      </c>
      <c r="L111" s="414">
        <f>IF(K$110=0,"N.D.",K111/K$110)</f>
        <v>0.32970603201941517</v>
      </c>
      <c r="M111" s="454">
        <v>95.114000000000004</v>
      </c>
      <c r="N111" s="414">
        <f>IF(M$110=0,"N.D.",M111/M$110)</f>
        <v>0.32686571267543679</v>
      </c>
      <c r="O111" s="454">
        <v>95.113590000000002</v>
      </c>
      <c r="P111" s="414">
        <f>IF(O$110=0,"N.D.",O111/O$110)</f>
        <v>0.32686393299690059</v>
      </c>
      <c r="Q111" s="454"/>
      <c r="R111" s="414" t="str">
        <f>IF(Q$110=0,"N.D.",Q111/Q$110)</f>
        <v>N.D.</v>
      </c>
      <c r="S111" s="454"/>
      <c r="T111" s="414" t="str">
        <f>IF(S$110=0,"N.D.",S111/S$110)</f>
        <v>N.D.</v>
      </c>
      <c r="U111" s="454"/>
      <c r="V111" s="414" t="str">
        <f>IF(U$110=0,"N.D.",U111/U$110)</f>
        <v>N.D.</v>
      </c>
      <c r="W111" s="454"/>
      <c r="X111" s="414" t="str">
        <f>IF(W$110=0,"N.D.",W111/W$110)</f>
        <v>N.D.</v>
      </c>
      <c r="Y111" s="454"/>
      <c r="Z111" s="414" t="str">
        <f>IF(Y$110=0,"N.D.",Y111/Y$110)</f>
        <v>N.D.</v>
      </c>
      <c r="AA111" s="454">
        <f t="shared" ref="AA111:AA137" si="150">+Y111+W111+U111+S111+Q111+O111+M111+K111+I111+G111+E111+C111</f>
        <v>689.25859000000003</v>
      </c>
      <c r="AB111" s="414">
        <f>IF(AA$110=0,"N.D.",AA111/AA$110)</f>
        <v>0.33270974705960776</v>
      </c>
      <c r="AD111" s="454">
        <f>+ER!AE80-'ER Act'!AA111</f>
        <v>-95.114469999999983</v>
      </c>
    </row>
    <row r="112" spans="2:30" x14ac:dyDescent="0.25">
      <c r="B112" s="9" t="s">
        <v>219</v>
      </c>
      <c r="C112" s="454">
        <v>0</v>
      </c>
      <c r="D112" s="414">
        <f>IF(C$110=0,"N.D.",C112/C$110)</f>
        <v>0</v>
      </c>
      <c r="E112" s="454">
        <v>0</v>
      </c>
      <c r="F112" s="414">
        <f>IF(E$110=0,"N.D.",E112/E$110)</f>
        <v>0</v>
      </c>
      <c r="G112" s="454">
        <v>0</v>
      </c>
      <c r="H112" s="414">
        <f>IF(G$110=0,"N.D.",G112/G$110)</f>
        <v>0</v>
      </c>
      <c r="I112" s="454">
        <v>0</v>
      </c>
      <c r="J112" s="414">
        <f>IF(I$110=0,"N.D.",I112/I$110)</f>
        <v>0</v>
      </c>
      <c r="K112" s="454">
        <v>0</v>
      </c>
      <c r="L112" s="414">
        <f>IF(K$110=0,"N.D.",K112/K$110)</f>
        <v>0</v>
      </c>
      <c r="M112" s="454">
        <v>0</v>
      </c>
      <c r="N112" s="414">
        <f>IF(M$110=0,"N.D.",M112/M$110)</f>
        <v>0</v>
      </c>
      <c r="O112" s="454">
        <v>0</v>
      </c>
      <c r="P112" s="414">
        <f>IF(O$110=0,"N.D.",O112/O$110)</f>
        <v>0</v>
      </c>
      <c r="Q112" s="454"/>
      <c r="R112" s="414" t="str">
        <f>IF(Q$110=0,"N.D.",Q112/Q$110)</f>
        <v>N.D.</v>
      </c>
      <c r="S112" s="454"/>
      <c r="T112" s="414" t="str">
        <f>IF(S$110=0,"N.D.",S112/S$110)</f>
        <v>N.D.</v>
      </c>
      <c r="U112" s="454"/>
      <c r="V112" s="414" t="str">
        <f>IF(U$110=0,"N.D.",U112/U$110)</f>
        <v>N.D.</v>
      </c>
      <c r="W112" s="454"/>
      <c r="X112" s="414" t="str">
        <f>IF(W$110=0,"N.D.",W112/W$110)</f>
        <v>N.D.</v>
      </c>
      <c r="Y112" s="454"/>
      <c r="Z112" s="414" t="str">
        <f>IF(Y$110=0,"N.D.",Y112/Y$110)</f>
        <v>N.D.</v>
      </c>
      <c r="AA112" s="454"/>
      <c r="AB112" s="414">
        <f>IF(AA$110=0,"N.D.",AA112/AA$110)</f>
        <v>0</v>
      </c>
      <c r="AD112" s="454">
        <f>+ER!AE81-'ER Act'!AA112</f>
        <v>0</v>
      </c>
    </row>
    <row r="113" spans="2:30" ht="13" x14ac:dyDescent="0.3">
      <c r="B113" s="137" t="s">
        <v>40</v>
      </c>
      <c r="C113" s="456">
        <v>176.11700000000002</v>
      </c>
      <c r="D113" s="415">
        <f>IF(C$110=0,"N.D.",C113/C$110)</f>
        <v>0.64739376562270257</v>
      </c>
      <c r="E113" s="456">
        <v>189.87399999999997</v>
      </c>
      <c r="F113" s="415">
        <f>IF(E$110=0,"N.D.",E113/E$110)</f>
        <v>0.65659223807926514</v>
      </c>
      <c r="G113" s="456">
        <v>218.44</v>
      </c>
      <c r="H113" s="415">
        <f>IF(G$110=0,"N.D.",G113/G$110)</f>
        <v>0.67597300316572229</v>
      </c>
      <c r="I113" s="456">
        <v>200.72499999999997</v>
      </c>
      <c r="J113" s="415">
        <f>IF(I$110=0,"N.D.",I113/I$110)</f>
        <v>0.67190308662018261</v>
      </c>
      <c r="K113" s="456">
        <v>205.48800000000003</v>
      </c>
      <c r="L113" s="415">
        <f>IF(K$110=0,"N.D.",K113/K$110)</f>
        <v>0.67029396798058483</v>
      </c>
      <c r="M113" s="456">
        <v>195.874</v>
      </c>
      <c r="N113" s="415">
        <f>IF(M$110=0,"N.D.",M113/M$110)</f>
        <v>0.67313428732456315</v>
      </c>
      <c r="O113" s="456">
        <v>195.87474000000003</v>
      </c>
      <c r="P113" s="415">
        <f>IF(O$110=0,"N.D.",O113/O$110)</f>
        <v>0.67313606700309947</v>
      </c>
      <c r="Q113" s="456"/>
      <c r="R113" s="415" t="str">
        <f>IF(Q$110=0,"N.D.",Q113/Q$110)</f>
        <v>N.D.</v>
      </c>
      <c r="S113" s="456"/>
      <c r="T113" s="415" t="str">
        <f>IF(S$110=0,"N.D.",S113/S$110)</f>
        <v>N.D.</v>
      </c>
      <c r="U113" s="456"/>
      <c r="V113" s="415" t="str">
        <f>IF(U$110=0,"N.D.",U113/U$110)</f>
        <v>N.D.</v>
      </c>
      <c r="W113" s="456"/>
      <c r="X113" s="415" t="str">
        <f>IF(W$110=0,"N.D.",W113/W$110)</f>
        <v>N.D.</v>
      </c>
      <c r="Y113" s="456"/>
      <c r="Z113" s="415" t="str">
        <f>IF(Y$110=0,"N.D.",Y113/Y$110)</f>
        <v>N.D.</v>
      </c>
      <c r="AA113" s="456">
        <f t="shared" si="150"/>
        <v>1382.39274</v>
      </c>
      <c r="AB113" s="415">
        <f>IF(AA$110=0,"N.D.",AA113/AA$110)</f>
        <v>0.66729025294039224</v>
      </c>
      <c r="AD113" s="456">
        <f>+ER!AE82-'ER Act'!AA113</f>
        <v>-195.87364000000002</v>
      </c>
    </row>
    <row r="114" spans="2:30" x14ac:dyDescent="0.25">
      <c r="B114" s="137"/>
      <c r="C114" s="457"/>
      <c r="D114" s="416"/>
      <c r="E114" s="457"/>
      <c r="F114" s="416"/>
      <c r="G114" s="457"/>
      <c r="H114" s="416"/>
      <c r="I114" s="457"/>
      <c r="J114" s="416"/>
      <c r="K114" s="457"/>
      <c r="L114" s="416"/>
      <c r="M114" s="457"/>
      <c r="N114" s="416"/>
      <c r="O114" s="457"/>
      <c r="P114" s="416"/>
      <c r="Q114" s="457"/>
      <c r="R114" s="416"/>
      <c r="S114" s="457"/>
      <c r="T114" s="416"/>
      <c r="U114" s="457"/>
      <c r="V114" s="416"/>
      <c r="W114" s="457"/>
      <c r="X114" s="416"/>
      <c r="Y114" s="457"/>
      <c r="Z114" s="416"/>
      <c r="AA114" s="457"/>
      <c r="AB114" s="416"/>
      <c r="AD114" s="457"/>
    </row>
    <row r="115" spans="2:30" x14ac:dyDescent="0.25">
      <c r="B115" s="137" t="s">
        <v>41</v>
      </c>
      <c r="C115" s="455">
        <v>188.44300000000001</v>
      </c>
      <c r="D115" s="417">
        <f>IF(C$110=0,"N.D.",C115/C$110)</f>
        <v>0.69270327892956918</v>
      </c>
      <c r="E115" s="455">
        <v>178.715</v>
      </c>
      <c r="F115" s="417">
        <f>IF(E$110=0,"N.D.",E115/E$110)</f>
        <v>0.61800394908379186</v>
      </c>
      <c r="G115" s="455">
        <v>192.76900000000001</v>
      </c>
      <c r="H115" s="417">
        <f>IF(G$110=0,"N.D.",G115/G$110)</f>
        <v>0.59653286873856948</v>
      </c>
      <c r="I115" s="455">
        <v>191.44399999999999</v>
      </c>
      <c r="J115" s="417">
        <f>IF(I$110=0,"N.D.",I115/I$110)</f>
        <v>0.6408360419226018</v>
      </c>
      <c r="K115" s="455">
        <v>189.30600000000001</v>
      </c>
      <c r="L115" s="417">
        <f>IF(K$110=0,"N.D.",K115/K$110)</f>
        <v>0.61750890515520418</v>
      </c>
      <c r="M115" s="455">
        <v>190.69399999999999</v>
      </c>
      <c r="N115" s="417">
        <f>IF(M$110=0,"N.D.",M115/M$110)</f>
        <v>0.65533286596010831</v>
      </c>
      <c r="O115" s="455">
        <v>190.69368</v>
      </c>
      <c r="P115" s="417">
        <f>IF(O$110=0,"N.D.",O115/O$110)</f>
        <v>0.65533102306886326</v>
      </c>
      <c r="Q115" s="455"/>
      <c r="R115" s="417" t="str">
        <f>IF(Q$110=0,"N.D.",Q115/Q$110)</f>
        <v>N.D.</v>
      </c>
      <c r="S115" s="455"/>
      <c r="T115" s="417" t="str">
        <f>IF(S$110=0,"N.D.",S115/S$110)</f>
        <v>N.D.</v>
      </c>
      <c r="U115" s="455"/>
      <c r="V115" s="417" t="str">
        <f>IF(U$110=0,"N.D.",U115/U$110)</f>
        <v>N.D.</v>
      </c>
      <c r="W115" s="455"/>
      <c r="X115" s="417" t="str">
        <f>IF(W$110=0,"N.D.",W115/W$110)</f>
        <v>N.D.</v>
      </c>
      <c r="Y115" s="455"/>
      <c r="Z115" s="417" t="str">
        <f>IF(Y$110=0,"N.D.",Y115/Y$110)</f>
        <v>N.D.</v>
      </c>
      <c r="AA115" s="455">
        <f t="shared" si="150"/>
        <v>1322.06468</v>
      </c>
      <c r="AB115" s="417">
        <f>IF(AA$110=0,"N.D.",AA115/AA$110)</f>
        <v>0.63816949351221175</v>
      </c>
      <c r="AD115" s="455">
        <f>+ER!AE84-'ER Act'!AA115</f>
        <v>-190.69465999999989</v>
      </c>
    </row>
    <row r="116" spans="2:30" x14ac:dyDescent="0.25">
      <c r="B116" s="137" t="s">
        <v>42</v>
      </c>
      <c r="C116" s="454">
        <v>11.464</v>
      </c>
      <c r="D116" s="414">
        <f>IF(C$110=0,"N.D.",C116/C$110)</f>
        <v>4.2140861637994409E-2</v>
      </c>
      <c r="E116" s="454">
        <v>9.7439999999999998</v>
      </c>
      <c r="F116" s="414">
        <f>IF(E$110=0,"N.D.",E116/E$110)</f>
        <v>3.3695159778823647E-2</v>
      </c>
      <c r="G116" s="454">
        <v>14.712</v>
      </c>
      <c r="H116" s="414">
        <f>IF(G$110=0,"N.D.",G116/G$110)</f>
        <v>4.5526986003360678E-2</v>
      </c>
      <c r="I116" s="454">
        <v>10.6</v>
      </c>
      <c r="J116" s="414">
        <f>IF(I$110=0,"N.D.",I116/I$110)</f>
        <v>3.5482240469168945E-2</v>
      </c>
      <c r="K116" s="454">
        <v>12.156000000000001</v>
      </c>
      <c r="L116" s="414">
        <f>IF(K$110=0,"N.D.",K116/K$110)</f>
        <v>3.9652405370493596E-2</v>
      </c>
      <c r="M116" s="454">
        <v>8.8759999999999994</v>
      </c>
      <c r="N116" s="414">
        <f>IF(M$110=0,"N.D.",M116/M$110)</f>
        <v>3.0502976067741622E-2</v>
      </c>
      <c r="O116" s="454">
        <v>8.8756500000000003</v>
      </c>
      <c r="P116" s="414">
        <f>IF(O$110=0,"N.D.",O116/O$110)</f>
        <v>3.0501738677973785E-2</v>
      </c>
      <c r="Q116" s="454"/>
      <c r="R116" s="414" t="str">
        <f>IF(Q$110=0,"N.D.",Q116/Q$110)</f>
        <v>N.D.</v>
      </c>
      <c r="S116" s="454"/>
      <c r="T116" s="414" t="str">
        <f>IF(S$110=0,"N.D.",S116/S$110)</f>
        <v>N.D.</v>
      </c>
      <c r="U116" s="454"/>
      <c r="V116" s="414" t="str">
        <f>IF(U$110=0,"N.D.",U116/U$110)</f>
        <v>N.D.</v>
      </c>
      <c r="W116" s="454"/>
      <c r="X116" s="414" t="str">
        <f>IF(W$110=0,"N.D.",W116/W$110)</f>
        <v>N.D.</v>
      </c>
      <c r="Y116" s="454"/>
      <c r="Z116" s="414" t="str">
        <f>IF(Y$110=0,"N.D.",Y116/Y$110)</f>
        <v>N.D.</v>
      </c>
      <c r="AA116" s="454">
        <f t="shared" si="150"/>
        <v>76.42765</v>
      </c>
      <c r="AB116" s="414">
        <f>IF(AA$110=0,"N.D.",AA116/AA$110)</f>
        <v>3.6892139566748423E-2</v>
      </c>
      <c r="AD116" s="454">
        <f>+ER!AE85-'ER Act'!AA116</f>
        <v>-8.8766099999999994</v>
      </c>
    </row>
    <row r="117" spans="2:30" x14ac:dyDescent="0.25">
      <c r="B117" s="137" t="s">
        <v>43</v>
      </c>
      <c r="C117" s="454">
        <v>1.863</v>
      </c>
      <c r="D117" s="414">
        <f>IF(C$110=0,"N.D.",C117/C$110)</f>
        <v>6.8482576091751209E-3</v>
      </c>
      <c r="E117" s="454">
        <v>1.863</v>
      </c>
      <c r="F117" s="414">
        <f>IF(E$110=0,"N.D.",E117/E$110)</f>
        <v>6.4423319651014423E-3</v>
      </c>
      <c r="G117" s="454">
        <v>1.863</v>
      </c>
      <c r="H117" s="414">
        <f>IF(G$110=0,"N.D.",G117/G$110)</f>
        <v>5.765142395613169E-3</v>
      </c>
      <c r="I117" s="454">
        <v>1.863</v>
      </c>
      <c r="J117" s="414">
        <f>IF(I$110=0,"N.D.",I117/I$110)</f>
        <v>6.2361711315152592E-3</v>
      </c>
      <c r="K117" s="454">
        <v>1.107</v>
      </c>
      <c r="L117" s="414">
        <f>IF(K$110=0,"N.D.",K117/K$110)</f>
        <v>3.6109915058519589E-3</v>
      </c>
      <c r="M117" s="454">
        <v>1.863</v>
      </c>
      <c r="N117" s="414">
        <f>IF(M$110=0,"N.D.",M117/M$110)</f>
        <v>6.4023258691080047E-3</v>
      </c>
      <c r="O117" s="454">
        <v>1.8633199999999999</v>
      </c>
      <c r="P117" s="414">
        <f>IF(O$110=0,"N.D.",O117/O$110)</f>
        <v>6.4034183089060641E-3</v>
      </c>
      <c r="Q117" s="454"/>
      <c r="R117" s="414" t="str">
        <f>IF(Q$110=0,"N.D.",Q117/Q$110)</f>
        <v>N.D.</v>
      </c>
      <c r="S117" s="454"/>
      <c r="T117" s="414" t="str">
        <f>IF(S$110=0,"N.D.",S117/S$110)</f>
        <v>N.D.</v>
      </c>
      <c r="U117" s="454"/>
      <c r="V117" s="414" t="str">
        <f>IF(U$110=0,"N.D.",U117/U$110)</f>
        <v>N.D.</v>
      </c>
      <c r="W117" s="454"/>
      <c r="X117" s="414" t="str">
        <f>IF(W$110=0,"N.D.",W117/W$110)</f>
        <v>N.D.</v>
      </c>
      <c r="Y117" s="454"/>
      <c r="Z117" s="414" t="str">
        <f>IF(Y$110=0,"N.D.",Y117/Y$110)</f>
        <v>N.D.</v>
      </c>
      <c r="AA117" s="454">
        <f t="shared" si="150"/>
        <v>12.285319999999999</v>
      </c>
      <c r="AB117" s="414">
        <f>IF(AA$110=0,"N.D.",AA117/AA$110)</f>
        <v>5.9302064117131128E-3</v>
      </c>
      <c r="AD117" s="454">
        <f>+ER!AE86-'ER Act'!AA117</f>
        <v>-1.8616799999999998</v>
      </c>
    </row>
    <row r="118" spans="2:30" ht="13" x14ac:dyDescent="0.3">
      <c r="B118" s="137" t="s">
        <v>44</v>
      </c>
      <c r="C118" s="456">
        <v>201.77</v>
      </c>
      <c r="D118" s="415">
        <f>IF(C$110=0,"N.D.",C118/C$110)</f>
        <v>0.74169239817673871</v>
      </c>
      <c r="E118" s="456">
        <v>190.322</v>
      </c>
      <c r="F118" s="415">
        <f>IF(E$110=0,"N.D.",E118/E$110)</f>
        <v>0.65814144082771697</v>
      </c>
      <c r="G118" s="456">
        <v>209.34399999999999</v>
      </c>
      <c r="H118" s="415">
        <f>IF(G$110=0,"N.D.",G118/G$110)</f>
        <v>0.64782499713754338</v>
      </c>
      <c r="I118" s="456">
        <v>203.90699999999998</v>
      </c>
      <c r="J118" s="415">
        <f>IF(I$110=0,"N.D.",I118/I$110)</f>
        <v>0.68255445352328603</v>
      </c>
      <c r="K118" s="456">
        <v>202.56900000000002</v>
      </c>
      <c r="L118" s="415">
        <f>IF(K$110=0,"N.D.",K118/K$110)</f>
        <v>0.66077230203154969</v>
      </c>
      <c r="M118" s="456">
        <v>201.43299999999999</v>
      </c>
      <c r="N118" s="415">
        <f>IF(M$110=0,"N.D.",M118/M$110)</f>
        <v>0.69223816789695791</v>
      </c>
      <c r="O118" s="456">
        <v>201.43265</v>
      </c>
      <c r="P118" s="415">
        <f>IF(O$110=0,"N.D.",O118/O$110)</f>
        <v>0.69223618005574306</v>
      </c>
      <c r="Q118" s="456"/>
      <c r="R118" s="415" t="str">
        <f>IF(Q$110=0,"N.D.",Q118/Q$110)</f>
        <v>N.D.</v>
      </c>
      <c r="S118" s="456"/>
      <c r="T118" s="415" t="str">
        <f>IF(S$110=0,"N.D.",S118/S$110)</f>
        <v>N.D.</v>
      </c>
      <c r="U118" s="456"/>
      <c r="V118" s="415" t="str">
        <f>IF(U$110=0,"N.D.",U118/U$110)</f>
        <v>N.D.</v>
      </c>
      <c r="W118" s="456"/>
      <c r="X118" s="415" t="str">
        <f>IF(W$110=0,"N.D.",W118/W$110)</f>
        <v>N.D.</v>
      </c>
      <c r="Y118" s="456"/>
      <c r="Z118" s="415" t="str">
        <f>IF(Y$110=0,"N.D.",Y118/Y$110)</f>
        <v>N.D.</v>
      </c>
      <c r="AA118" s="456">
        <f t="shared" si="150"/>
        <v>1410.77765</v>
      </c>
      <c r="AB118" s="415">
        <f>IF(AA$110=0,"N.D.",AA118/AA$110)</f>
        <v>0.68099183949067332</v>
      </c>
      <c r="AD118" s="456">
        <f>+ER!AE87-'ER Act'!AA118</f>
        <v>-201.43294999999989</v>
      </c>
    </row>
    <row r="119" spans="2:30" ht="13" x14ac:dyDescent="0.3">
      <c r="B119" s="137" t="s">
        <v>45</v>
      </c>
      <c r="C119" s="456">
        <v>-25.652999999999992</v>
      </c>
      <c r="D119" s="415">
        <f>IF(C$110=0,"N.D.",C119/C$110)</f>
        <v>-9.429863255403613E-2</v>
      </c>
      <c r="E119" s="456">
        <v>-0.44800000000003593</v>
      </c>
      <c r="F119" s="415">
        <f>IF(E$110=0,"N.D.",E119/E$110)</f>
        <v>-1.5492027484517862E-3</v>
      </c>
      <c r="G119" s="456">
        <v>9.0960000000000036</v>
      </c>
      <c r="H119" s="415">
        <f>IF(G$110=0,"N.D.",G119/G$110)</f>
        <v>2.8148006028178962E-2</v>
      </c>
      <c r="I119" s="456">
        <v>-3.1820000000000164</v>
      </c>
      <c r="J119" s="415">
        <f>IF(I$110=0,"N.D.",I119/I$110)</f>
        <v>-1.0651366903103412E-2</v>
      </c>
      <c r="K119" s="456">
        <v>2.9190000000000111</v>
      </c>
      <c r="L119" s="415">
        <f>IF(K$110=0,"N.D.",K119/K$110)</f>
        <v>9.5216659490351477E-3</v>
      </c>
      <c r="M119" s="456">
        <v>-5.5589999999999975</v>
      </c>
      <c r="N119" s="415">
        <f>IF(M$110=0,"N.D.",M119/M$110)</f>
        <v>-1.9103880572394729E-2</v>
      </c>
      <c r="O119" s="456">
        <v>-5.5579099999999642</v>
      </c>
      <c r="P119" s="415">
        <f>IF(O$110=0,"N.D.",O119/O$110)</f>
        <v>-1.9100113052643603E-2</v>
      </c>
      <c r="Q119" s="456"/>
      <c r="R119" s="415" t="str">
        <f>IF(Q$110=0,"N.D.",Q119/Q$110)</f>
        <v>N.D.</v>
      </c>
      <c r="S119" s="456"/>
      <c r="T119" s="415" t="str">
        <f>IF(S$110=0,"N.D.",S119/S$110)</f>
        <v>N.D.</v>
      </c>
      <c r="U119" s="456"/>
      <c r="V119" s="415" t="str">
        <f>IF(U$110=0,"N.D.",U119/U$110)</f>
        <v>N.D.</v>
      </c>
      <c r="W119" s="456"/>
      <c r="X119" s="415" t="str">
        <f>IF(W$110=0,"N.D.",W119/W$110)</f>
        <v>N.D.</v>
      </c>
      <c r="Y119" s="456"/>
      <c r="Z119" s="415" t="str">
        <f>IF(Y$110=0,"N.D.",Y119/Y$110)</f>
        <v>N.D.</v>
      </c>
      <c r="AA119" s="456">
        <f t="shared" si="150"/>
        <v>-28.384909999999991</v>
      </c>
      <c r="AB119" s="415">
        <f>IF(AA$110=0,"N.D.",AA119/AA$110)</f>
        <v>-1.3701586550281118E-2</v>
      </c>
      <c r="AD119" s="456">
        <f>+ER!AE88-'ER Act'!AA119</f>
        <v>5.5593099999998685</v>
      </c>
    </row>
    <row r="120" spans="2:30" x14ac:dyDescent="0.25">
      <c r="C120" s="457"/>
      <c r="D120" s="416"/>
      <c r="E120" s="457"/>
      <c r="F120" s="416"/>
      <c r="G120" s="457"/>
      <c r="H120" s="416"/>
      <c r="I120" s="457"/>
      <c r="J120" s="416"/>
      <c r="K120" s="457"/>
      <c r="L120" s="416"/>
      <c r="M120" s="457"/>
      <c r="N120" s="416"/>
      <c r="O120" s="457"/>
      <c r="P120" s="416"/>
      <c r="Q120" s="457"/>
      <c r="R120" s="416"/>
      <c r="S120" s="457"/>
      <c r="T120" s="416"/>
      <c r="U120" s="457"/>
      <c r="V120" s="416"/>
      <c r="W120" s="457"/>
      <c r="X120" s="416"/>
      <c r="Y120" s="457"/>
      <c r="Z120" s="416"/>
      <c r="AA120" s="457"/>
      <c r="AB120" s="416"/>
      <c r="AD120" s="458"/>
    </row>
    <row r="121" spans="2:30" x14ac:dyDescent="0.25">
      <c r="B121" s="137"/>
      <c r="C121" s="455">
        <v>0</v>
      </c>
      <c r="D121" s="417">
        <f>IF(C$110=0,"N.D.",C121/C$110)</f>
        <v>0</v>
      </c>
      <c r="E121" s="455">
        <v>0</v>
      </c>
      <c r="F121" s="417">
        <f>IF(E$110=0,"N.D.",E121/E$110)</f>
        <v>0</v>
      </c>
      <c r="G121" s="455">
        <v>0</v>
      </c>
      <c r="H121" s="417">
        <f>IF(G$110=0,"N.D.",G121/G$110)</f>
        <v>0</v>
      </c>
      <c r="I121" s="455">
        <v>0</v>
      </c>
      <c r="J121" s="417">
        <f>IF(I$110=0,"N.D.",I121/I$110)</f>
        <v>0</v>
      </c>
      <c r="K121" s="455">
        <v>0</v>
      </c>
      <c r="L121" s="417">
        <f>IF(K$110=0,"N.D.",K121/K$110)</f>
        <v>0</v>
      </c>
      <c r="M121" s="455">
        <v>0</v>
      </c>
      <c r="N121" s="417">
        <f>IF(M$110=0,"N.D.",M121/M$110)</f>
        <v>0</v>
      </c>
      <c r="O121" s="455">
        <v>0</v>
      </c>
      <c r="P121" s="417">
        <f>IF(O$110=0,"N.D.",O121/O$110)</f>
        <v>0</v>
      </c>
      <c r="Q121" s="455"/>
      <c r="R121" s="417" t="str">
        <f>IF(Q$110=0,"N.D.",Q121/Q$110)</f>
        <v>N.D.</v>
      </c>
      <c r="S121" s="455"/>
      <c r="T121" s="417" t="str">
        <f>IF(S$110=0,"N.D.",S121/S$110)</f>
        <v>N.D.</v>
      </c>
      <c r="U121" s="455"/>
      <c r="V121" s="417" t="str">
        <f>IF(U$110=0,"N.D.",U121/U$110)</f>
        <v>N.D.</v>
      </c>
      <c r="W121" s="455"/>
      <c r="X121" s="417" t="str">
        <f>IF(W$110=0,"N.D.",W121/W$110)</f>
        <v>N.D.</v>
      </c>
      <c r="Y121" s="455"/>
      <c r="Z121" s="417" t="str">
        <f>IF(Y$110=0,"N.D.",Y121/Y$110)</f>
        <v>N.D.</v>
      </c>
      <c r="AA121" s="455">
        <f t="shared" si="150"/>
        <v>0</v>
      </c>
      <c r="AB121" s="417">
        <f>IF(AA$110=0,"N.D.",AA121/AA$110)</f>
        <v>0</v>
      </c>
      <c r="AD121" s="455">
        <f>+ER!AE90-'ER Act'!AA121</f>
        <v>0</v>
      </c>
    </row>
    <row r="122" spans="2:30" x14ac:dyDescent="0.25">
      <c r="B122" s="137" t="s">
        <v>52</v>
      </c>
      <c r="C122" s="454">
        <v>-0.26100000000000001</v>
      </c>
      <c r="D122" s="414">
        <f>IF(C$110=0,"N.D.",C122/C$110)</f>
        <v>-9.5941773268636964E-4</v>
      </c>
      <c r="E122" s="454">
        <v>-1.6950000000000001</v>
      </c>
      <c r="F122" s="414">
        <f>IF(E$110=0,"N.D.",E122/E$110)</f>
        <v>-5.8613809344320693E-3</v>
      </c>
      <c r="G122" s="454">
        <v>-1.5429999999999999</v>
      </c>
      <c r="H122" s="414">
        <f>IF(G$110=0,"N.D.",G122/G$110)</f>
        <v>-4.774887126372045E-3</v>
      </c>
      <c r="I122" s="454">
        <v>-1.6080000000000001</v>
      </c>
      <c r="J122" s="414">
        <f>IF(I$110=0,"N.D.",I122/I$110)</f>
        <v>-5.3825889315494025E-3</v>
      </c>
      <c r="K122" s="454">
        <v>-2.508</v>
      </c>
      <c r="L122" s="414">
        <f>IF(K$110=0,"N.D.",K122/K$110)</f>
        <v>-8.1809997259952236E-3</v>
      </c>
      <c r="M122" s="454">
        <v>-1.78</v>
      </c>
      <c r="N122" s="414">
        <f>IF(M$110=0,"N.D.",M122/M$110)</f>
        <v>-6.1170907391370089E-3</v>
      </c>
      <c r="O122" s="454">
        <v>-1.7802100000000001</v>
      </c>
      <c r="P122" s="414">
        <f>IF(O$110=0,"N.D.",O122/O$110)</f>
        <v>-6.1178054803778551E-3</v>
      </c>
      <c r="Q122" s="454"/>
      <c r="R122" s="414" t="str">
        <f>IF(Q$110=0,"N.D.",Q122/Q$110)</f>
        <v>N.D.</v>
      </c>
      <c r="S122" s="454"/>
      <c r="T122" s="414" t="str">
        <f>IF(S$110=0,"N.D.",S122/S$110)</f>
        <v>N.D.</v>
      </c>
      <c r="U122" s="454"/>
      <c r="V122" s="414" t="str">
        <f>IF(U$110=0,"N.D.",U122/U$110)</f>
        <v>N.D.</v>
      </c>
      <c r="W122" s="454"/>
      <c r="X122" s="414" t="str">
        <f>IF(W$110=0,"N.D.",W122/W$110)</f>
        <v>N.D.</v>
      </c>
      <c r="Y122" s="454"/>
      <c r="Z122" s="414" t="str">
        <f>IF(Y$110=0,"N.D.",Y122/Y$110)</f>
        <v>N.D.</v>
      </c>
      <c r="AA122" s="454">
        <f t="shared" si="150"/>
        <v>-11.17521</v>
      </c>
      <c r="AB122" s="414">
        <f>IF(AA$110=0,"N.D.",AA122/AA$110)</f>
        <v>-5.3943488646808141E-3</v>
      </c>
      <c r="AD122" s="454">
        <f>+ER!AE91-'ER Act'!AA122</f>
        <v>1.7805899999999983</v>
      </c>
    </row>
    <row r="123" spans="2:30" x14ac:dyDescent="0.25">
      <c r="B123" s="137" t="s">
        <v>184</v>
      </c>
      <c r="C123" s="454">
        <v>0.93</v>
      </c>
      <c r="D123" s="414">
        <f>IF(C$110=0,"N.D.",C123/C$110)</f>
        <v>3.4186149095721216E-3</v>
      </c>
      <c r="E123" s="454">
        <v>0.85599999999999998</v>
      </c>
      <c r="F123" s="414">
        <f>IF(E$110=0,"N.D.",E123/E$110)</f>
        <v>2.9600838229344251E-3</v>
      </c>
      <c r="G123" s="454">
        <v>0.88200000000000001</v>
      </c>
      <c r="H123" s="414">
        <f>IF(G$110=0,"N.D.",G123/G$110)</f>
        <v>2.7293910858458481E-3</v>
      </c>
      <c r="I123" s="454">
        <v>0.90800000000000003</v>
      </c>
      <c r="J123" s="414">
        <f>IF(I$110=0,"N.D.",I123/I$110)</f>
        <v>3.0394221081137176E-3</v>
      </c>
      <c r="K123" s="454">
        <v>0.51300000000000001</v>
      </c>
      <c r="L123" s="414">
        <f>IF(K$110=0,"N.D.",K123/K$110)</f>
        <v>1.6733863075899323E-3</v>
      </c>
      <c r="M123" s="454">
        <v>0</v>
      </c>
      <c r="N123" s="414">
        <f>IF(M$110=0,"N.D.",M123/M$110)</f>
        <v>0</v>
      </c>
      <c r="O123" s="454">
        <v>0</v>
      </c>
      <c r="P123" s="414">
        <f>IF(O$110=0,"N.D.",O123/O$110)</f>
        <v>0</v>
      </c>
      <c r="Q123" s="454"/>
      <c r="R123" s="414" t="str">
        <f>IF(Q$110=0,"N.D.",Q123/Q$110)</f>
        <v>N.D.</v>
      </c>
      <c r="S123" s="454"/>
      <c r="T123" s="414" t="str">
        <f>IF(S$110=0,"N.D.",S123/S$110)</f>
        <v>N.D.</v>
      </c>
      <c r="U123" s="454"/>
      <c r="V123" s="414" t="str">
        <f>IF(U$110=0,"N.D.",U123/U$110)</f>
        <v>N.D.</v>
      </c>
      <c r="W123" s="454"/>
      <c r="X123" s="414" t="str">
        <f>IF(W$110=0,"N.D.",W123/W$110)</f>
        <v>N.D.</v>
      </c>
      <c r="Y123" s="454"/>
      <c r="Z123" s="414" t="str">
        <f>IF(Y$110=0,"N.D.",Y123/Y$110)</f>
        <v>N.D.</v>
      </c>
      <c r="AA123" s="454">
        <f t="shared" si="150"/>
        <v>4.0889999999999995</v>
      </c>
      <c r="AB123" s="414">
        <f>IF(AA$110=0,"N.D.",AA123/AA$110)</f>
        <v>1.9737877415887351E-3</v>
      </c>
      <c r="AD123" s="454">
        <f>+ER!AE92-'ER Act'!AA123</f>
        <v>-3.2999999999905327E-4</v>
      </c>
    </row>
    <row r="124" spans="2:30" x14ac:dyDescent="0.25">
      <c r="B124" s="137" t="s">
        <v>47</v>
      </c>
      <c r="C124" s="454">
        <v>0</v>
      </c>
      <c r="D124" s="414">
        <f>IF(C$110=0,"N.D.",C124/C$110)</f>
        <v>0</v>
      </c>
      <c r="E124" s="454">
        <v>0</v>
      </c>
      <c r="F124" s="414">
        <f>IF(E$110=0,"N.D.",E124/E$110)</f>
        <v>0</v>
      </c>
      <c r="G124" s="454">
        <v>0</v>
      </c>
      <c r="H124" s="414">
        <f>IF(G$110=0,"N.D.",G124/G$110)</f>
        <v>0</v>
      </c>
      <c r="I124" s="454">
        <v>0</v>
      </c>
      <c r="J124" s="414">
        <f>IF(I$110=0,"N.D.",I124/I$110)</f>
        <v>0</v>
      </c>
      <c r="K124" s="454">
        <v>0</v>
      </c>
      <c r="L124" s="414">
        <f>IF(K$110=0,"N.D.",K124/K$110)</f>
        <v>0</v>
      </c>
      <c r="M124" s="454">
        <v>0</v>
      </c>
      <c r="N124" s="414">
        <f>IF(M$110=0,"N.D.",M124/M$110)</f>
        <v>0</v>
      </c>
      <c r="O124" s="454">
        <v>0</v>
      </c>
      <c r="P124" s="414">
        <f>IF(O$110=0,"N.D.",O124/O$110)</f>
        <v>0</v>
      </c>
      <c r="Q124" s="454"/>
      <c r="R124" s="414" t="str">
        <f>IF(Q$110=0,"N.D.",Q124/Q$110)</f>
        <v>N.D.</v>
      </c>
      <c r="S124" s="454"/>
      <c r="T124" s="414" t="str">
        <f>IF(S$110=0,"N.D.",S124/S$110)</f>
        <v>N.D.</v>
      </c>
      <c r="U124" s="454"/>
      <c r="V124" s="414" t="str">
        <f>IF(U$110=0,"N.D.",U124/U$110)</f>
        <v>N.D.</v>
      </c>
      <c r="W124" s="454"/>
      <c r="X124" s="414" t="str">
        <f>IF(W$110=0,"N.D.",W124/W$110)</f>
        <v>N.D.</v>
      </c>
      <c r="Y124" s="454"/>
      <c r="Z124" s="414" t="str">
        <f>IF(Y$110=0,"N.D.",Y124/Y$110)</f>
        <v>N.D.</v>
      </c>
      <c r="AA124" s="454">
        <f t="shared" si="150"/>
        <v>0</v>
      </c>
      <c r="AB124" s="414">
        <f>IF(AA$110=0,"N.D.",AA124/AA$110)</f>
        <v>0</v>
      </c>
      <c r="AD124" s="454">
        <f>+ER!AE93-'ER Act'!AA124</f>
        <v>0</v>
      </c>
    </row>
    <row r="125" spans="2:30" x14ac:dyDescent="0.25">
      <c r="C125" s="454"/>
      <c r="D125" s="414"/>
      <c r="E125" s="454"/>
      <c r="F125" s="414"/>
      <c r="G125" s="454"/>
      <c r="H125" s="414"/>
      <c r="I125" s="454"/>
      <c r="J125" s="414"/>
      <c r="K125" s="454"/>
      <c r="L125" s="414"/>
      <c r="M125" s="454"/>
      <c r="N125" s="414"/>
      <c r="O125" s="454"/>
      <c r="P125" s="414"/>
      <c r="Q125" s="454"/>
      <c r="R125" s="414"/>
      <c r="S125" s="454"/>
      <c r="T125" s="414"/>
      <c r="U125" s="454"/>
      <c r="V125" s="414"/>
      <c r="W125" s="454"/>
      <c r="X125" s="414"/>
      <c r="Y125" s="454"/>
      <c r="Z125" s="414"/>
      <c r="AA125" s="454"/>
      <c r="AB125" s="414"/>
      <c r="AD125" s="454">
        <f>+ER!AE94-'ER Act'!AA125</f>
        <v>0</v>
      </c>
    </row>
    <row r="126" spans="2:30" ht="13" x14ac:dyDescent="0.3">
      <c r="B126" s="137" t="s">
        <v>48</v>
      </c>
      <c r="C126" s="456">
        <v>0.66900000000000004</v>
      </c>
      <c r="D126" s="415">
        <f>IF(C$110=0,"N.D.",C126/C$110)</f>
        <v>2.4591971768857519E-3</v>
      </c>
      <c r="E126" s="456">
        <v>-0.83900000000000008</v>
      </c>
      <c r="F126" s="415">
        <f>IF(E$110=0,"N.D.",E126/E$110)</f>
        <v>-2.9012971114976437E-3</v>
      </c>
      <c r="G126" s="456">
        <v>-0.66099999999999992</v>
      </c>
      <c r="H126" s="415">
        <f>IF(G$110=0,"N.D.",G126/G$110)</f>
        <v>-2.0454960405261965E-3</v>
      </c>
      <c r="I126" s="456">
        <v>-0.70000000000000007</v>
      </c>
      <c r="J126" s="415">
        <f>IF(I$110=0,"N.D.",I126/I$110)</f>
        <v>-2.3431668234356853E-3</v>
      </c>
      <c r="K126" s="456">
        <v>-1.9950000000000001</v>
      </c>
      <c r="L126" s="415">
        <f>IF(K$110=0,"N.D.",K126/K$110)</f>
        <v>-6.5076134184052919E-3</v>
      </c>
      <c r="M126" s="456">
        <v>-1.78</v>
      </c>
      <c r="N126" s="415">
        <f>IF(M$110=0,"N.D.",M126/M$110)</f>
        <v>-6.1170907391370089E-3</v>
      </c>
      <c r="O126" s="456">
        <v>-1.7802100000000001</v>
      </c>
      <c r="P126" s="415">
        <f>IF(O$110=0,"N.D.",O126/O$110)</f>
        <v>-6.1178054803778551E-3</v>
      </c>
      <c r="Q126" s="456"/>
      <c r="R126" s="415" t="str">
        <f>IF(Q$110=0,"N.D.",Q126/Q$110)</f>
        <v>N.D.</v>
      </c>
      <c r="S126" s="456"/>
      <c r="T126" s="415" t="str">
        <f>IF(S$110=0,"N.D.",S126/S$110)</f>
        <v>N.D.</v>
      </c>
      <c r="U126" s="456"/>
      <c r="V126" s="415" t="str">
        <f>IF(U$110=0,"N.D.",U126/U$110)</f>
        <v>N.D.</v>
      </c>
      <c r="W126" s="456"/>
      <c r="X126" s="415" t="str">
        <f>IF(W$110=0,"N.D.",W126/W$110)</f>
        <v>N.D.</v>
      </c>
      <c r="Y126" s="456"/>
      <c r="Z126" s="415" t="str">
        <f>IF(Y$110=0,"N.D.",Y126/Y$110)</f>
        <v>N.D.</v>
      </c>
      <c r="AA126" s="456">
        <f t="shared" si="150"/>
        <v>-7.0862100000000012</v>
      </c>
      <c r="AB126" s="415">
        <f>IF(AA$110=0,"N.D.",AA126/AA$110)</f>
        <v>-3.4205611230920798E-3</v>
      </c>
      <c r="AD126" s="456">
        <f>+ER!AE95-'ER Act'!AA126</f>
        <v>1.7802600000000002</v>
      </c>
    </row>
    <row r="127" spans="2:30" ht="13" x14ac:dyDescent="0.3">
      <c r="B127" s="137" t="s">
        <v>49</v>
      </c>
      <c r="C127" s="456">
        <v>-26.321999999999992</v>
      </c>
      <c r="D127" s="415">
        <f>IF(C$110=0,"N.D.",C127/C$110)</f>
        <v>-9.6757829730921882E-2</v>
      </c>
      <c r="E127" s="456">
        <v>0.39099999999996415</v>
      </c>
      <c r="F127" s="415">
        <f>IF(E$110=0,"N.D.",E127/E$110)</f>
        <v>1.3520943630458578E-3</v>
      </c>
      <c r="G127" s="456">
        <v>9.7570000000000032</v>
      </c>
      <c r="H127" s="415">
        <f>IF(G$110=0,"N.D.",G127/G$110)</f>
        <v>3.0193502068705157E-2</v>
      </c>
      <c r="I127" s="456">
        <v>-2.4820000000000162</v>
      </c>
      <c r="J127" s="415">
        <f>IF(I$110=0,"N.D.",I127/I$110)</f>
        <v>-8.3082000796677272E-3</v>
      </c>
      <c r="K127" s="456">
        <v>4.9140000000000112</v>
      </c>
      <c r="L127" s="415">
        <f>IF(K$110=0,"N.D.",K127/K$110)</f>
        <v>1.602927936744044E-2</v>
      </c>
      <c r="M127" s="456">
        <v>-3.7789999999999973</v>
      </c>
      <c r="N127" s="415">
        <f>IF(M$110=0,"N.D.",M127/M$110)</f>
        <v>-1.298678983325772E-2</v>
      </c>
      <c r="O127" s="456">
        <v>-3.7776999999999639</v>
      </c>
      <c r="P127" s="415">
        <f>IF(O$110=0,"N.D.",O127/O$110)</f>
        <v>-1.2982307572265745E-2</v>
      </c>
      <c r="Q127" s="456"/>
      <c r="R127" s="415" t="str">
        <f>IF(Q$110=0,"N.D.",Q127/Q$110)</f>
        <v>N.D.</v>
      </c>
      <c r="S127" s="456"/>
      <c r="T127" s="415" t="str">
        <f>IF(S$110=0,"N.D.",S127/S$110)</f>
        <v>N.D.</v>
      </c>
      <c r="U127" s="456"/>
      <c r="V127" s="415" t="str">
        <f>IF(U$110=0,"N.D.",U127/U$110)</f>
        <v>N.D.</v>
      </c>
      <c r="W127" s="456"/>
      <c r="X127" s="415" t="str">
        <f>IF(W$110=0,"N.D.",W127/W$110)</f>
        <v>N.D.</v>
      </c>
      <c r="Y127" s="456"/>
      <c r="Z127" s="415" t="str">
        <f>IF(Y$110=0,"N.D.",Y127/Y$110)</f>
        <v>N.D.</v>
      </c>
      <c r="AA127" s="456">
        <f t="shared" si="150"/>
        <v>-21.29869999999999</v>
      </c>
      <c r="AB127" s="415">
        <f>IF(AA$110=0,"N.D.",AA127/AA$110)</f>
        <v>-1.0281025427189037E-2</v>
      </c>
      <c r="AD127" s="456">
        <f>+ER!AE96-'ER Act'!AA127</f>
        <v>3.7790499999998701</v>
      </c>
    </row>
    <row r="128" spans="2:30" x14ac:dyDescent="0.25">
      <c r="C128" s="457"/>
      <c r="D128" s="416"/>
      <c r="E128" s="457"/>
      <c r="F128" s="416"/>
      <c r="G128" s="457"/>
      <c r="H128" s="416"/>
      <c r="I128" s="457"/>
      <c r="J128" s="416"/>
      <c r="K128" s="457"/>
      <c r="L128" s="416"/>
      <c r="M128" s="457"/>
      <c r="N128" s="416"/>
      <c r="O128" s="457"/>
      <c r="P128" s="416"/>
      <c r="Q128" s="457"/>
      <c r="R128" s="416"/>
      <c r="S128" s="457"/>
      <c r="T128" s="416"/>
      <c r="U128" s="457"/>
      <c r="V128" s="416"/>
      <c r="W128" s="457"/>
      <c r="X128" s="416"/>
      <c r="Y128" s="457"/>
      <c r="Z128" s="416"/>
      <c r="AA128" s="457"/>
      <c r="AB128" s="416"/>
      <c r="AD128" s="457"/>
    </row>
    <row r="129" spans="2:30" x14ac:dyDescent="0.25">
      <c r="B129" s="137" t="s">
        <v>50</v>
      </c>
      <c r="C129" s="455">
        <v>0</v>
      </c>
      <c r="D129" s="417">
        <f>IF(C$110=0,"N.D.",C129/C$110)</f>
        <v>0</v>
      </c>
      <c r="E129" s="455">
        <v>0</v>
      </c>
      <c r="F129" s="417">
        <f>IF(E$110=0,"N.D.",E129/E$110)</f>
        <v>0</v>
      </c>
      <c r="G129" s="455">
        <v>0</v>
      </c>
      <c r="H129" s="417">
        <f t="shared" ref="H129:H138" si="151">IF(G$110=0,"N.D.",G129/G$110)</f>
        <v>0</v>
      </c>
      <c r="I129" s="455">
        <v>0</v>
      </c>
      <c r="J129" s="417">
        <f t="shared" ref="J129:J138" si="152">IF(I$110=0,"N.D.",I129/I$110)</f>
        <v>0</v>
      </c>
      <c r="K129" s="455">
        <v>0</v>
      </c>
      <c r="L129" s="417">
        <f t="shared" ref="L129:L138" si="153">IF(K$110=0,"N.D.",K129/K$110)</f>
        <v>0</v>
      </c>
      <c r="M129" s="455">
        <v>0</v>
      </c>
      <c r="N129" s="417">
        <f t="shared" ref="N129:N138" si="154">IF(M$110=0,"N.D.",M129/M$110)</f>
        <v>0</v>
      </c>
      <c r="O129" s="455">
        <v>0</v>
      </c>
      <c r="P129" s="417">
        <f t="shared" ref="P129:P138" si="155">IF(O$110=0,"N.D.",O129/O$110)</f>
        <v>0</v>
      </c>
      <c r="Q129" s="455"/>
      <c r="R129" s="417" t="str">
        <f t="shared" ref="R129:R138" si="156">IF(Q$110=0,"N.D.",Q129/Q$110)</f>
        <v>N.D.</v>
      </c>
      <c r="S129" s="455"/>
      <c r="T129" s="417" t="str">
        <f t="shared" ref="T129:T138" si="157">IF(S$110=0,"N.D.",S129/S$110)</f>
        <v>N.D.</v>
      </c>
      <c r="U129" s="455"/>
      <c r="V129" s="417" t="str">
        <f t="shared" ref="V129:V138" si="158">IF(U$110=0,"N.D.",U129/U$110)</f>
        <v>N.D.</v>
      </c>
      <c r="W129" s="455"/>
      <c r="X129" s="417" t="str">
        <f t="shared" ref="X129:X138" si="159">IF(W$110=0,"N.D.",W129/W$110)</f>
        <v>N.D.</v>
      </c>
      <c r="Y129" s="455"/>
      <c r="Z129" s="417" t="str">
        <f t="shared" ref="Z129:Z138" si="160">IF(Y$110=0,"N.D.",Y129/Y$110)</f>
        <v>N.D.</v>
      </c>
      <c r="AA129" s="455">
        <f t="shared" si="150"/>
        <v>0</v>
      </c>
      <c r="AB129" s="417">
        <f t="shared" ref="AB129:AB138" si="161">IF(AA$110=0,"N.D.",AA129/AA$110)</f>
        <v>0</v>
      </c>
      <c r="AD129" s="455">
        <f>+ER!AE98-'ER Act'!AA129</f>
        <v>0</v>
      </c>
    </row>
    <row r="130" spans="2:30" x14ac:dyDescent="0.25">
      <c r="B130" s="137" t="s">
        <v>51</v>
      </c>
      <c r="C130" s="454">
        <v>0</v>
      </c>
      <c r="D130" s="414">
        <f>IF(C$110=0,"N.D.",C130/C$110)</f>
        <v>0</v>
      </c>
      <c r="E130" s="454">
        <v>0</v>
      </c>
      <c r="F130" s="414">
        <f>IF(E$110=0,"N.D.",E130/E$110)</f>
        <v>0</v>
      </c>
      <c r="G130" s="454">
        <v>0</v>
      </c>
      <c r="H130" s="414">
        <f t="shared" si="151"/>
        <v>0</v>
      </c>
      <c r="I130" s="454">
        <v>0</v>
      </c>
      <c r="J130" s="414">
        <f t="shared" si="152"/>
        <v>0</v>
      </c>
      <c r="K130" s="454">
        <v>0</v>
      </c>
      <c r="L130" s="414">
        <f t="shared" si="153"/>
        <v>0</v>
      </c>
      <c r="M130" s="454">
        <v>0</v>
      </c>
      <c r="N130" s="414">
        <f t="shared" si="154"/>
        <v>0</v>
      </c>
      <c r="O130" s="454">
        <v>0</v>
      </c>
      <c r="P130" s="414">
        <f t="shared" si="155"/>
        <v>0</v>
      </c>
      <c r="Q130" s="454"/>
      <c r="R130" s="414" t="str">
        <f t="shared" si="156"/>
        <v>N.D.</v>
      </c>
      <c r="S130" s="454"/>
      <c r="T130" s="414" t="str">
        <f t="shared" si="157"/>
        <v>N.D.</v>
      </c>
      <c r="U130" s="454"/>
      <c r="V130" s="414" t="str">
        <f t="shared" si="158"/>
        <v>N.D.</v>
      </c>
      <c r="W130" s="454"/>
      <c r="X130" s="414" t="str">
        <f t="shared" si="159"/>
        <v>N.D.</v>
      </c>
      <c r="Y130" s="454"/>
      <c r="Z130" s="414" t="str">
        <f t="shared" si="160"/>
        <v>N.D.</v>
      </c>
      <c r="AA130" s="454">
        <f t="shared" si="150"/>
        <v>0</v>
      </c>
      <c r="AB130" s="414">
        <f t="shared" si="161"/>
        <v>0</v>
      </c>
      <c r="AD130" s="454">
        <f>+ER!AE99-'ER Act'!AA130</f>
        <v>0</v>
      </c>
    </row>
    <row r="131" spans="2:30" ht="13" x14ac:dyDescent="0.3">
      <c r="B131" s="131" t="s">
        <v>53</v>
      </c>
      <c r="C131" s="456">
        <v>-26.321999999999992</v>
      </c>
      <c r="D131" s="415">
        <f>IF(C$110=0,"N.D.",C131/C$110)</f>
        <v>-9.6757829730921882E-2</v>
      </c>
      <c r="E131" s="456">
        <v>0.39099999999996415</v>
      </c>
      <c r="F131" s="415">
        <f>IF(E$110=0,"N.D.",E131/E$110)</f>
        <v>1.3520943630458578E-3</v>
      </c>
      <c r="G131" s="456">
        <v>9.7570000000000032</v>
      </c>
      <c r="H131" s="415">
        <f t="shared" si="151"/>
        <v>3.0193502068705157E-2</v>
      </c>
      <c r="I131" s="456">
        <v>-2.4820000000000162</v>
      </c>
      <c r="J131" s="415">
        <f t="shared" si="152"/>
        <v>-8.3082000796677272E-3</v>
      </c>
      <c r="K131" s="456">
        <v>4.9140000000000112</v>
      </c>
      <c r="L131" s="415">
        <f t="shared" si="153"/>
        <v>1.602927936744044E-2</v>
      </c>
      <c r="M131" s="456">
        <v>-3.7789999999999973</v>
      </c>
      <c r="N131" s="415">
        <f t="shared" si="154"/>
        <v>-1.298678983325772E-2</v>
      </c>
      <c r="O131" s="456">
        <v>-3.7776999999999639</v>
      </c>
      <c r="P131" s="415">
        <f t="shared" si="155"/>
        <v>-1.2982307572265745E-2</v>
      </c>
      <c r="Q131" s="456"/>
      <c r="R131" s="415" t="str">
        <f t="shared" si="156"/>
        <v>N.D.</v>
      </c>
      <c r="S131" s="456"/>
      <c r="T131" s="415" t="str">
        <f t="shared" si="157"/>
        <v>N.D.</v>
      </c>
      <c r="U131" s="456"/>
      <c r="V131" s="415" t="str">
        <f t="shared" si="158"/>
        <v>N.D.</v>
      </c>
      <c r="W131" s="456"/>
      <c r="X131" s="415" t="str">
        <f t="shared" si="159"/>
        <v>N.D.</v>
      </c>
      <c r="Y131" s="456"/>
      <c r="Z131" s="415" t="str">
        <f t="shared" si="160"/>
        <v>N.D.</v>
      </c>
      <c r="AA131" s="456">
        <f t="shared" si="150"/>
        <v>-21.29869999999999</v>
      </c>
      <c r="AB131" s="415">
        <f t="shared" si="161"/>
        <v>-1.0281025427189037E-2</v>
      </c>
      <c r="AD131" s="456">
        <f>+ER!AE100-'ER Act'!AA131</f>
        <v>3.7790499999998701</v>
      </c>
    </row>
    <row r="132" spans="2:30" ht="13" x14ac:dyDescent="0.3">
      <c r="B132" s="131" t="s">
        <v>122</v>
      </c>
      <c r="C132" s="456">
        <v>-23.789999999999992</v>
      </c>
      <c r="D132" s="415">
        <f>IF(C$110=0,"N.D.",C132/C$110)</f>
        <v>-8.745037494486102E-2</v>
      </c>
      <c r="E132" s="456">
        <v>1.4149999999999641</v>
      </c>
      <c r="F132" s="415">
        <f>IF(E$110=0,"N.D.",E132/E$110)</f>
        <v>4.8931292166496561E-3</v>
      </c>
      <c r="G132" s="456">
        <v>10.959000000000003</v>
      </c>
      <c r="H132" s="415">
        <f t="shared" si="151"/>
        <v>3.391314842379213E-2</v>
      </c>
      <c r="I132" s="456">
        <v>-1.3190000000000164</v>
      </c>
      <c r="J132" s="415">
        <f t="shared" si="152"/>
        <v>-4.415195771588153E-3</v>
      </c>
      <c r="K132" s="456">
        <v>4.0260000000000113</v>
      </c>
      <c r="L132" s="415">
        <f t="shared" si="153"/>
        <v>1.3132657454887108E-2</v>
      </c>
      <c r="M132" s="456">
        <v>-3.6959999999999975</v>
      </c>
      <c r="N132" s="415">
        <f t="shared" si="154"/>
        <v>-1.2701554703286724E-2</v>
      </c>
      <c r="O132" s="456">
        <v>-3.6945899999999643</v>
      </c>
      <c r="P132" s="415">
        <f t="shared" si="155"/>
        <v>-1.2696694743737538E-2</v>
      </c>
      <c r="Q132" s="456"/>
      <c r="R132" s="415" t="str">
        <f t="shared" si="156"/>
        <v>N.D.</v>
      </c>
      <c r="S132" s="456"/>
      <c r="T132" s="415" t="str">
        <f t="shared" si="157"/>
        <v>N.D.</v>
      </c>
      <c r="U132" s="456"/>
      <c r="V132" s="415" t="str">
        <f t="shared" si="158"/>
        <v>N.D.</v>
      </c>
      <c r="W132" s="456"/>
      <c r="X132" s="415" t="str">
        <f t="shared" si="159"/>
        <v>N.D.</v>
      </c>
      <c r="Y132" s="456"/>
      <c r="Z132" s="415" t="str">
        <f t="shared" si="160"/>
        <v>N.D.</v>
      </c>
      <c r="AA132" s="456">
        <f t="shared" si="150"/>
        <v>-16.099589999999992</v>
      </c>
      <c r="AB132" s="415">
        <f t="shared" si="161"/>
        <v>-7.7713801385680048E-3</v>
      </c>
      <c r="AD132" s="459">
        <f>+ER!AE101-'ER Act'!AA132</f>
        <v>3.6976299999998687</v>
      </c>
    </row>
    <row r="133" spans="2:30" ht="13" x14ac:dyDescent="0.3">
      <c r="B133" s="1" t="s">
        <v>194</v>
      </c>
      <c r="C133" s="373">
        <v>0</v>
      </c>
      <c r="D133" s="407">
        <f t="shared" ref="D133:F138" si="162">IF(C$110=0,"N.D.",C133/C$110)</f>
        <v>0</v>
      </c>
      <c r="E133" s="373">
        <v>0</v>
      </c>
      <c r="F133" s="407">
        <f t="shared" si="162"/>
        <v>0</v>
      </c>
      <c r="G133" s="373">
        <v>0</v>
      </c>
      <c r="H133" s="407">
        <f t="shared" si="151"/>
        <v>0</v>
      </c>
      <c r="I133" s="373">
        <v>0</v>
      </c>
      <c r="J133" s="407">
        <f t="shared" si="152"/>
        <v>0</v>
      </c>
      <c r="K133" s="373">
        <v>0</v>
      </c>
      <c r="L133" s="407">
        <f t="shared" si="153"/>
        <v>0</v>
      </c>
      <c r="M133" s="373">
        <v>0</v>
      </c>
      <c r="N133" s="407">
        <f t="shared" si="154"/>
        <v>0</v>
      </c>
      <c r="O133" s="373">
        <v>0</v>
      </c>
      <c r="P133" s="407">
        <f t="shared" si="155"/>
        <v>0</v>
      </c>
      <c r="Q133" s="373"/>
      <c r="R133" s="407" t="str">
        <f t="shared" si="156"/>
        <v>N.D.</v>
      </c>
      <c r="S133" s="373"/>
      <c r="T133" s="407" t="str">
        <f t="shared" si="157"/>
        <v>N.D.</v>
      </c>
      <c r="U133" s="373"/>
      <c r="V133" s="407" t="str">
        <f t="shared" si="158"/>
        <v>N.D.</v>
      </c>
      <c r="W133" s="373"/>
      <c r="X133" s="407" t="str">
        <f t="shared" si="159"/>
        <v>N.D.</v>
      </c>
      <c r="Y133" s="373"/>
      <c r="Z133" s="407" t="str">
        <f t="shared" si="160"/>
        <v>N.D.</v>
      </c>
      <c r="AA133" s="373">
        <f t="shared" si="150"/>
        <v>0</v>
      </c>
      <c r="AB133" s="407">
        <f t="shared" si="161"/>
        <v>0</v>
      </c>
      <c r="AD133" s="418">
        <f>+ER!AE102-'ER Act'!AA133</f>
        <v>0</v>
      </c>
    </row>
    <row r="134" spans="2:30" ht="13" x14ac:dyDescent="0.3">
      <c r="B134" s="1" t="s">
        <v>123</v>
      </c>
      <c r="C134" s="408"/>
      <c r="D134" s="409">
        <f t="shared" si="162"/>
        <v>0</v>
      </c>
      <c r="E134" s="408"/>
      <c r="F134" s="409">
        <f t="shared" si="162"/>
        <v>0</v>
      </c>
      <c r="G134" s="408"/>
      <c r="H134" s="409">
        <f t="shared" si="151"/>
        <v>0</v>
      </c>
      <c r="I134" s="408"/>
      <c r="J134" s="409">
        <f t="shared" si="152"/>
        <v>0</v>
      </c>
      <c r="K134" s="408"/>
      <c r="L134" s="409">
        <f t="shared" si="153"/>
        <v>0</v>
      </c>
      <c r="M134" s="408"/>
      <c r="N134" s="409">
        <f t="shared" si="154"/>
        <v>0</v>
      </c>
      <c r="O134" s="408"/>
      <c r="P134" s="409">
        <f t="shared" si="155"/>
        <v>0</v>
      </c>
      <c r="Q134" s="408"/>
      <c r="R134" s="409" t="str">
        <f t="shared" si="156"/>
        <v>N.D.</v>
      </c>
      <c r="S134" s="408"/>
      <c r="T134" s="409" t="str">
        <f t="shared" si="157"/>
        <v>N.D.</v>
      </c>
      <c r="U134" s="408"/>
      <c r="V134" s="409" t="str">
        <f t="shared" si="158"/>
        <v>N.D.</v>
      </c>
      <c r="W134" s="408"/>
      <c r="X134" s="409" t="str">
        <f t="shared" si="159"/>
        <v>N.D.</v>
      </c>
      <c r="Y134" s="408"/>
      <c r="Z134" s="409" t="str">
        <f t="shared" si="160"/>
        <v>N.D.</v>
      </c>
      <c r="AA134" s="408">
        <f t="shared" si="150"/>
        <v>0</v>
      </c>
      <c r="AB134" s="409">
        <f t="shared" si="161"/>
        <v>0</v>
      </c>
      <c r="AD134" s="460">
        <f>+ER!AE103-'ER Act'!AA134</f>
        <v>0</v>
      </c>
    </row>
    <row r="135" spans="2:30" ht="13" x14ac:dyDescent="0.3">
      <c r="B135" s="7" t="s">
        <v>190</v>
      </c>
      <c r="C135" s="410">
        <v>-24.458999999999993</v>
      </c>
      <c r="D135" s="409">
        <f t="shared" si="162"/>
        <v>-8.9909572121746772E-2</v>
      </c>
      <c r="E135" s="410">
        <v>2.253999999999964</v>
      </c>
      <c r="F135" s="409">
        <f t="shared" si="162"/>
        <v>7.7944263281472994E-3</v>
      </c>
      <c r="G135" s="410">
        <v>11.620000000000003</v>
      </c>
      <c r="H135" s="409">
        <f t="shared" si="151"/>
        <v>3.5958644464318325E-2</v>
      </c>
      <c r="I135" s="410">
        <v>-0.6190000000000162</v>
      </c>
      <c r="J135" s="409">
        <f t="shared" si="152"/>
        <v>-2.0720289481524672E-3</v>
      </c>
      <c r="K135" s="410">
        <v>6.0210000000000115</v>
      </c>
      <c r="L135" s="409">
        <f t="shared" si="153"/>
        <v>1.9640270873292398E-2</v>
      </c>
      <c r="M135" s="410">
        <v>-1.9159999999999973</v>
      </c>
      <c r="N135" s="409">
        <f t="shared" si="154"/>
        <v>-6.5844639641497154E-3</v>
      </c>
      <c r="O135" s="410">
        <v>-1.914379999999964</v>
      </c>
      <c r="P135" s="409">
        <f t="shared" si="155"/>
        <v>-6.5788892633596814E-3</v>
      </c>
      <c r="Q135" s="410"/>
      <c r="R135" s="409" t="str">
        <f t="shared" si="156"/>
        <v>N.D.</v>
      </c>
      <c r="S135" s="410"/>
      <c r="T135" s="409" t="str">
        <f t="shared" si="157"/>
        <v>N.D.</v>
      </c>
      <c r="U135" s="410"/>
      <c r="V135" s="409" t="str">
        <f t="shared" si="158"/>
        <v>N.D.</v>
      </c>
      <c r="W135" s="410"/>
      <c r="X135" s="409" t="str">
        <f t="shared" si="159"/>
        <v>N.D.</v>
      </c>
      <c r="Y135" s="410"/>
      <c r="Z135" s="409" t="str">
        <f t="shared" si="160"/>
        <v>N.D.</v>
      </c>
      <c r="AA135" s="410">
        <f t="shared" si="150"/>
        <v>-9.0133799999999926</v>
      </c>
      <c r="AB135" s="409">
        <f t="shared" si="161"/>
        <v>-4.3508190154759258E-3</v>
      </c>
      <c r="AD135" s="410">
        <f>+ER!AE104-'ER Act'!AA135</f>
        <v>1.9173699999998721</v>
      </c>
    </row>
    <row r="136" spans="2:30" ht="13" x14ac:dyDescent="0.3">
      <c r="B136" s="7" t="s">
        <v>191</v>
      </c>
      <c r="C136" s="381">
        <v>0.56999999999999995</v>
      </c>
      <c r="D136" s="411">
        <f t="shared" si="162"/>
        <v>2.0952801058667838E-3</v>
      </c>
      <c r="E136" s="381">
        <v>0.64373000000000002</v>
      </c>
      <c r="F136" s="411">
        <f t="shared" si="162"/>
        <v>2.2260452795999741E-3</v>
      </c>
      <c r="G136" s="381">
        <v>0.6184400000000001</v>
      </c>
      <c r="H136" s="411">
        <f t="shared" si="151"/>
        <v>1.9137920897171277E-3</v>
      </c>
      <c r="I136" s="381">
        <v>0.59232000000000007</v>
      </c>
      <c r="J136" s="411">
        <f t="shared" si="152"/>
        <v>1.9827208183677502E-3</v>
      </c>
      <c r="K136" s="381">
        <v>0.59</v>
      </c>
      <c r="L136" s="411">
        <f t="shared" si="153"/>
        <v>1.9245573518090837E-3</v>
      </c>
      <c r="M136" s="381">
        <v>0</v>
      </c>
      <c r="N136" s="411">
        <f t="shared" si="154"/>
        <v>0</v>
      </c>
      <c r="O136" s="381">
        <v>0</v>
      </c>
      <c r="P136" s="411">
        <f t="shared" si="155"/>
        <v>0</v>
      </c>
      <c r="Q136" s="381"/>
      <c r="R136" s="411" t="str">
        <f t="shared" si="156"/>
        <v>N.D.</v>
      </c>
      <c r="S136" s="381"/>
      <c r="T136" s="411" t="str">
        <f t="shared" si="157"/>
        <v>N.D.</v>
      </c>
      <c r="U136" s="381"/>
      <c r="V136" s="411" t="str">
        <f t="shared" si="158"/>
        <v>N.D.</v>
      </c>
      <c r="W136" s="381"/>
      <c r="X136" s="411" t="str">
        <f t="shared" si="159"/>
        <v>N.D.</v>
      </c>
      <c r="Y136" s="381"/>
      <c r="Z136" s="411" t="str">
        <f t="shared" si="160"/>
        <v>N.D.</v>
      </c>
      <c r="AA136" s="381">
        <f t="shared" si="150"/>
        <v>3.0144899999999999</v>
      </c>
      <c r="AB136" s="411">
        <f t="shared" si="161"/>
        <v>1.4551145534707328E-3</v>
      </c>
      <c r="AD136" s="381">
        <f>+ER!AE105-'ER Act'!AA136</f>
        <v>2.20000000000109E-4</v>
      </c>
    </row>
    <row r="137" spans="2:30" ht="13" x14ac:dyDescent="0.3">
      <c r="B137" s="7" t="s">
        <v>84</v>
      </c>
      <c r="C137" s="381">
        <v>-25.028999999999993</v>
      </c>
      <c r="D137" s="411">
        <f t="shared" si="162"/>
        <v>-9.2004852227613551E-2</v>
      </c>
      <c r="E137" s="381">
        <v>1.6102699999999639</v>
      </c>
      <c r="F137" s="411">
        <f t="shared" si="162"/>
        <v>5.5683810485473249E-3</v>
      </c>
      <c r="G137" s="381">
        <v>11.001560000000003</v>
      </c>
      <c r="H137" s="411">
        <f t="shared" si="151"/>
        <v>3.4044852374601198E-2</v>
      </c>
      <c r="I137" s="381">
        <v>-1.2113200000000162</v>
      </c>
      <c r="J137" s="411">
        <f t="shared" si="152"/>
        <v>-4.0547497665202169E-3</v>
      </c>
      <c r="K137" s="381">
        <v>5.4310000000000116</v>
      </c>
      <c r="L137" s="411">
        <f t="shared" si="153"/>
        <v>1.7715713521483316E-2</v>
      </c>
      <c r="M137" s="381">
        <v>-1.9159999999999973</v>
      </c>
      <c r="N137" s="411">
        <f t="shared" si="154"/>
        <v>-6.5844639641497154E-3</v>
      </c>
      <c r="O137" s="381">
        <v>-1.914379999999964</v>
      </c>
      <c r="P137" s="411">
        <f t="shared" si="155"/>
        <v>-6.5788892633596814E-3</v>
      </c>
      <c r="Q137" s="381"/>
      <c r="R137" s="411" t="str">
        <f t="shared" si="156"/>
        <v>N.D.</v>
      </c>
      <c r="S137" s="381"/>
      <c r="T137" s="411" t="str">
        <f t="shared" si="157"/>
        <v>N.D.</v>
      </c>
      <c r="U137" s="381"/>
      <c r="V137" s="411" t="str">
        <f t="shared" si="158"/>
        <v>N.D.</v>
      </c>
      <c r="W137" s="381"/>
      <c r="X137" s="411" t="str">
        <f t="shared" si="159"/>
        <v>N.D.</v>
      </c>
      <c r="Y137" s="381"/>
      <c r="Z137" s="411" t="str">
        <f t="shared" si="160"/>
        <v>N.D.</v>
      </c>
      <c r="AA137" s="381">
        <f t="shared" si="150"/>
        <v>-12.027869999999991</v>
      </c>
      <c r="AB137" s="411">
        <f t="shared" si="161"/>
        <v>-5.8059335689466581E-3</v>
      </c>
      <c r="AD137" s="381">
        <f>+ER!AE106-'ER Act'!AA137</f>
        <v>1.9171499999998698</v>
      </c>
    </row>
    <row r="138" spans="2:30" ht="13" x14ac:dyDescent="0.3">
      <c r="B138" s="1" t="s">
        <v>193</v>
      </c>
      <c r="C138" s="412">
        <v>-42.910526315789461</v>
      </c>
      <c r="D138" s="411">
        <f t="shared" si="162"/>
        <v>-0.15773609144166101</v>
      </c>
      <c r="E138" s="412">
        <v>3.5014680067729698</v>
      </c>
      <c r="F138" s="411">
        <f t="shared" si="162"/>
        <v>1.210822290113448E-2</v>
      </c>
      <c r="G138" s="412">
        <v>18.789211564581851</v>
      </c>
      <c r="H138" s="411">
        <f t="shared" si="151"/>
        <v>5.8144111739729512E-2</v>
      </c>
      <c r="I138" s="412">
        <v>-1.0450432198811725</v>
      </c>
      <c r="J138" s="411">
        <f t="shared" si="152"/>
        <v>-3.4981580026885247E-3</v>
      </c>
      <c r="K138" s="412">
        <v>10.205084745762731</v>
      </c>
      <c r="L138" s="411">
        <f t="shared" si="153"/>
        <v>3.328859470049559E-2</v>
      </c>
      <c r="M138" s="412" t="s">
        <v>451</v>
      </c>
      <c r="N138" s="411" t="e">
        <f t="shared" si="154"/>
        <v>#VALUE!</v>
      </c>
      <c r="O138" s="412" t="s">
        <v>451</v>
      </c>
      <c r="P138" s="411" t="e">
        <f t="shared" si="155"/>
        <v>#VALUE!</v>
      </c>
      <c r="Q138" s="412"/>
      <c r="R138" s="411" t="str">
        <f t="shared" si="156"/>
        <v>N.D.</v>
      </c>
      <c r="S138" s="412"/>
      <c r="T138" s="411" t="str">
        <f t="shared" si="157"/>
        <v>N.D.</v>
      </c>
      <c r="U138" s="412"/>
      <c r="V138" s="411" t="str">
        <f t="shared" si="158"/>
        <v>N.D.</v>
      </c>
      <c r="W138" s="412"/>
      <c r="X138" s="411" t="str">
        <f t="shared" si="159"/>
        <v>N.D.</v>
      </c>
      <c r="Y138" s="412"/>
      <c r="Z138" s="411" t="str">
        <f t="shared" si="160"/>
        <v>N.D.</v>
      </c>
      <c r="AA138" s="412">
        <f>IF(AA136=0,"N.D.",(AA135-AA133-AA134)/AA136)</f>
        <v>-2.9900182120358645</v>
      </c>
      <c r="AB138" s="411">
        <f t="shared" si="161"/>
        <v>-1.4433018571884219E-3</v>
      </c>
      <c r="AD138" s="412">
        <f>+ER!AE107-'ER Act'!AA138</f>
        <v>0.63622298795125243</v>
      </c>
    </row>
    <row r="140" spans="2:30" ht="13" x14ac:dyDescent="0.3">
      <c r="B140" s="143"/>
      <c r="D140" s="429"/>
      <c r="F140" s="429"/>
      <c r="H140" s="429"/>
      <c r="J140" s="429"/>
      <c r="L140" s="429"/>
      <c r="N140" s="429"/>
      <c r="P140" s="429"/>
      <c r="R140" s="429"/>
      <c r="T140" s="429"/>
      <c r="V140" s="429"/>
      <c r="X140" s="429"/>
      <c r="Z140" s="429"/>
      <c r="AB140" s="429"/>
    </row>
    <row r="141" spans="2:30" ht="13" x14ac:dyDescent="0.3">
      <c r="B141" s="143" t="s">
        <v>181</v>
      </c>
      <c r="D141" s="429"/>
      <c r="F141" s="429"/>
      <c r="H141" s="429"/>
      <c r="J141" s="429"/>
      <c r="L141" s="429"/>
      <c r="N141" s="429"/>
      <c r="P141" s="429"/>
      <c r="R141" s="429"/>
      <c r="T141" s="429"/>
      <c r="V141" s="429"/>
      <c r="X141" s="429"/>
      <c r="Z141" s="429"/>
      <c r="AB141" s="429"/>
    </row>
    <row r="142" spans="2:30" ht="13" x14ac:dyDescent="0.3">
      <c r="B142" s="250" t="s">
        <v>328</v>
      </c>
      <c r="C142" s="396" t="s">
        <v>418</v>
      </c>
      <c r="D142" s="397"/>
      <c r="E142" s="396" t="s">
        <v>419</v>
      </c>
      <c r="F142" s="397"/>
      <c r="G142" s="396" t="s">
        <v>417</v>
      </c>
      <c r="H142" s="397"/>
      <c r="I142" s="396" t="s">
        <v>420</v>
      </c>
      <c r="J142" s="397"/>
      <c r="K142" s="396" t="s">
        <v>421</v>
      </c>
      <c r="L142" s="397"/>
      <c r="M142" s="396" t="s">
        <v>422</v>
      </c>
      <c r="N142" s="397"/>
      <c r="O142" s="396" t="s">
        <v>423</v>
      </c>
      <c r="P142" s="397"/>
      <c r="Q142" s="396" t="s">
        <v>428</v>
      </c>
      <c r="R142" s="397"/>
      <c r="S142" s="396" t="s">
        <v>424</v>
      </c>
      <c r="T142" s="397"/>
      <c r="U142" s="396" t="s">
        <v>425</v>
      </c>
      <c r="V142" s="397"/>
      <c r="W142" s="396" t="s">
        <v>426</v>
      </c>
      <c r="X142" s="397"/>
      <c r="Y142" s="396" t="s">
        <v>427</v>
      </c>
      <c r="Z142" s="431"/>
      <c r="AA142" s="452" t="s">
        <v>496</v>
      </c>
      <c r="AB142" s="431"/>
    </row>
    <row r="143" spans="2:30" x14ac:dyDescent="0.25">
      <c r="B143" s="137" t="s">
        <v>38</v>
      </c>
      <c r="C143" s="454">
        <v>268.202</v>
      </c>
      <c r="D143" s="439">
        <f>IF(C$143=0,"N.D.",C143/C$143)</f>
        <v>1</v>
      </c>
      <c r="E143" s="454">
        <v>290.07100000000003</v>
      </c>
      <c r="F143" s="439">
        <f>IF(E$143=0,"N.D.",E143/E$143)</f>
        <v>1</v>
      </c>
      <c r="G143" s="454">
        <v>337.82100000000003</v>
      </c>
      <c r="H143" s="439">
        <f>IF(G$143=0,"N.D.",G143/G$143)</f>
        <v>1</v>
      </c>
      <c r="I143" s="454">
        <v>291.94299999999998</v>
      </c>
      <c r="J143" s="439">
        <f>IF(I$143=0,"N.D.",I143/I$143)</f>
        <v>1</v>
      </c>
      <c r="K143" s="454">
        <v>332.16899999999998</v>
      </c>
      <c r="L143" s="439">
        <f>IF(K$143=0,"N.D.",K143/K$143)</f>
        <v>1</v>
      </c>
      <c r="M143" s="454">
        <v>302.41500000000002</v>
      </c>
      <c r="N143" s="439">
        <f>IF(M$143=0,"N.D.",M143/M$143)</f>
        <v>1</v>
      </c>
      <c r="O143" s="454">
        <v>302.41525000000001</v>
      </c>
      <c r="P143" s="439">
        <f>IF(O$143=0,"N.D.",O143/O$143)</f>
        <v>1</v>
      </c>
      <c r="Q143" s="454"/>
      <c r="R143" s="439" t="str">
        <f>IF(Q$143=0,"N.D.",Q143/Q$143)</f>
        <v>N.D.</v>
      </c>
      <c r="S143" s="454"/>
      <c r="T143" s="439" t="str">
        <f>IF(S$143=0,"N.D.",S143/S$143)</f>
        <v>N.D.</v>
      </c>
      <c r="U143" s="454"/>
      <c r="V143" s="439" t="str">
        <f>IF(U$143=0,"N.D.",U143/U$143)</f>
        <v>N.D.</v>
      </c>
      <c r="W143" s="454"/>
      <c r="X143" s="439" t="str">
        <f>IF(W$143=0,"N.D.",W143/W$143)</f>
        <v>N.D.</v>
      </c>
      <c r="Y143" s="454"/>
      <c r="Z143" s="439" t="str">
        <f>IF(Y$143=0,"N.D.",Y143/Y$143)</f>
        <v>N.D.</v>
      </c>
      <c r="AA143" s="454">
        <f>+Y143+W143+U143+S143+Q143+O143+M143+K143+I143+G143+E143+C143</f>
        <v>2125.0362500000001</v>
      </c>
      <c r="AB143" s="439">
        <f>IF(AA$143=0,"N.D.",AA143/AA$143)</f>
        <v>1</v>
      </c>
      <c r="AD143" s="455">
        <f>+ER!AE187-'ER Act'!AA143</f>
        <v>-302.41408000000024</v>
      </c>
    </row>
    <row r="144" spans="2:30" x14ac:dyDescent="0.25">
      <c r="B144" s="146" t="s">
        <v>39</v>
      </c>
      <c r="C144" s="454">
        <v>88.754999999999995</v>
      </c>
      <c r="D144" s="439">
        <f>IF(C$143=0,"N.D.",C144/C$143)</f>
        <v>0.33092594387812169</v>
      </c>
      <c r="E144" s="454">
        <v>89.497</v>
      </c>
      <c r="F144" s="439">
        <f>IF(E$143=0,"N.D.",E144/E$143)</f>
        <v>0.30853480699552865</v>
      </c>
      <c r="G144" s="454">
        <v>105.79300000000001</v>
      </c>
      <c r="H144" s="439">
        <f>IF(G$143=0,"N.D.",G144/G$143)</f>
        <v>0.3131628880383398</v>
      </c>
      <c r="I144" s="454">
        <v>91.534000000000006</v>
      </c>
      <c r="J144" s="439">
        <f>IF(I$143=0,"N.D.",I144/I$143)</f>
        <v>0.31353380625670085</v>
      </c>
      <c r="K144" s="454">
        <v>110.529</v>
      </c>
      <c r="L144" s="439">
        <f>IF(K$143=0,"N.D.",K144/K$143)</f>
        <v>0.33274929328143205</v>
      </c>
      <c r="M144" s="454">
        <v>100.41500000000001</v>
      </c>
      <c r="N144" s="439">
        <f>IF(M$143=0,"N.D.",M144/M$143)</f>
        <v>0.3320437147628259</v>
      </c>
      <c r="O144" s="454">
        <v>100.41549000000001</v>
      </c>
      <c r="P144" s="439">
        <f>IF(O$143=0,"N.D.",O144/O$143)</f>
        <v>0.33204506055828864</v>
      </c>
      <c r="Q144" s="454"/>
      <c r="R144" s="439" t="str">
        <f>IF(Q$143=0,"N.D.",Q144/Q$143)</f>
        <v>N.D.</v>
      </c>
      <c r="S144" s="454"/>
      <c r="T144" s="439" t="str">
        <f>IF(S$143=0,"N.D.",S144/S$143)</f>
        <v>N.D.</v>
      </c>
      <c r="U144" s="454"/>
      <c r="V144" s="439" t="str">
        <f>IF(U$143=0,"N.D.",U144/U$143)</f>
        <v>N.D.</v>
      </c>
      <c r="W144" s="454"/>
      <c r="X144" s="439" t="str">
        <f>IF(W$143=0,"N.D.",W144/W$143)</f>
        <v>N.D.</v>
      </c>
      <c r="Y144" s="454"/>
      <c r="Z144" s="439" t="str">
        <f>IF(Y$143=0,"N.D.",Y144/Y$143)</f>
        <v>N.D.</v>
      </c>
      <c r="AA144" s="454">
        <f t="shared" ref="AA144:AA170" si="163">+Y144+W144+U144+S144+Q144+O144+M144+K144+I144+G144+E144+C144</f>
        <v>686.93849</v>
      </c>
      <c r="AB144" s="439">
        <f>IF(AA$143=0,"N.D.",AA144/AA$143)</f>
        <v>0.32325965733525719</v>
      </c>
      <c r="AD144" s="454">
        <f>+ER!AE188-'ER Act'!AA144</f>
        <v>-100.41462000000001</v>
      </c>
    </row>
    <row r="145" spans="2:30" x14ac:dyDescent="0.25">
      <c r="B145" s="9" t="s">
        <v>219</v>
      </c>
      <c r="C145" s="454">
        <v>0</v>
      </c>
      <c r="D145" s="439">
        <f>IF(C$143=0,"N.D.",C145/C$143)</f>
        <v>0</v>
      </c>
      <c r="E145" s="454">
        <v>0</v>
      </c>
      <c r="F145" s="439">
        <f>IF(E$143=0,"N.D.",E145/E$143)</f>
        <v>0</v>
      </c>
      <c r="G145" s="454">
        <v>0</v>
      </c>
      <c r="H145" s="439">
        <f>IF(G$143=0,"N.D.",G145/G$143)</f>
        <v>0</v>
      </c>
      <c r="I145" s="454">
        <v>0</v>
      </c>
      <c r="J145" s="439">
        <f>IF(I$143=0,"N.D.",I145/I$143)</f>
        <v>0</v>
      </c>
      <c r="K145" s="454">
        <v>0</v>
      </c>
      <c r="L145" s="439">
        <f>IF(K$143=0,"N.D.",K145/K$143)</f>
        <v>0</v>
      </c>
      <c r="M145" s="454">
        <v>0</v>
      </c>
      <c r="N145" s="439">
        <f>IF(M$143=0,"N.D.",M145/M$143)</f>
        <v>0</v>
      </c>
      <c r="O145" s="454">
        <v>0</v>
      </c>
      <c r="P145" s="439">
        <f>IF(O$143=0,"N.D.",O145/O$143)</f>
        <v>0</v>
      </c>
      <c r="Q145" s="454"/>
      <c r="R145" s="439" t="str">
        <f>IF(Q$143=0,"N.D.",Q145/Q$143)</f>
        <v>N.D.</v>
      </c>
      <c r="S145" s="454"/>
      <c r="T145" s="439" t="str">
        <f>IF(S$143=0,"N.D.",S145/S$143)</f>
        <v>N.D.</v>
      </c>
      <c r="U145" s="454"/>
      <c r="V145" s="439" t="str">
        <f>IF(U$143=0,"N.D.",U145/U$143)</f>
        <v>N.D.</v>
      </c>
      <c r="W145" s="454"/>
      <c r="X145" s="439" t="str">
        <f>IF(W$143=0,"N.D.",W145/W$143)</f>
        <v>N.D.</v>
      </c>
      <c r="Y145" s="454"/>
      <c r="Z145" s="439" t="str">
        <f>IF(Y$143=0,"N.D.",Y145/Y$143)</f>
        <v>N.D.</v>
      </c>
      <c r="AA145" s="454"/>
      <c r="AB145" s="439">
        <f>IF(AA$143=0,"N.D.",AA145/AA$143)</f>
        <v>0</v>
      </c>
      <c r="AD145" s="454">
        <f>+ER!AE189-'ER Act'!AA145</f>
        <v>0</v>
      </c>
    </row>
    <row r="146" spans="2:30" ht="13" x14ac:dyDescent="0.3">
      <c r="B146" s="137" t="s">
        <v>40</v>
      </c>
      <c r="C146" s="456">
        <v>179.447</v>
      </c>
      <c r="D146" s="440">
        <f>IF(C$143=0,"N.D.",C146/C$143)</f>
        <v>0.66907405612187831</v>
      </c>
      <c r="E146" s="456">
        <v>200.57400000000001</v>
      </c>
      <c r="F146" s="440">
        <f>IF(E$143=0,"N.D.",E146/E$143)</f>
        <v>0.69146519300447129</v>
      </c>
      <c r="G146" s="456">
        <v>232.02800000000002</v>
      </c>
      <c r="H146" s="440">
        <f>IF(G$143=0,"N.D.",G146/G$143)</f>
        <v>0.6868371119616602</v>
      </c>
      <c r="I146" s="456">
        <v>200.40899999999999</v>
      </c>
      <c r="J146" s="440">
        <f>IF(I$143=0,"N.D.",I146/I$143)</f>
        <v>0.6864661937432992</v>
      </c>
      <c r="K146" s="456">
        <v>221.64</v>
      </c>
      <c r="L146" s="440">
        <f>IF(K$143=0,"N.D.",K146/K$143)</f>
        <v>0.6672507067185679</v>
      </c>
      <c r="M146" s="456">
        <v>202</v>
      </c>
      <c r="N146" s="440">
        <f>IF(M$143=0,"N.D.",M146/M$143)</f>
        <v>0.66795628523717399</v>
      </c>
      <c r="O146" s="456">
        <v>201.99976000000001</v>
      </c>
      <c r="P146" s="440">
        <f>IF(O$143=0,"N.D.",O146/O$143)</f>
        <v>0.66795493944171136</v>
      </c>
      <c r="Q146" s="456"/>
      <c r="R146" s="440" t="str">
        <f>IF(Q$143=0,"N.D.",Q146/Q$143)</f>
        <v>N.D.</v>
      </c>
      <c r="S146" s="456"/>
      <c r="T146" s="440" t="str">
        <f>IF(S$143=0,"N.D.",S146/S$143)</f>
        <v>N.D.</v>
      </c>
      <c r="U146" s="456"/>
      <c r="V146" s="440" t="str">
        <f>IF(U$143=0,"N.D.",U146/U$143)</f>
        <v>N.D.</v>
      </c>
      <c r="W146" s="456"/>
      <c r="X146" s="440" t="str">
        <f>IF(W$143=0,"N.D.",W146/W$143)</f>
        <v>N.D.</v>
      </c>
      <c r="Y146" s="456"/>
      <c r="Z146" s="440" t="str">
        <f>IF(Y$143=0,"N.D.",Y146/Y$143)</f>
        <v>N.D.</v>
      </c>
      <c r="AA146" s="456">
        <f t="shared" si="163"/>
        <v>1438.0977600000001</v>
      </c>
      <c r="AB146" s="440">
        <f>IF(AA$143=0,"N.D.",AA146/AA$143)</f>
        <v>0.67674034266474281</v>
      </c>
      <c r="AD146" s="456">
        <f>+ER!AE190-'ER Act'!AA146</f>
        <v>-201.99946000000023</v>
      </c>
    </row>
    <row r="147" spans="2:30" x14ac:dyDescent="0.25">
      <c r="B147" s="137"/>
      <c r="C147" s="457"/>
      <c r="D147" s="441"/>
      <c r="E147" s="457"/>
      <c r="F147" s="441"/>
      <c r="G147" s="457"/>
      <c r="H147" s="441"/>
      <c r="I147" s="457"/>
      <c r="J147" s="441"/>
      <c r="K147" s="457"/>
      <c r="L147" s="441"/>
      <c r="M147" s="457"/>
      <c r="N147" s="441"/>
      <c r="O147" s="457"/>
      <c r="P147" s="441"/>
      <c r="Q147" s="457"/>
      <c r="R147" s="441"/>
      <c r="S147" s="457"/>
      <c r="T147" s="441"/>
      <c r="U147" s="457"/>
      <c r="V147" s="441"/>
      <c r="W147" s="457"/>
      <c r="X147" s="441"/>
      <c r="Y147" s="457"/>
      <c r="Z147" s="441"/>
      <c r="AA147" s="457"/>
      <c r="AB147" s="441"/>
      <c r="AD147" s="457"/>
    </row>
    <row r="148" spans="2:30" x14ac:dyDescent="0.25">
      <c r="B148" s="137" t="s">
        <v>41</v>
      </c>
      <c r="C148" s="455">
        <v>190.98500000000001</v>
      </c>
      <c r="D148" s="442">
        <f>IF(C$143=0,"N.D.",C148/C$143)</f>
        <v>0.71209386954608844</v>
      </c>
      <c r="E148" s="455">
        <v>175.73400000000001</v>
      </c>
      <c r="F148" s="442">
        <f>IF(E$143=0,"N.D.",E148/E$143)</f>
        <v>0.60583098620682518</v>
      </c>
      <c r="G148" s="455">
        <v>204.69200000000001</v>
      </c>
      <c r="H148" s="442">
        <f>IF(G$143=0,"N.D.",G148/G$143)</f>
        <v>0.60591851897898585</v>
      </c>
      <c r="I148" s="455">
        <v>194.02500000000001</v>
      </c>
      <c r="J148" s="442">
        <f>IF(I$143=0,"N.D.",I148/I$143)</f>
        <v>0.66459891143134109</v>
      </c>
      <c r="K148" s="455">
        <v>201.34399999999999</v>
      </c>
      <c r="L148" s="442">
        <f>IF(K$143=0,"N.D.",K148/K$143)</f>
        <v>0.60614927943305974</v>
      </c>
      <c r="M148" s="455">
        <v>192.15600000000001</v>
      </c>
      <c r="N148" s="442">
        <f>IF(M$143=0,"N.D.",M148/M$143)</f>
        <v>0.63540498983185356</v>
      </c>
      <c r="O148" s="455">
        <v>192.15586999999999</v>
      </c>
      <c r="P148" s="442">
        <f>IF(O$143=0,"N.D.",O148/O$143)</f>
        <v>0.63540403468409734</v>
      </c>
      <c r="Q148" s="455"/>
      <c r="R148" s="442" t="str">
        <f>IF(Q$143=0,"N.D.",Q148/Q$143)</f>
        <v>N.D.</v>
      </c>
      <c r="S148" s="455"/>
      <c r="T148" s="442" t="str">
        <f>IF(S$143=0,"N.D.",S148/S$143)</f>
        <v>N.D.</v>
      </c>
      <c r="U148" s="455"/>
      <c r="V148" s="442" t="str">
        <f>IF(U$143=0,"N.D.",U148/U$143)</f>
        <v>N.D.</v>
      </c>
      <c r="W148" s="455"/>
      <c r="X148" s="442" t="str">
        <f>IF(W$143=0,"N.D.",W148/W$143)</f>
        <v>N.D.</v>
      </c>
      <c r="Y148" s="455"/>
      <c r="Z148" s="442" t="str">
        <f>IF(Y$143=0,"N.D.",Y148/Y$143)</f>
        <v>N.D.</v>
      </c>
      <c r="AA148" s="455">
        <f t="shared" si="163"/>
        <v>1351.0918700000002</v>
      </c>
      <c r="AB148" s="442">
        <f>IF(AA$143=0,"N.D.",AA148/AA$143)</f>
        <v>0.63579709287312158</v>
      </c>
      <c r="AD148" s="455">
        <f>+ER!AE192-'ER Act'!AA148</f>
        <v>-192.1563000000001</v>
      </c>
    </row>
    <row r="149" spans="2:30" x14ac:dyDescent="0.25">
      <c r="B149" s="137" t="s">
        <v>42</v>
      </c>
      <c r="C149" s="454">
        <v>19.882000000000001</v>
      </c>
      <c r="D149" s="439">
        <f>IF(C$143=0,"N.D.",C149/C$143)</f>
        <v>7.4130692537714121E-2</v>
      </c>
      <c r="E149" s="454">
        <v>15.605</v>
      </c>
      <c r="F149" s="439">
        <f>IF(E$143=0,"N.D.",E149/E$143)</f>
        <v>5.3797173795381126E-2</v>
      </c>
      <c r="G149" s="454">
        <v>19.254000000000001</v>
      </c>
      <c r="H149" s="439">
        <f>IF(G$143=0,"N.D.",G149/G$143)</f>
        <v>5.6994680614881846E-2</v>
      </c>
      <c r="I149" s="454">
        <v>17.587</v>
      </c>
      <c r="J149" s="439">
        <f>IF(I$143=0,"N.D.",I149/I$143)</f>
        <v>6.024121146936217E-2</v>
      </c>
      <c r="K149" s="454">
        <v>19.898</v>
      </c>
      <c r="L149" s="439">
        <f>IF(K$143=0,"N.D.",K149/K$143)</f>
        <v>5.99032420243912E-2</v>
      </c>
      <c r="M149" s="454">
        <v>13.566000000000001</v>
      </c>
      <c r="N149" s="439">
        <f>IF(M$143=0,"N.D.",M149/M$143)</f>
        <v>4.4858885967957937E-2</v>
      </c>
      <c r="O149" s="454">
        <v>13.566360000000001</v>
      </c>
      <c r="P149" s="439">
        <f>IF(O$143=0,"N.D.",O149/O$143)</f>
        <v>4.4860039300266774E-2</v>
      </c>
      <c r="Q149" s="454"/>
      <c r="R149" s="439" t="str">
        <f>IF(Q$143=0,"N.D.",Q149/Q$143)</f>
        <v>N.D.</v>
      </c>
      <c r="S149" s="454"/>
      <c r="T149" s="439" t="str">
        <f>IF(S$143=0,"N.D.",S149/S$143)</f>
        <v>N.D.</v>
      </c>
      <c r="U149" s="454"/>
      <c r="V149" s="439" t="str">
        <f>IF(U$143=0,"N.D.",U149/U$143)</f>
        <v>N.D.</v>
      </c>
      <c r="W149" s="454"/>
      <c r="X149" s="439" t="str">
        <f>IF(W$143=0,"N.D.",W149/W$143)</f>
        <v>N.D.</v>
      </c>
      <c r="Y149" s="454"/>
      <c r="Z149" s="439" t="str">
        <f>IF(Y$143=0,"N.D.",Y149/Y$143)</f>
        <v>N.D.</v>
      </c>
      <c r="AA149" s="454">
        <f t="shared" si="163"/>
        <v>119.35836000000002</v>
      </c>
      <c r="AB149" s="439">
        <f>IF(AA$143=0,"N.D.",AA149/AA$143)</f>
        <v>5.616768184542735E-2</v>
      </c>
      <c r="AD149" s="454">
        <f>+ER!AE193-'ER Act'!AA149</f>
        <v>-13.566570000000027</v>
      </c>
    </row>
    <row r="150" spans="2:30" x14ac:dyDescent="0.25">
      <c r="B150" s="137" t="s">
        <v>43</v>
      </c>
      <c r="C150" s="454">
        <v>14.724</v>
      </c>
      <c r="D150" s="445">
        <f>IF(C$143=0,"N.D.",C150/C$143)</f>
        <v>5.4898919471144884E-2</v>
      </c>
      <c r="E150" s="454">
        <v>14.724</v>
      </c>
      <c r="F150" s="445">
        <f>IF(E$143=0,"N.D.",E150/E$143)</f>
        <v>5.0759986348169923E-2</v>
      </c>
      <c r="G150" s="454">
        <v>14.724</v>
      </c>
      <c r="H150" s="445">
        <f>IF(G$143=0,"N.D.",G150/G$143)</f>
        <v>4.3585212286980382E-2</v>
      </c>
      <c r="I150" s="454">
        <v>14.724</v>
      </c>
      <c r="J150" s="445">
        <f>IF(I$143=0,"N.D.",I150/I$143)</f>
        <v>5.0434502625512516E-2</v>
      </c>
      <c r="K150" s="454">
        <v>5.1189999999999998</v>
      </c>
      <c r="L150" s="445">
        <f>IF(K$143=0,"N.D.",K150/K$143)</f>
        <v>1.5410830029292319E-2</v>
      </c>
      <c r="M150" s="454">
        <v>5.1189999999999998</v>
      </c>
      <c r="N150" s="445">
        <f>IF(M$143=0,"N.D.",M150/M$143)</f>
        <v>1.6927070416480661E-2</v>
      </c>
      <c r="O150" s="454">
        <v>5.1190200000000008</v>
      </c>
      <c r="P150" s="445">
        <f>IF(O$143=0,"N.D.",O150/O$143)</f>
        <v>1.6927122557476849E-2</v>
      </c>
      <c r="Q150" s="454"/>
      <c r="R150" s="445" t="str">
        <f>IF(Q$143=0,"N.D.",Q150/Q$143)</f>
        <v>N.D.</v>
      </c>
      <c r="S150" s="454"/>
      <c r="T150" s="445" t="str">
        <f>IF(S$143=0,"N.D.",S150/S$143)</f>
        <v>N.D.</v>
      </c>
      <c r="U150" s="454"/>
      <c r="V150" s="445" t="str">
        <f>IF(U$143=0,"N.D.",U150/U$143)</f>
        <v>N.D.</v>
      </c>
      <c r="W150" s="454"/>
      <c r="X150" s="445" t="str">
        <f>IF(W$143=0,"N.D.",W150/W$143)</f>
        <v>N.D.</v>
      </c>
      <c r="Y150" s="454"/>
      <c r="Z150" s="445" t="str">
        <f>IF(Y$143=0,"N.D.",Y150/Y$143)</f>
        <v>N.D.</v>
      </c>
      <c r="AA150" s="454">
        <f t="shared" si="163"/>
        <v>74.253020000000006</v>
      </c>
      <c r="AB150" s="445">
        <f>IF(AA$143=0,"N.D.",AA150/AA$143)</f>
        <v>3.4942001577620146E-2</v>
      </c>
      <c r="AD150" s="454">
        <f>+ER!AE194-'ER Act'!AA150</f>
        <v>-5.1194600000000037</v>
      </c>
    </row>
    <row r="151" spans="2:30" ht="13" x14ac:dyDescent="0.3">
      <c r="B151" s="146" t="s">
        <v>44</v>
      </c>
      <c r="C151" s="456">
        <v>225.59100000000001</v>
      </c>
      <c r="D151" s="440">
        <f>IF(C$143=0,"N.D.",C151/C$143)</f>
        <v>0.84112348155494743</v>
      </c>
      <c r="E151" s="456">
        <v>206.06300000000002</v>
      </c>
      <c r="F151" s="440">
        <f>IF(E$143=0,"N.D.",E151/E$143)</f>
        <v>0.71038814635037628</v>
      </c>
      <c r="G151" s="456">
        <v>238.67000000000002</v>
      </c>
      <c r="H151" s="440">
        <f>IF(G$143=0,"N.D.",G151/G$143)</f>
        <v>0.70649841188084817</v>
      </c>
      <c r="I151" s="456">
        <v>226.33600000000001</v>
      </c>
      <c r="J151" s="440">
        <f>IF(I$143=0,"N.D.",I151/I$143)</f>
        <v>0.77527462552621584</v>
      </c>
      <c r="K151" s="456">
        <v>226.36099999999999</v>
      </c>
      <c r="L151" s="440">
        <f>IF(K$143=0,"N.D.",K151/K$143)</f>
        <v>0.6814633514867432</v>
      </c>
      <c r="M151" s="456">
        <v>210.84100000000001</v>
      </c>
      <c r="N151" s="440">
        <f>IF(M$143=0,"N.D.",M151/M$143)</f>
        <v>0.69719094621629218</v>
      </c>
      <c r="O151" s="456">
        <v>210.84125</v>
      </c>
      <c r="P151" s="440">
        <f>IF(O$143=0,"N.D.",O151/O$143)</f>
        <v>0.69719119654184103</v>
      </c>
      <c r="Q151" s="456"/>
      <c r="R151" s="440" t="str">
        <f>IF(Q$143=0,"N.D.",Q151/Q$143)</f>
        <v>N.D.</v>
      </c>
      <c r="S151" s="456"/>
      <c r="T151" s="440" t="str">
        <f>IF(S$143=0,"N.D.",S151/S$143)</f>
        <v>N.D.</v>
      </c>
      <c r="U151" s="456"/>
      <c r="V151" s="440" t="str">
        <f>IF(U$143=0,"N.D.",U151/U$143)</f>
        <v>N.D.</v>
      </c>
      <c r="W151" s="456"/>
      <c r="X151" s="440" t="str">
        <f>IF(W$143=0,"N.D.",W151/W$143)</f>
        <v>N.D.</v>
      </c>
      <c r="Y151" s="456"/>
      <c r="Z151" s="440" t="str">
        <f>IF(Y$143=0,"N.D.",Y151/Y$143)</f>
        <v>N.D.</v>
      </c>
      <c r="AA151" s="456">
        <f t="shared" si="163"/>
        <v>1544.70325</v>
      </c>
      <c r="AB151" s="440">
        <f>IF(AA$143=0,"N.D.",AA151/AA$143)</f>
        <v>0.72690677629616907</v>
      </c>
      <c r="AD151" s="456">
        <f>+ER!AE195-'ER Act'!AA151</f>
        <v>-210.84232999999995</v>
      </c>
    </row>
    <row r="152" spans="2:30" ht="13" x14ac:dyDescent="0.3">
      <c r="B152" s="137" t="s">
        <v>45</v>
      </c>
      <c r="C152" s="456">
        <v>-46.144000000000005</v>
      </c>
      <c r="D152" s="440">
        <f>IF(C$143=0,"N.D.",C152/C$143)</f>
        <v>-0.17204942543306911</v>
      </c>
      <c r="E152" s="456">
        <v>-5.4890000000000043</v>
      </c>
      <c r="F152" s="440">
        <f>IF(E$143=0,"N.D.",E152/E$143)</f>
        <v>-1.8922953345904981E-2</v>
      </c>
      <c r="G152" s="456">
        <v>-6.6419999999999959</v>
      </c>
      <c r="H152" s="440">
        <f>IF(G$143=0,"N.D.",G152/G$143)</f>
        <v>-1.9661299919187959E-2</v>
      </c>
      <c r="I152" s="456">
        <v>-25.927000000000021</v>
      </c>
      <c r="J152" s="440">
        <f>IF(I$143=0,"N.D.",I152/I$143)</f>
        <v>-8.88084317829166E-2</v>
      </c>
      <c r="K152" s="456">
        <v>-4.7210000000000036</v>
      </c>
      <c r="L152" s="440">
        <f>IF(K$143=0,"N.D.",K152/K$143)</f>
        <v>-1.4212644768175247E-2</v>
      </c>
      <c r="M152" s="456">
        <v>-8.8410000000000082</v>
      </c>
      <c r="N152" s="440">
        <f>IF(M$143=0,"N.D.",M152/M$143)</f>
        <v>-2.9234660979118126E-2</v>
      </c>
      <c r="O152" s="456">
        <v>-8.8414899999999932</v>
      </c>
      <c r="P152" s="440">
        <f>IF(O$143=0,"N.D.",O152/O$143)</f>
        <v>-2.923625710012968E-2</v>
      </c>
      <c r="Q152" s="456"/>
      <c r="R152" s="440" t="str">
        <f>IF(Q$143=0,"N.D.",Q152/Q$143)</f>
        <v>N.D.</v>
      </c>
      <c r="S152" s="456"/>
      <c r="T152" s="440" t="str">
        <f>IF(S$143=0,"N.D.",S152/S$143)</f>
        <v>N.D.</v>
      </c>
      <c r="U152" s="456"/>
      <c r="V152" s="440" t="str">
        <f>IF(U$143=0,"N.D.",U152/U$143)</f>
        <v>N.D.</v>
      </c>
      <c r="W152" s="456"/>
      <c r="X152" s="440" t="str">
        <f>IF(W$143=0,"N.D.",W152/W$143)</f>
        <v>N.D.</v>
      </c>
      <c r="Y152" s="456"/>
      <c r="Z152" s="440" t="str">
        <f>IF(Y$143=0,"N.D.",Y152/Y$143)</f>
        <v>N.D.</v>
      </c>
      <c r="AA152" s="456">
        <f t="shared" si="163"/>
        <v>-106.60549000000003</v>
      </c>
      <c r="AB152" s="440">
        <f>IF(AA$143=0,"N.D.",AA152/AA$143)</f>
        <v>-5.0166433631426297E-2</v>
      </c>
      <c r="AD152" s="456">
        <f>+ER!AE196-'ER Act'!AA152</f>
        <v>8.8428699999998344</v>
      </c>
    </row>
    <row r="153" spans="2:30" x14ac:dyDescent="0.25">
      <c r="C153" s="457"/>
      <c r="D153" s="441"/>
      <c r="E153" s="457"/>
      <c r="F153" s="441"/>
      <c r="G153" s="457"/>
      <c r="H153" s="441"/>
      <c r="I153" s="457"/>
      <c r="J153" s="441"/>
      <c r="K153" s="457"/>
      <c r="L153" s="441"/>
      <c r="M153" s="457"/>
      <c r="N153" s="441"/>
      <c r="O153" s="457"/>
      <c r="P153" s="441"/>
      <c r="Q153" s="457"/>
      <c r="R153" s="441"/>
      <c r="S153" s="457"/>
      <c r="T153" s="441"/>
      <c r="U153" s="457"/>
      <c r="V153" s="441"/>
      <c r="W153" s="457"/>
      <c r="X153" s="441"/>
      <c r="Y153" s="457"/>
      <c r="Z153" s="441"/>
      <c r="AA153" s="457"/>
      <c r="AB153" s="441"/>
      <c r="AD153" s="458"/>
    </row>
    <row r="154" spans="2:30" x14ac:dyDescent="0.25">
      <c r="B154" s="137"/>
      <c r="C154" s="455"/>
      <c r="D154" s="442"/>
      <c r="E154" s="455"/>
      <c r="F154" s="442"/>
      <c r="G154" s="455"/>
      <c r="H154" s="442"/>
      <c r="I154" s="455"/>
      <c r="J154" s="442"/>
      <c r="K154" s="455"/>
      <c r="L154" s="442"/>
      <c r="M154" s="455"/>
      <c r="N154" s="442"/>
      <c r="O154" s="455"/>
      <c r="P154" s="442"/>
      <c r="Q154" s="455"/>
      <c r="R154" s="442"/>
      <c r="S154" s="455"/>
      <c r="T154" s="442"/>
      <c r="U154" s="455"/>
      <c r="V154" s="442"/>
      <c r="W154" s="455"/>
      <c r="X154" s="442"/>
      <c r="Y154" s="455"/>
      <c r="Z154" s="442"/>
      <c r="AA154" s="455"/>
      <c r="AB154" s="442"/>
      <c r="AD154" s="455">
        <f>+ER!AE198-'ER Act'!AA154</f>
        <v>0</v>
      </c>
    </row>
    <row r="155" spans="2:30" x14ac:dyDescent="0.25">
      <c r="B155" s="137" t="s">
        <v>52</v>
      </c>
      <c r="C155" s="454">
        <v>-0.624</v>
      </c>
      <c r="D155" s="439">
        <f>IF(C$143=0,"N.D.",C155/C$143)</f>
        <v>-2.3266045741642495E-3</v>
      </c>
      <c r="E155" s="454">
        <v>-4.907</v>
      </c>
      <c r="F155" s="439">
        <f>IF(E$143=0,"N.D.",E155/E$143)</f>
        <v>-1.6916548017554323E-2</v>
      </c>
      <c r="G155" s="454">
        <v>-0.11899999999999999</v>
      </c>
      <c r="H155" s="439">
        <f>IF(G$143=0,"N.D.",G155/G$143)</f>
        <v>-3.5225755651661672E-4</v>
      </c>
      <c r="I155" s="454">
        <v>-1.992</v>
      </c>
      <c r="J155" s="439">
        <f>IF(I$143=0,"N.D.",I155/I$143)</f>
        <v>-6.8232497439568683E-3</v>
      </c>
      <c r="K155" s="454">
        <v>-1.597</v>
      </c>
      <c r="L155" s="439">
        <f>IF(K$143=0,"N.D.",K155/K$143)</f>
        <v>-4.8077936231255775E-3</v>
      </c>
      <c r="M155" s="454">
        <v>-6.492</v>
      </c>
      <c r="N155" s="439">
        <f>IF(M$143=0,"N.D.",M155/M$143)</f>
        <v>-2.1467189127523434E-2</v>
      </c>
      <c r="O155" s="454">
        <v>-6.4923799999999998</v>
      </c>
      <c r="P155" s="439">
        <f>IF(O$143=0,"N.D.",O155/O$143)</f>
        <v>-2.1468427931461788E-2</v>
      </c>
      <c r="Q155" s="454"/>
      <c r="R155" s="439" t="str">
        <f>IF(Q$143=0,"N.D.",Q155/Q$143)</f>
        <v>N.D.</v>
      </c>
      <c r="S155" s="454"/>
      <c r="T155" s="439" t="str">
        <f>IF(S$143=0,"N.D.",S155/S$143)</f>
        <v>N.D.</v>
      </c>
      <c r="U155" s="454"/>
      <c r="V155" s="439" t="str">
        <f>IF(U$143=0,"N.D.",U155/U$143)</f>
        <v>N.D.</v>
      </c>
      <c r="W155" s="454"/>
      <c r="X155" s="439" t="str">
        <f>IF(W$143=0,"N.D.",W155/W$143)</f>
        <v>N.D.</v>
      </c>
      <c r="Y155" s="454"/>
      <c r="Z155" s="439" t="str">
        <f>IF(Y$143=0,"N.D.",Y155/Y$143)</f>
        <v>N.D.</v>
      </c>
      <c r="AA155" s="454">
        <f t="shared" si="163"/>
        <v>-22.223379999999999</v>
      </c>
      <c r="AB155" s="439">
        <f>IF(AA$143=0,"N.D.",AA155/AA$143)</f>
        <v>-1.0457882777293799E-2</v>
      </c>
      <c r="AD155" s="454">
        <f>+ER!AE199-'ER Act'!AA155</f>
        <v>6.4922500000000003</v>
      </c>
    </row>
    <row r="156" spans="2:30" x14ac:dyDescent="0.25">
      <c r="B156" s="137" t="s">
        <v>46</v>
      </c>
      <c r="C156" s="454">
        <v>0</v>
      </c>
      <c r="D156" s="439">
        <f>IF(C$143=0,"N.D.",C156/C$143)</f>
        <v>0</v>
      </c>
      <c r="E156" s="454">
        <v>0</v>
      </c>
      <c r="F156" s="439">
        <f>IF(E$143=0,"N.D.",E156/E$143)</f>
        <v>0</v>
      </c>
      <c r="G156" s="454">
        <v>0</v>
      </c>
      <c r="H156" s="439">
        <f>IF(G$143=0,"N.D.",G156/G$143)</f>
        <v>0</v>
      </c>
      <c r="I156" s="454">
        <v>0</v>
      </c>
      <c r="J156" s="439">
        <f>IF(I$143=0,"N.D.",I156/I$143)</f>
        <v>0</v>
      </c>
      <c r="K156" s="454">
        <v>0</v>
      </c>
      <c r="L156" s="439">
        <f>IF(K$143=0,"N.D.",K156/K$143)</f>
        <v>0</v>
      </c>
      <c r="M156" s="454">
        <v>0</v>
      </c>
      <c r="N156" s="439">
        <f>IF(M$143=0,"N.D.",M156/M$143)</f>
        <v>0</v>
      </c>
      <c r="O156" s="454">
        <v>0</v>
      </c>
      <c r="P156" s="439">
        <f>IF(O$143=0,"N.D.",O156/O$143)</f>
        <v>0</v>
      </c>
      <c r="Q156" s="454"/>
      <c r="R156" s="439" t="str">
        <f>IF(Q$143=0,"N.D.",Q156/Q$143)</f>
        <v>N.D.</v>
      </c>
      <c r="S156" s="454"/>
      <c r="T156" s="439" t="str">
        <f>IF(S$143=0,"N.D.",S156/S$143)</f>
        <v>N.D.</v>
      </c>
      <c r="U156" s="454"/>
      <c r="V156" s="439" t="str">
        <f>IF(U$143=0,"N.D.",U156/U$143)</f>
        <v>N.D.</v>
      </c>
      <c r="W156" s="454"/>
      <c r="X156" s="439" t="str">
        <f>IF(W$143=0,"N.D.",W156/W$143)</f>
        <v>N.D.</v>
      </c>
      <c r="Y156" s="454"/>
      <c r="Z156" s="439" t="str">
        <f>IF(Y$143=0,"N.D.",Y156/Y$143)</f>
        <v>N.D.</v>
      </c>
      <c r="AA156" s="454">
        <f t="shared" si="163"/>
        <v>0</v>
      </c>
      <c r="AB156" s="439">
        <f>IF(AA$143=0,"N.D.",AA156/AA$143)</f>
        <v>0</v>
      </c>
      <c r="AD156" s="454">
        <f>+ER!AE200-'ER Act'!AA156</f>
        <v>0</v>
      </c>
    </row>
    <row r="157" spans="2:30" x14ac:dyDescent="0.25">
      <c r="B157" s="137" t="s">
        <v>47</v>
      </c>
      <c r="C157" s="454">
        <v>0</v>
      </c>
      <c r="D157" s="439">
        <f>IF(C$143=0,"N.D.",C157/C$143)</f>
        <v>0</v>
      </c>
      <c r="E157" s="454">
        <v>0</v>
      </c>
      <c r="F157" s="439">
        <f>IF(E$143=0,"N.D.",E157/E$143)</f>
        <v>0</v>
      </c>
      <c r="G157" s="454">
        <v>0</v>
      </c>
      <c r="H157" s="439">
        <f>IF(G$143=0,"N.D.",G157/G$143)</f>
        <v>0</v>
      </c>
      <c r="I157" s="454">
        <v>0</v>
      </c>
      <c r="J157" s="439">
        <f>IF(I$143=0,"N.D.",I157/I$143)</f>
        <v>0</v>
      </c>
      <c r="K157" s="454">
        <v>0</v>
      </c>
      <c r="L157" s="439">
        <f>IF(K$143=0,"N.D.",K157/K$143)</f>
        <v>0</v>
      </c>
      <c r="M157" s="454">
        <v>0</v>
      </c>
      <c r="N157" s="439">
        <f>IF(M$143=0,"N.D.",M157/M$143)</f>
        <v>0</v>
      </c>
      <c r="O157" s="454">
        <v>0</v>
      </c>
      <c r="P157" s="439">
        <f>IF(O$143=0,"N.D.",O157/O$143)</f>
        <v>0</v>
      </c>
      <c r="Q157" s="454"/>
      <c r="R157" s="439" t="str">
        <f>IF(Q$143=0,"N.D.",Q157/Q$143)</f>
        <v>N.D.</v>
      </c>
      <c r="S157" s="454"/>
      <c r="T157" s="439" t="str">
        <f>IF(S$143=0,"N.D.",S157/S$143)</f>
        <v>N.D.</v>
      </c>
      <c r="U157" s="454"/>
      <c r="V157" s="439" t="str">
        <f>IF(U$143=0,"N.D.",U157/U$143)</f>
        <v>N.D.</v>
      </c>
      <c r="W157" s="454"/>
      <c r="X157" s="439" t="str">
        <f>IF(W$143=0,"N.D.",W157/W$143)</f>
        <v>N.D.</v>
      </c>
      <c r="Y157" s="454"/>
      <c r="Z157" s="439" t="str">
        <f>IF(Y$143=0,"N.D.",Y157/Y$143)</f>
        <v>N.D.</v>
      </c>
      <c r="AA157" s="454">
        <f t="shared" si="163"/>
        <v>0</v>
      </c>
      <c r="AB157" s="439">
        <f>IF(AA$143=0,"N.D.",AA157/AA$143)</f>
        <v>0</v>
      </c>
      <c r="AD157" s="454">
        <f>+ER!AE201-'ER Act'!AA157</f>
        <v>0</v>
      </c>
    </row>
    <row r="158" spans="2:30" x14ac:dyDescent="0.25">
      <c r="C158" s="454"/>
      <c r="D158" s="439"/>
      <c r="E158" s="454"/>
      <c r="F158" s="439"/>
      <c r="G158" s="454"/>
      <c r="H158" s="439"/>
      <c r="I158" s="454"/>
      <c r="J158" s="439"/>
      <c r="K158" s="454"/>
      <c r="L158" s="439"/>
      <c r="M158" s="454"/>
      <c r="N158" s="439"/>
      <c r="O158" s="454"/>
      <c r="P158" s="439"/>
      <c r="Q158" s="454"/>
      <c r="R158" s="439"/>
      <c r="S158" s="454"/>
      <c r="T158" s="439"/>
      <c r="U158" s="454"/>
      <c r="V158" s="439"/>
      <c r="W158" s="454"/>
      <c r="X158" s="439"/>
      <c r="Y158" s="454"/>
      <c r="Z158" s="439"/>
      <c r="AA158" s="454"/>
      <c r="AB158" s="439"/>
      <c r="AD158" s="454">
        <f>+ER!AE202-'ER Act'!AA158</f>
        <v>0</v>
      </c>
    </row>
    <row r="159" spans="2:30" ht="13" x14ac:dyDescent="0.3">
      <c r="B159" s="137" t="s">
        <v>48</v>
      </c>
      <c r="C159" s="456">
        <v>-0.624</v>
      </c>
      <c r="D159" s="440">
        <f>IF(C$143=0,"N.D.",C159/C$143)</f>
        <v>-2.3266045741642495E-3</v>
      </c>
      <c r="E159" s="456">
        <v>-4.907</v>
      </c>
      <c r="F159" s="440">
        <f>IF(E$143=0,"N.D.",E159/E$143)</f>
        <v>-1.6916548017554323E-2</v>
      </c>
      <c r="G159" s="456">
        <v>-0.11899999999999999</v>
      </c>
      <c r="H159" s="440">
        <f>IF(G$143=0,"N.D.",G159/G$143)</f>
        <v>-3.5225755651661672E-4</v>
      </c>
      <c r="I159" s="456">
        <v>-1.992</v>
      </c>
      <c r="J159" s="440">
        <f>IF(I$143=0,"N.D.",I159/I$143)</f>
        <v>-6.8232497439568683E-3</v>
      </c>
      <c r="K159" s="456">
        <v>-1.597</v>
      </c>
      <c r="L159" s="440">
        <f>IF(K$143=0,"N.D.",K159/K$143)</f>
        <v>-4.8077936231255775E-3</v>
      </c>
      <c r="M159" s="456">
        <v>-6.492</v>
      </c>
      <c r="N159" s="440">
        <f>IF(M$143=0,"N.D.",M159/M$143)</f>
        <v>-2.1467189127523434E-2</v>
      </c>
      <c r="O159" s="456">
        <v>-6.4923799999999998</v>
      </c>
      <c r="P159" s="440">
        <f>IF(O$143=0,"N.D.",O159/O$143)</f>
        <v>-2.1468427931461788E-2</v>
      </c>
      <c r="Q159" s="456"/>
      <c r="R159" s="440" t="str">
        <f>IF(Q$143=0,"N.D.",Q159/Q$143)</f>
        <v>N.D.</v>
      </c>
      <c r="S159" s="456"/>
      <c r="T159" s="440" t="str">
        <f>IF(S$143=0,"N.D.",S159/S$143)</f>
        <v>N.D.</v>
      </c>
      <c r="U159" s="456"/>
      <c r="V159" s="440" t="str">
        <f>IF(U$143=0,"N.D.",U159/U$143)</f>
        <v>N.D.</v>
      </c>
      <c r="W159" s="456"/>
      <c r="X159" s="440" t="str">
        <f>IF(W$143=0,"N.D.",W159/W$143)</f>
        <v>N.D.</v>
      </c>
      <c r="Y159" s="456"/>
      <c r="Z159" s="440" t="str">
        <f>IF(Y$143=0,"N.D.",Y159/Y$143)</f>
        <v>N.D.</v>
      </c>
      <c r="AA159" s="456">
        <f t="shared" si="163"/>
        <v>-22.223379999999999</v>
      </c>
      <c r="AB159" s="440">
        <f>IF(AA$143=0,"N.D.",AA159/AA$143)</f>
        <v>-1.0457882777293799E-2</v>
      </c>
      <c r="AD159" s="456">
        <f>+ER!AE203-'ER Act'!AA159</f>
        <v>6.4922500000000003</v>
      </c>
    </row>
    <row r="160" spans="2:30" ht="13" x14ac:dyDescent="0.3">
      <c r="B160" s="137" t="s">
        <v>49</v>
      </c>
      <c r="C160" s="456">
        <v>-45.52</v>
      </c>
      <c r="D160" s="440">
        <f>IF(C$143=0,"N.D.",C160/C$143)</f>
        <v>-0.16972282085890486</v>
      </c>
      <c r="E160" s="456">
        <v>-0.58200000000000429</v>
      </c>
      <c r="F160" s="440">
        <f>IF(E$143=0,"N.D.",E160/E$143)</f>
        <v>-2.0064053283506598E-3</v>
      </c>
      <c r="G160" s="456">
        <v>-6.5229999999999961</v>
      </c>
      <c r="H160" s="440">
        <f>IF(G$143=0,"N.D.",G160/G$143)</f>
        <v>-1.9309042362671343E-2</v>
      </c>
      <c r="I160" s="456">
        <v>-23.93500000000002</v>
      </c>
      <c r="J160" s="440">
        <f>IF(I$143=0,"N.D.",I160/I$143)</f>
        <v>-8.1985182038959728E-2</v>
      </c>
      <c r="K160" s="456">
        <v>-3.1240000000000037</v>
      </c>
      <c r="L160" s="440">
        <f>IF(K$143=0,"N.D.",K160/K$143)</f>
        <v>-9.4048511450496707E-3</v>
      </c>
      <c r="M160" s="456">
        <v>-2.3490000000000082</v>
      </c>
      <c r="N160" s="440">
        <f>IF(M$143=0,"N.D.",M160/M$143)</f>
        <v>-7.7674718515946895E-3</v>
      </c>
      <c r="O160" s="456">
        <v>-2.3491099999999934</v>
      </c>
      <c r="P160" s="440">
        <f>IF(O$143=0,"N.D.",O160/O$143)</f>
        <v>-7.7678291686678934E-3</v>
      </c>
      <c r="Q160" s="456"/>
      <c r="R160" s="440" t="str">
        <f>IF(Q$143=0,"N.D.",Q160/Q$143)</f>
        <v>N.D.</v>
      </c>
      <c r="S160" s="456"/>
      <c r="T160" s="440" t="str">
        <f>IF(S$143=0,"N.D.",S160/S$143)</f>
        <v>N.D.</v>
      </c>
      <c r="U160" s="456"/>
      <c r="V160" s="440" t="str">
        <f>IF(U$143=0,"N.D.",U160/U$143)</f>
        <v>N.D.</v>
      </c>
      <c r="W160" s="456"/>
      <c r="X160" s="440" t="str">
        <f>IF(W$143=0,"N.D.",W160/W$143)</f>
        <v>N.D.</v>
      </c>
      <c r="Y160" s="456"/>
      <c r="Z160" s="440" t="str">
        <f>IF(Y$143=0,"N.D.",Y160/Y$143)</f>
        <v>N.D.</v>
      </c>
      <c r="AA160" s="456">
        <f t="shared" si="163"/>
        <v>-84.38211000000004</v>
      </c>
      <c r="AB160" s="440">
        <f>IF(AA$143=0,"N.D.",AA160/AA$143)</f>
        <v>-3.9708550854132503E-2</v>
      </c>
      <c r="AD160" s="456">
        <f>+ER!AE204-'ER Act'!AA160</f>
        <v>2.3506199999998358</v>
      </c>
    </row>
    <row r="161" spans="2:30" x14ac:dyDescent="0.25">
      <c r="C161" s="457"/>
      <c r="D161" s="441"/>
      <c r="E161" s="457"/>
      <c r="F161" s="441"/>
      <c r="G161" s="457"/>
      <c r="H161" s="441"/>
      <c r="I161" s="457"/>
      <c r="J161" s="441"/>
      <c r="K161" s="457"/>
      <c r="L161" s="441"/>
      <c r="M161" s="457"/>
      <c r="N161" s="441"/>
      <c r="O161" s="457"/>
      <c r="P161" s="441"/>
      <c r="Q161" s="457"/>
      <c r="R161" s="441"/>
      <c r="S161" s="457"/>
      <c r="T161" s="441"/>
      <c r="U161" s="457"/>
      <c r="V161" s="441"/>
      <c r="W161" s="457"/>
      <c r="X161" s="441"/>
      <c r="Y161" s="457"/>
      <c r="Z161" s="441"/>
      <c r="AA161" s="457"/>
      <c r="AB161" s="441"/>
      <c r="AD161" s="457"/>
    </row>
    <row r="162" spans="2:30" x14ac:dyDescent="0.25">
      <c r="B162" s="137" t="s">
        <v>50</v>
      </c>
      <c r="C162" s="455">
        <v>0</v>
      </c>
      <c r="D162" s="442">
        <f>IF(C$143=0,"N.D.",C162/C$143)</f>
        <v>0</v>
      </c>
      <c r="E162" s="455">
        <v>0</v>
      </c>
      <c r="F162" s="442">
        <f>IF(E$143=0,"N.D.",E162/E$143)</f>
        <v>0</v>
      </c>
      <c r="G162" s="455">
        <v>0</v>
      </c>
      <c r="H162" s="442">
        <f t="shared" ref="H162:H171" si="164">IF(G$143=0,"N.D.",G162/G$143)</f>
        <v>0</v>
      </c>
      <c r="I162" s="455">
        <v>0</v>
      </c>
      <c r="J162" s="442">
        <f t="shared" ref="J162:J171" si="165">IF(I$143=0,"N.D.",I162/I$143)</f>
        <v>0</v>
      </c>
      <c r="K162" s="455">
        <v>0</v>
      </c>
      <c r="L162" s="442">
        <f t="shared" ref="L162:L171" si="166">IF(K$143=0,"N.D.",K162/K$143)</f>
        <v>0</v>
      </c>
      <c r="M162" s="455">
        <v>0</v>
      </c>
      <c r="N162" s="442">
        <f t="shared" ref="N162:N171" si="167">IF(M$143=0,"N.D.",M162/M$143)</f>
        <v>0</v>
      </c>
      <c r="O162" s="455">
        <v>0</v>
      </c>
      <c r="P162" s="442">
        <f t="shared" ref="P162:P171" si="168">IF(O$143=0,"N.D.",O162/O$143)</f>
        <v>0</v>
      </c>
      <c r="Q162" s="455"/>
      <c r="R162" s="442" t="str">
        <f t="shared" ref="R162:R171" si="169">IF(Q$143=0,"N.D.",Q162/Q$143)</f>
        <v>N.D.</v>
      </c>
      <c r="S162" s="455"/>
      <c r="T162" s="442" t="str">
        <f t="shared" ref="T162:T171" si="170">IF(S$143=0,"N.D.",S162/S$143)</f>
        <v>N.D.</v>
      </c>
      <c r="U162" s="455"/>
      <c r="V162" s="442" t="str">
        <f t="shared" ref="V162:V171" si="171">IF(U$143=0,"N.D.",U162/U$143)</f>
        <v>N.D.</v>
      </c>
      <c r="W162" s="455"/>
      <c r="X162" s="442" t="str">
        <f t="shared" ref="X162:X171" si="172">IF(W$143=0,"N.D.",W162/W$143)</f>
        <v>N.D.</v>
      </c>
      <c r="Y162" s="455"/>
      <c r="Z162" s="442" t="str">
        <f t="shared" ref="Z162:Z171" si="173">IF(Y$143=0,"N.D.",Y162/Y$143)</f>
        <v>N.D.</v>
      </c>
      <c r="AA162" s="455">
        <f t="shared" si="163"/>
        <v>0</v>
      </c>
      <c r="AB162" s="442">
        <f t="shared" ref="AB162:AB171" si="174">IF(AA$143=0,"N.D.",AA162/AA$143)</f>
        <v>0</v>
      </c>
      <c r="AD162" s="455">
        <f>+ER!AE206-'ER Act'!AA162</f>
        <v>0</v>
      </c>
    </row>
    <row r="163" spans="2:30" x14ac:dyDescent="0.25">
      <c r="B163" s="137" t="s">
        <v>51</v>
      </c>
      <c r="C163" s="454">
        <v>0</v>
      </c>
      <c r="D163" s="439">
        <f>IF(C$143=0,"N.D.",C163/C$143)</f>
        <v>0</v>
      </c>
      <c r="E163" s="454">
        <v>0</v>
      </c>
      <c r="F163" s="439">
        <f>IF(E$143=0,"N.D.",E163/E$143)</f>
        <v>0</v>
      </c>
      <c r="G163" s="454">
        <v>0</v>
      </c>
      <c r="H163" s="439">
        <f t="shared" si="164"/>
        <v>0</v>
      </c>
      <c r="I163" s="454">
        <v>0</v>
      </c>
      <c r="J163" s="439">
        <f t="shared" si="165"/>
        <v>0</v>
      </c>
      <c r="K163" s="454">
        <v>0</v>
      </c>
      <c r="L163" s="439">
        <f t="shared" si="166"/>
        <v>0</v>
      </c>
      <c r="M163" s="454">
        <v>0</v>
      </c>
      <c r="N163" s="439">
        <f t="shared" si="167"/>
        <v>0</v>
      </c>
      <c r="O163" s="454">
        <v>0</v>
      </c>
      <c r="P163" s="439">
        <f t="shared" si="168"/>
        <v>0</v>
      </c>
      <c r="Q163" s="454"/>
      <c r="R163" s="439" t="str">
        <f t="shared" si="169"/>
        <v>N.D.</v>
      </c>
      <c r="S163" s="454"/>
      <c r="T163" s="439" t="str">
        <f t="shared" si="170"/>
        <v>N.D.</v>
      </c>
      <c r="U163" s="454"/>
      <c r="V163" s="439" t="str">
        <f t="shared" si="171"/>
        <v>N.D.</v>
      </c>
      <c r="W163" s="454"/>
      <c r="X163" s="439" t="str">
        <f t="shared" si="172"/>
        <v>N.D.</v>
      </c>
      <c r="Y163" s="454"/>
      <c r="Z163" s="439" t="str">
        <f t="shared" si="173"/>
        <v>N.D.</v>
      </c>
      <c r="AA163" s="454">
        <f t="shared" si="163"/>
        <v>0</v>
      </c>
      <c r="AB163" s="439">
        <f t="shared" si="174"/>
        <v>0</v>
      </c>
      <c r="AD163" s="454">
        <f>+ER!AE207-'ER Act'!AA163</f>
        <v>0</v>
      </c>
    </row>
    <row r="164" spans="2:30" ht="13" x14ac:dyDescent="0.3">
      <c r="B164" s="131" t="s">
        <v>53</v>
      </c>
      <c r="C164" s="456">
        <v>-45.52</v>
      </c>
      <c r="D164" s="440">
        <f>IF(C$143=0,"N.D.",C164/C$143)</f>
        <v>-0.16972282085890486</v>
      </c>
      <c r="E164" s="456">
        <v>-0.58200000000000429</v>
      </c>
      <c r="F164" s="440">
        <f>IF(E$143=0,"N.D.",E164/E$143)</f>
        <v>-2.0064053283506598E-3</v>
      </c>
      <c r="G164" s="456">
        <v>-6.5229999999999961</v>
      </c>
      <c r="H164" s="440">
        <f t="shared" si="164"/>
        <v>-1.9309042362671343E-2</v>
      </c>
      <c r="I164" s="456">
        <v>-23.93500000000002</v>
      </c>
      <c r="J164" s="440">
        <f t="shared" si="165"/>
        <v>-8.1985182038959728E-2</v>
      </c>
      <c r="K164" s="456">
        <v>-3.1240000000000037</v>
      </c>
      <c r="L164" s="440">
        <f t="shared" si="166"/>
        <v>-9.4048511450496707E-3</v>
      </c>
      <c r="M164" s="456">
        <v>-2.3490000000000082</v>
      </c>
      <c r="N164" s="440">
        <f t="shared" si="167"/>
        <v>-7.7674718515946895E-3</v>
      </c>
      <c r="O164" s="456">
        <v>-2.3491099999999934</v>
      </c>
      <c r="P164" s="440">
        <f t="shared" si="168"/>
        <v>-7.7678291686678934E-3</v>
      </c>
      <c r="Q164" s="456"/>
      <c r="R164" s="440" t="str">
        <f t="shared" si="169"/>
        <v>N.D.</v>
      </c>
      <c r="S164" s="456"/>
      <c r="T164" s="440" t="str">
        <f t="shared" si="170"/>
        <v>N.D.</v>
      </c>
      <c r="U164" s="456"/>
      <c r="V164" s="440" t="str">
        <f t="shared" si="171"/>
        <v>N.D.</v>
      </c>
      <c r="W164" s="456"/>
      <c r="X164" s="440" t="str">
        <f t="shared" si="172"/>
        <v>N.D.</v>
      </c>
      <c r="Y164" s="456"/>
      <c r="Z164" s="440" t="str">
        <f t="shared" si="173"/>
        <v>N.D.</v>
      </c>
      <c r="AA164" s="456">
        <f t="shared" si="163"/>
        <v>-84.38211000000004</v>
      </c>
      <c r="AB164" s="440">
        <f t="shared" si="174"/>
        <v>-3.9708550854132503E-2</v>
      </c>
      <c r="AD164" s="456">
        <f>+ER!AE208-'ER Act'!AA164</f>
        <v>2.3506199999998358</v>
      </c>
    </row>
    <row r="165" spans="2:30" ht="13" x14ac:dyDescent="0.3">
      <c r="B165" s="131" t="s">
        <v>122</v>
      </c>
      <c r="C165" s="456">
        <v>-31.420000000000005</v>
      </c>
      <c r="D165" s="440">
        <f>IF(C$143=0,"N.D.",C165/C$143)</f>
        <v>-0.11715050596192424</v>
      </c>
      <c r="E165" s="456">
        <v>9.2349999999999959</v>
      </c>
      <c r="F165" s="440">
        <f>IF(E$143=0,"N.D.",E165/E$143)</f>
        <v>3.1837033002264946E-2</v>
      </c>
      <c r="G165" s="456">
        <v>8.0820000000000043</v>
      </c>
      <c r="H165" s="440">
        <f t="shared" si="164"/>
        <v>2.392391236779242E-2</v>
      </c>
      <c r="I165" s="456">
        <v>-11.203000000000021</v>
      </c>
      <c r="J165" s="440">
        <f t="shared" si="165"/>
        <v>-3.8373929157404084E-2</v>
      </c>
      <c r="K165" s="456">
        <v>0.39799999999999613</v>
      </c>
      <c r="L165" s="440">
        <f t="shared" si="166"/>
        <v>1.1981852611170703E-3</v>
      </c>
      <c r="M165" s="456">
        <v>-3.7220000000000084</v>
      </c>
      <c r="N165" s="440">
        <f t="shared" si="167"/>
        <v>-1.2307590562637463E-2</v>
      </c>
      <c r="O165" s="456">
        <v>-3.7224699999999924</v>
      </c>
      <c r="P165" s="440">
        <f t="shared" si="168"/>
        <v>-1.2309134542652833E-2</v>
      </c>
      <c r="Q165" s="456"/>
      <c r="R165" s="440" t="str">
        <f t="shared" si="169"/>
        <v>N.D.</v>
      </c>
      <c r="S165" s="456"/>
      <c r="T165" s="440" t="str">
        <f t="shared" si="170"/>
        <v>N.D.</v>
      </c>
      <c r="U165" s="456"/>
      <c r="V165" s="440" t="str">
        <f t="shared" si="171"/>
        <v>N.D.</v>
      </c>
      <c r="W165" s="456"/>
      <c r="X165" s="440" t="str">
        <f t="shared" si="172"/>
        <v>N.D.</v>
      </c>
      <c r="Y165" s="456"/>
      <c r="Z165" s="440" t="str">
        <f t="shared" si="173"/>
        <v>N.D.</v>
      </c>
      <c r="AA165" s="456">
        <f t="shared" si="163"/>
        <v>-32.352470000000025</v>
      </c>
      <c r="AB165" s="440">
        <f t="shared" si="174"/>
        <v>-1.5224432053806152E-2</v>
      </c>
      <c r="AD165" s="459">
        <f>+ER!AE209-'ER Act'!AA165</f>
        <v>3.7234099999998307</v>
      </c>
    </row>
    <row r="166" spans="2:30" ht="13" x14ac:dyDescent="0.3">
      <c r="B166" s="1" t="s">
        <v>194</v>
      </c>
      <c r="C166" s="373">
        <v>0</v>
      </c>
      <c r="D166" s="407">
        <f t="shared" ref="D166:F171" si="175">IF(C$143=0,"N.D.",C166/C$143)</f>
        <v>0</v>
      </c>
      <c r="E166" s="373">
        <v>0</v>
      </c>
      <c r="F166" s="407">
        <f t="shared" si="175"/>
        <v>0</v>
      </c>
      <c r="G166" s="373">
        <v>0</v>
      </c>
      <c r="H166" s="407">
        <f t="shared" si="164"/>
        <v>0</v>
      </c>
      <c r="I166" s="373">
        <v>0</v>
      </c>
      <c r="J166" s="407">
        <f t="shared" si="165"/>
        <v>0</v>
      </c>
      <c r="K166" s="373">
        <v>0</v>
      </c>
      <c r="L166" s="407">
        <f t="shared" si="166"/>
        <v>0</v>
      </c>
      <c r="M166" s="373">
        <v>0</v>
      </c>
      <c r="N166" s="407">
        <f t="shared" si="167"/>
        <v>0</v>
      </c>
      <c r="O166" s="373">
        <v>0</v>
      </c>
      <c r="P166" s="407">
        <f t="shared" si="168"/>
        <v>0</v>
      </c>
      <c r="Q166" s="373"/>
      <c r="R166" s="407" t="str">
        <f t="shared" si="169"/>
        <v>N.D.</v>
      </c>
      <c r="S166" s="373"/>
      <c r="T166" s="407" t="str">
        <f t="shared" si="170"/>
        <v>N.D.</v>
      </c>
      <c r="U166" s="373"/>
      <c r="V166" s="407" t="str">
        <f t="shared" si="171"/>
        <v>N.D.</v>
      </c>
      <c r="W166" s="373"/>
      <c r="X166" s="407" t="str">
        <f t="shared" si="172"/>
        <v>N.D.</v>
      </c>
      <c r="Y166" s="373"/>
      <c r="Z166" s="407" t="str">
        <f t="shared" si="173"/>
        <v>N.D.</v>
      </c>
      <c r="AA166" s="373">
        <f t="shared" si="163"/>
        <v>0</v>
      </c>
      <c r="AB166" s="407">
        <f t="shared" si="174"/>
        <v>0</v>
      </c>
      <c r="AD166" s="418">
        <f>+ER!AE210-'ER Act'!AA166</f>
        <v>0</v>
      </c>
    </row>
    <row r="167" spans="2:30" ht="13" x14ac:dyDescent="0.3">
      <c r="B167" s="1" t="s">
        <v>123</v>
      </c>
      <c r="C167" s="408"/>
      <c r="D167" s="409">
        <f t="shared" si="175"/>
        <v>0</v>
      </c>
      <c r="E167" s="408"/>
      <c r="F167" s="409">
        <f t="shared" si="175"/>
        <v>0</v>
      </c>
      <c r="G167" s="408"/>
      <c r="H167" s="409">
        <f t="shared" si="164"/>
        <v>0</v>
      </c>
      <c r="I167" s="408"/>
      <c r="J167" s="409">
        <f t="shared" si="165"/>
        <v>0</v>
      </c>
      <c r="K167" s="408"/>
      <c r="L167" s="409">
        <f t="shared" si="166"/>
        <v>0</v>
      </c>
      <c r="M167" s="408"/>
      <c r="N167" s="409">
        <f t="shared" si="167"/>
        <v>0</v>
      </c>
      <c r="O167" s="408"/>
      <c r="P167" s="409">
        <f t="shared" si="168"/>
        <v>0</v>
      </c>
      <c r="Q167" s="408"/>
      <c r="R167" s="409" t="str">
        <f t="shared" si="169"/>
        <v>N.D.</v>
      </c>
      <c r="S167" s="408"/>
      <c r="T167" s="409" t="str">
        <f t="shared" si="170"/>
        <v>N.D.</v>
      </c>
      <c r="U167" s="408"/>
      <c r="V167" s="409" t="str">
        <f t="shared" si="171"/>
        <v>N.D.</v>
      </c>
      <c r="W167" s="408"/>
      <c r="X167" s="409" t="str">
        <f t="shared" si="172"/>
        <v>N.D.</v>
      </c>
      <c r="Y167" s="408"/>
      <c r="Z167" s="409" t="str">
        <f t="shared" si="173"/>
        <v>N.D.</v>
      </c>
      <c r="AA167" s="408">
        <f t="shared" si="163"/>
        <v>0</v>
      </c>
      <c r="AB167" s="409">
        <f t="shared" si="174"/>
        <v>0</v>
      </c>
      <c r="AD167" s="460">
        <f>+ER!AE211-'ER Act'!AA167</f>
        <v>0</v>
      </c>
    </row>
    <row r="168" spans="2:30" ht="13" x14ac:dyDescent="0.3">
      <c r="B168" s="7" t="s">
        <v>190</v>
      </c>
      <c r="C168" s="410">
        <v>-30.796000000000003</v>
      </c>
      <c r="D168" s="409">
        <f t="shared" si="175"/>
        <v>-0.11482390138775998</v>
      </c>
      <c r="E168" s="410">
        <v>14.141999999999996</v>
      </c>
      <c r="F168" s="409">
        <f t="shared" si="175"/>
        <v>4.8753581019819268E-2</v>
      </c>
      <c r="G168" s="410">
        <v>8.2010000000000041</v>
      </c>
      <c r="H168" s="409">
        <f t="shared" si="164"/>
        <v>2.4276169924309039E-2</v>
      </c>
      <c r="I168" s="410">
        <v>-9.2110000000000198</v>
      </c>
      <c r="J168" s="409">
        <f t="shared" si="165"/>
        <v>-3.1550679413447212E-2</v>
      </c>
      <c r="K168" s="410">
        <v>1.9949999999999961</v>
      </c>
      <c r="L168" s="409">
        <f t="shared" si="166"/>
        <v>6.0059788842426482E-3</v>
      </c>
      <c r="M168" s="410">
        <v>2.7699999999999916</v>
      </c>
      <c r="N168" s="409">
        <f t="shared" si="167"/>
        <v>9.1595985648859728E-3</v>
      </c>
      <c r="O168" s="410">
        <v>2.7699100000000074</v>
      </c>
      <c r="P168" s="409">
        <f t="shared" si="168"/>
        <v>9.1592933888089544E-3</v>
      </c>
      <c r="Q168" s="410"/>
      <c r="R168" s="409" t="str">
        <f t="shared" si="169"/>
        <v>N.D.</v>
      </c>
      <c r="S168" s="410"/>
      <c r="T168" s="409" t="str">
        <f t="shared" si="170"/>
        <v>N.D.</v>
      </c>
      <c r="U168" s="410"/>
      <c r="V168" s="409" t="str">
        <f t="shared" si="171"/>
        <v>N.D.</v>
      </c>
      <c r="W168" s="410"/>
      <c r="X168" s="409" t="str">
        <f t="shared" si="172"/>
        <v>N.D.</v>
      </c>
      <c r="Y168" s="410"/>
      <c r="Z168" s="409" t="str">
        <f t="shared" si="173"/>
        <v>N.D.</v>
      </c>
      <c r="AA168" s="410">
        <f t="shared" si="163"/>
        <v>-10.12909000000003</v>
      </c>
      <c r="AB168" s="409">
        <f t="shared" si="174"/>
        <v>-4.7665492765123557E-3</v>
      </c>
      <c r="AD168" s="410">
        <f>+ER!AE212-'ER Act'!AA168</f>
        <v>-2.7688400000001714</v>
      </c>
    </row>
    <row r="169" spans="2:30" ht="13" x14ac:dyDescent="0.3">
      <c r="B169" s="7" t="s">
        <v>191</v>
      </c>
      <c r="C169" s="381">
        <v>0</v>
      </c>
      <c r="D169" s="411">
        <f t="shared" si="175"/>
        <v>0</v>
      </c>
      <c r="E169" s="381">
        <v>0</v>
      </c>
      <c r="F169" s="411">
        <f t="shared" si="175"/>
        <v>0</v>
      </c>
      <c r="G169" s="381">
        <v>0</v>
      </c>
      <c r="H169" s="411">
        <f t="shared" si="164"/>
        <v>0</v>
      </c>
      <c r="I169" s="381">
        <v>0</v>
      </c>
      <c r="J169" s="411">
        <f t="shared" si="165"/>
        <v>0</v>
      </c>
      <c r="K169" s="381">
        <v>0</v>
      </c>
      <c r="L169" s="411">
        <f t="shared" si="166"/>
        <v>0</v>
      </c>
      <c r="M169" s="381">
        <v>0</v>
      </c>
      <c r="N169" s="411">
        <f t="shared" si="167"/>
        <v>0</v>
      </c>
      <c r="O169" s="381">
        <v>0</v>
      </c>
      <c r="P169" s="411">
        <f t="shared" si="168"/>
        <v>0</v>
      </c>
      <c r="Q169" s="381"/>
      <c r="R169" s="411" t="str">
        <f t="shared" si="169"/>
        <v>N.D.</v>
      </c>
      <c r="S169" s="381"/>
      <c r="T169" s="411" t="str">
        <f t="shared" si="170"/>
        <v>N.D.</v>
      </c>
      <c r="U169" s="381"/>
      <c r="V169" s="411" t="str">
        <f t="shared" si="171"/>
        <v>N.D.</v>
      </c>
      <c r="W169" s="381"/>
      <c r="X169" s="411" t="str">
        <f t="shared" si="172"/>
        <v>N.D.</v>
      </c>
      <c r="Y169" s="381"/>
      <c r="Z169" s="411" t="str">
        <f t="shared" si="173"/>
        <v>N.D.</v>
      </c>
      <c r="AA169" s="381">
        <f t="shared" si="163"/>
        <v>0</v>
      </c>
      <c r="AB169" s="411">
        <f t="shared" si="174"/>
        <v>0</v>
      </c>
      <c r="AD169" s="381">
        <f>+ER!AE213-'ER Act'!AA169</f>
        <v>0</v>
      </c>
    </row>
    <row r="170" spans="2:30" ht="13" x14ac:dyDescent="0.3">
      <c r="B170" s="7" t="s">
        <v>84</v>
      </c>
      <c r="C170" s="381">
        <v>-30.796000000000003</v>
      </c>
      <c r="D170" s="411">
        <f t="shared" si="175"/>
        <v>-0.11482390138775998</v>
      </c>
      <c r="E170" s="381">
        <v>14.141999999999996</v>
      </c>
      <c r="F170" s="411">
        <f t="shared" si="175"/>
        <v>4.8753581019819268E-2</v>
      </c>
      <c r="G170" s="381">
        <v>8.2010000000000041</v>
      </c>
      <c r="H170" s="411">
        <f t="shared" si="164"/>
        <v>2.4276169924309039E-2</v>
      </c>
      <c r="I170" s="381">
        <v>-9.2110000000000198</v>
      </c>
      <c r="J170" s="411">
        <f t="shared" si="165"/>
        <v>-3.1550679413447212E-2</v>
      </c>
      <c r="K170" s="381">
        <v>1.9949999999999961</v>
      </c>
      <c r="L170" s="411">
        <f t="shared" si="166"/>
        <v>6.0059788842426482E-3</v>
      </c>
      <c r="M170" s="381">
        <v>2.7699999999999916</v>
      </c>
      <c r="N170" s="411">
        <f t="shared" si="167"/>
        <v>9.1595985648859728E-3</v>
      </c>
      <c r="O170" s="381">
        <v>2.7699100000000074</v>
      </c>
      <c r="P170" s="411">
        <f t="shared" si="168"/>
        <v>9.1592933888089544E-3</v>
      </c>
      <c r="Q170" s="381"/>
      <c r="R170" s="411" t="str">
        <f t="shared" si="169"/>
        <v>N.D.</v>
      </c>
      <c r="S170" s="381"/>
      <c r="T170" s="411" t="str">
        <f t="shared" si="170"/>
        <v>N.D.</v>
      </c>
      <c r="U170" s="381"/>
      <c r="V170" s="411" t="str">
        <f t="shared" si="171"/>
        <v>N.D.</v>
      </c>
      <c r="W170" s="381"/>
      <c r="X170" s="411" t="str">
        <f t="shared" si="172"/>
        <v>N.D.</v>
      </c>
      <c r="Y170" s="381"/>
      <c r="Z170" s="411" t="str">
        <f t="shared" si="173"/>
        <v>N.D.</v>
      </c>
      <c r="AA170" s="381">
        <f t="shared" si="163"/>
        <v>-10.12909000000003</v>
      </c>
      <c r="AB170" s="411">
        <f t="shared" si="174"/>
        <v>-4.7665492765123557E-3</v>
      </c>
      <c r="AD170" s="381">
        <f>+ER!AE214-'ER Act'!AA170</f>
        <v>-2.7688400000001714</v>
      </c>
    </row>
    <row r="171" spans="2:30" ht="13" x14ac:dyDescent="0.3">
      <c r="B171" s="1" t="s">
        <v>193</v>
      </c>
      <c r="C171" s="412" t="s">
        <v>451</v>
      </c>
      <c r="D171" s="411" t="e">
        <f t="shared" si="175"/>
        <v>#VALUE!</v>
      </c>
      <c r="E171" s="412" t="s">
        <v>451</v>
      </c>
      <c r="F171" s="411" t="e">
        <f t="shared" si="175"/>
        <v>#VALUE!</v>
      </c>
      <c r="G171" s="412" t="s">
        <v>451</v>
      </c>
      <c r="H171" s="411" t="e">
        <f t="shared" si="164"/>
        <v>#VALUE!</v>
      </c>
      <c r="I171" s="412" t="s">
        <v>451</v>
      </c>
      <c r="J171" s="411" t="e">
        <f t="shared" si="165"/>
        <v>#VALUE!</v>
      </c>
      <c r="K171" s="412" t="s">
        <v>451</v>
      </c>
      <c r="L171" s="411" t="e">
        <f t="shared" si="166"/>
        <v>#VALUE!</v>
      </c>
      <c r="M171" s="412" t="s">
        <v>451</v>
      </c>
      <c r="N171" s="411" t="e">
        <f t="shared" si="167"/>
        <v>#VALUE!</v>
      </c>
      <c r="O171" s="412" t="s">
        <v>451</v>
      </c>
      <c r="P171" s="411" t="e">
        <f t="shared" si="168"/>
        <v>#VALUE!</v>
      </c>
      <c r="Q171" s="412"/>
      <c r="R171" s="411" t="str">
        <f t="shared" si="169"/>
        <v>N.D.</v>
      </c>
      <c r="S171" s="412"/>
      <c r="T171" s="411" t="str">
        <f t="shared" si="170"/>
        <v>N.D.</v>
      </c>
      <c r="U171" s="412"/>
      <c r="V171" s="411" t="str">
        <f t="shared" si="171"/>
        <v>N.D.</v>
      </c>
      <c r="W171" s="412"/>
      <c r="X171" s="411" t="str">
        <f t="shared" si="172"/>
        <v>N.D.</v>
      </c>
      <c r="Y171" s="412"/>
      <c r="Z171" s="411" t="str">
        <f t="shared" si="173"/>
        <v>N.D.</v>
      </c>
      <c r="AA171" s="412" t="str">
        <f>IF(AA169=0,"N.D.",(AA168-AA166-AA167)/AA169)</f>
        <v>N.D.</v>
      </c>
      <c r="AB171" s="411" t="e">
        <f t="shared" si="174"/>
        <v>#VALUE!</v>
      </c>
      <c r="AD171" s="412">
        <f>IFERROR(+ER!AE215-'ER Act'!AA171,0)</f>
        <v>0</v>
      </c>
    </row>
    <row r="172" spans="2:30" x14ac:dyDescent="0.25">
      <c r="D172" s="429"/>
      <c r="F172" s="429"/>
      <c r="H172" s="429"/>
      <c r="J172" s="429"/>
      <c r="L172" s="429"/>
      <c r="N172" s="429"/>
      <c r="P172" s="429"/>
      <c r="R172" s="429"/>
      <c r="T172" s="429"/>
      <c r="V172" s="429"/>
      <c r="X172" s="429"/>
      <c r="Z172" s="429"/>
      <c r="AB172" s="429"/>
      <c r="AD172" s="457"/>
    </row>
    <row r="173" spans="2:30" ht="13" x14ac:dyDescent="0.3">
      <c r="C173" s="450"/>
      <c r="D173" s="430"/>
      <c r="E173" s="450"/>
      <c r="F173" s="430"/>
      <c r="G173" s="450"/>
      <c r="H173" s="430"/>
      <c r="I173" s="450"/>
      <c r="J173" s="430"/>
      <c r="K173" s="450"/>
      <c r="L173" s="430"/>
      <c r="M173" s="450"/>
      <c r="N173" s="430"/>
      <c r="O173" s="450"/>
      <c r="P173" s="430"/>
      <c r="Q173" s="450"/>
      <c r="R173" s="430"/>
      <c r="S173" s="450"/>
      <c r="T173" s="430"/>
      <c r="U173" s="450"/>
      <c r="V173" s="430"/>
      <c r="W173" s="450"/>
      <c r="X173" s="430"/>
      <c r="Y173" s="450"/>
      <c r="Z173" s="430"/>
      <c r="AA173" s="450"/>
      <c r="AB173" s="430"/>
    </row>
    <row r="174" spans="2:30" ht="13" x14ac:dyDescent="0.3">
      <c r="C174" s="450"/>
      <c r="D174" s="430"/>
      <c r="E174" s="450"/>
      <c r="F174" s="430"/>
      <c r="G174" s="450"/>
      <c r="H174" s="430"/>
      <c r="I174" s="450"/>
      <c r="J174" s="430"/>
      <c r="K174" s="450"/>
      <c r="L174" s="430"/>
      <c r="M174" s="450"/>
      <c r="N174" s="430"/>
      <c r="O174" s="450"/>
      <c r="P174" s="430"/>
      <c r="Q174" s="450"/>
      <c r="R174" s="430"/>
      <c r="S174" s="450"/>
      <c r="T174" s="430"/>
      <c r="U174" s="450"/>
      <c r="V174" s="430"/>
      <c r="W174" s="450"/>
      <c r="X174" s="430"/>
      <c r="Y174" s="450"/>
      <c r="Z174" s="430"/>
      <c r="AA174" s="450"/>
      <c r="AB174" s="430"/>
    </row>
    <row r="175" spans="2:30" ht="13" x14ac:dyDescent="0.3">
      <c r="B175" s="250" t="s">
        <v>329</v>
      </c>
      <c r="C175" s="396" t="s">
        <v>418</v>
      </c>
      <c r="D175" s="397"/>
      <c r="E175" s="396" t="s">
        <v>419</v>
      </c>
      <c r="F175" s="397"/>
      <c r="G175" s="396" t="s">
        <v>417</v>
      </c>
      <c r="H175" s="397"/>
      <c r="I175" s="396" t="s">
        <v>420</v>
      </c>
      <c r="J175" s="397"/>
      <c r="K175" s="396" t="s">
        <v>421</v>
      </c>
      <c r="L175" s="397"/>
      <c r="M175" s="396" t="s">
        <v>422</v>
      </c>
      <c r="N175" s="397"/>
      <c r="O175" s="396" t="s">
        <v>423</v>
      </c>
      <c r="P175" s="397"/>
      <c r="Q175" s="396" t="s">
        <v>428</v>
      </c>
      <c r="R175" s="397"/>
      <c r="S175" s="396" t="s">
        <v>424</v>
      </c>
      <c r="T175" s="397"/>
      <c r="U175" s="396" t="s">
        <v>425</v>
      </c>
      <c r="V175" s="397"/>
      <c r="W175" s="396" t="s">
        <v>426</v>
      </c>
      <c r="X175" s="397"/>
      <c r="Y175" s="396" t="s">
        <v>427</v>
      </c>
      <c r="Z175" s="431"/>
      <c r="AA175" s="452" t="s">
        <v>496</v>
      </c>
      <c r="AB175" s="431"/>
    </row>
    <row r="176" spans="2:30" x14ac:dyDescent="0.25">
      <c r="B176" s="137" t="s">
        <v>38</v>
      </c>
      <c r="C176" s="454">
        <v>219.16900000000001</v>
      </c>
      <c r="D176" s="439">
        <f>IF(C$176=0,"N.D.",C176/C$176)</f>
        <v>1</v>
      </c>
      <c r="E176" s="454">
        <v>235.47900000000001</v>
      </c>
      <c r="F176" s="439">
        <f>IF(E$176=0,"N.D.",E176/E$176)</f>
        <v>1</v>
      </c>
      <c r="G176" s="454">
        <v>262.63299999999998</v>
      </c>
      <c r="H176" s="439">
        <f>IF(G$176=0,"N.D.",G176/G$176)</f>
        <v>1</v>
      </c>
      <c r="I176" s="454">
        <v>226.75200000000001</v>
      </c>
      <c r="J176" s="439">
        <f>IF(I$176=0,"N.D.",I176/I$176)</f>
        <v>1</v>
      </c>
      <c r="K176" s="454">
        <v>244.696</v>
      </c>
      <c r="L176" s="439">
        <f>IF(K$176=0,"N.D.",K176/K$176)</f>
        <v>1</v>
      </c>
      <c r="M176" s="454">
        <v>219.202</v>
      </c>
      <c r="N176" s="439">
        <f>IF(M$176=0,"N.D.",M176/M$176)</f>
        <v>1</v>
      </c>
      <c r="O176" s="454">
        <v>219.20205999999999</v>
      </c>
      <c r="P176" s="439">
        <f>IF(O$176=0,"N.D.",O176/O$176)</f>
        <v>1</v>
      </c>
      <c r="Q176" s="454"/>
      <c r="R176" s="439" t="str">
        <f>IF(Q$176=0,"N.D.",Q176/Q$176)</f>
        <v>N.D.</v>
      </c>
      <c r="S176" s="454"/>
      <c r="T176" s="439" t="str">
        <f>IF(S$176=0,"N.D.",S176/S$176)</f>
        <v>N.D.</v>
      </c>
      <c r="U176" s="454"/>
      <c r="V176" s="439" t="str">
        <f>IF(U$176=0,"N.D.",U176/U$176)</f>
        <v>N.D.</v>
      </c>
      <c r="W176" s="454"/>
      <c r="X176" s="439" t="str">
        <f>IF(W$176=0,"N.D.",W176/W$176)</f>
        <v>N.D.</v>
      </c>
      <c r="Y176" s="454"/>
      <c r="Z176" s="439" t="str">
        <f>IF(Y$176=0,"N.D.",Y176/Y$176)</f>
        <v>N.D.</v>
      </c>
      <c r="AA176" s="454">
        <f>+Y176+W176+U176+S176+Q176+O176+M176+K176+I176+G176+E176+C176</f>
        <v>1627.1330600000001</v>
      </c>
      <c r="AB176" s="439">
        <f>IF(AA$176=0,"N.D.",AA176/AA$176)</f>
        <v>1</v>
      </c>
      <c r="AD176" s="455">
        <f>+ER!AE149-'ER Act'!AA176</f>
        <v>-219.20146999999997</v>
      </c>
    </row>
    <row r="177" spans="2:30" x14ac:dyDescent="0.25">
      <c r="B177" s="137" t="s">
        <v>39</v>
      </c>
      <c r="C177" s="454">
        <v>77.998000000000005</v>
      </c>
      <c r="D177" s="439">
        <f>IF(C$176=0,"N.D.",C177/C$176)</f>
        <v>0.35588062180326596</v>
      </c>
      <c r="E177" s="454">
        <v>81.379000000000005</v>
      </c>
      <c r="F177" s="439">
        <f>IF(E$176=0,"N.D.",E177/E$176)</f>
        <v>0.34558920328352</v>
      </c>
      <c r="G177" s="454">
        <v>90.635000000000005</v>
      </c>
      <c r="H177" s="439">
        <f>IF(G$176=0,"N.D.",G177/G$176)</f>
        <v>0.3451013391310308</v>
      </c>
      <c r="I177" s="454">
        <v>77.611000000000004</v>
      </c>
      <c r="J177" s="439">
        <f>IF(I$176=0,"N.D.",I177/I$176)</f>
        <v>0.34227261501552358</v>
      </c>
      <c r="K177" s="454">
        <v>82.82</v>
      </c>
      <c r="L177" s="439">
        <f>IF(K$176=0,"N.D.",K177/K$176)</f>
        <v>0.33846078399319968</v>
      </c>
      <c r="M177" s="454">
        <v>77.319000000000003</v>
      </c>
      <c r="N177" s="439">
        <f>IF(M$176=0,"N.D.",M177/M$176)</f>
        <v>0.35272944589921629</v>
      </c>
      <c r="O177" s="454">
        <v>77.319210000000012</v>
      </c>
      <c r="P177" s="439">
        <f>IF(O$176=0,"N.D.",O177/O$176)</f>
        <v>0.35273030737028666</v>
      </c>
      <c r="Q177" s="454"/>
      <c r="R177" s="439" t="str">
        <f>IF(Q$176=0,"N.D.",Q177/Q$176)</f>
        <v>N.D.</v>
      </c>
      <c r="S177" s="454"/>
      <c r="T177" s="439" t="str">
        <f>IF(S$176=0,"N.D.",S177/S$176)</f>
        <v>N.D.</v>
      </c>
      <c r="U177" s="454"/>
      <c r="V177" s="439" t="str">
        <f>IF(U$176=0,"N.D.",U177/U$176)</f>
        <v>N.D.</v>
      </c>
      <c r="W177" s="454"/>
      <c r="X177" s="439" t="str">
        <f>IF(W$176=0,"N.D.",W177/W$176)</f>
        <v>N.D.</v>
      </c>
      <c r="Y177" s="454"/>
      <c r="Z177" s="439" t="str">
        <f>IF(Y$176=0,"N.D.",Y177/Y$176)</f>
        <v>N.D.</v>
      </c>
      <c r="AA177" s="454">
        <f t="shared" ref="AA177:AA203" si="176">+Y177+W177+U177+S177+Q177+O177+M177+K177+I177+G177+E177+C177</f>
        <v>565.08121000000006</v>
      </c>
      <c r="AB177" s="439">
        <f>IF(AA$176=0,"N.D.",AA177/AA$176)</f>
        <v>0.34728641676053218</v>
      </c>
      <c r="AD177" s="454">
        <f>+ER!AE150-'ER Act'!AA177</f>
        <v>-77.319270000000074</v>
      </c>
    </row>
    <row r="178" spans="2:30" x14ac:dyDescent="0.25">
      <c r="B178" s="9" t="s">
        <v>219</v>
      </c>
      <c r="C178" s="454">
        <v>0</v>
      </c>
      <c r="D178" s="439">
        <f>IF(C$176=0,"N.D.",C178/C$176)</f>
        <v>0</v>
      </c>
      <c r="E178" s="454">
        <v>0</v>
      </c>
      <c r="F178" s="439">
        <f>IF(E$176=0,"N.D.",E178/E$176)</f>
        <v>0</v>
      </c>
      <c r="G178" s="454">
        <v>0</v>
      </c>
      <c r="H178" s="439">
        <f>IF(G$176=0,"N.D.",G178/G$176)</f>
        <v>0</v>
      </c>
      <c r="I178" s="454">
        <v>0</v>
      </c>
      <c r="J178" s="439">
        <f>IF(I$176=0,"N.D.",I178/I$176)</f>
        <v>0</v>
      </c>
      <c r="K178" s="454">
        <v>0</v>
      </c>
      <c r="L178" s="439">
        <f>IF(K$176=0,"N.D.",K178/K$176)</f>
        <v>0</v>
      </c>
      <c r="M178" s="454">
        <v>0</v>
      </c>
      <c r="N178" s="439">
        <f>IF(M$176=0,"N.D.",M178/M$176)</f>
        <v>0</v>
      </c>
      <c r="O178" s="454">
        <v>0</v>
      </c>
      <c r="P178" s="439">
        <f>IF(O$176=0,"N.D.",O178/O$176)</f>
        <v>0</v>
      </c>
      <c r="Q178" s="454"/>
      <c r="R178" s="439" t="str">
        <f>IF(Q$176=0,"N.D.",Q178/Q$176)</f>
        <v>N.D.</v>
      </c>
      <c r="S178" s="454"/>
      <c r="T178" s="439" t="str">
        <f>IF(S$176=0,"N.D.",S178/S$176)</f>
        <v>N.D.</v>
      </c>
      <c r="U178" s="454"/>
      <c r="V178" s="439" t="str">
        <f>IF(U$176=0,"N.D.",U178/U$176)</f>
        <v>N.D.</v>
      </c>
      <c r="W178" s="454"/>
      <c r="X178" s="439" t="str">
        <f>IF(W$176=0,"N.D.",W178/W$176)</f>
        <v>N.D.</v>
      </c>
      <c r="Y178" s="454"/>
      <c r="Z178" s="439" t="str">
        <f>IF(Y$176=0,"N.D.",Y178/Y$176)</f>
        <v>N.D.</v>
      </c>
      <c r="AA178" s="454"/>
      <c r="AB178" s="439">
        <f>IF(AA$176=0,"N.D.",AA178/AA$176)</f>
        <v>0</v>
      </c>
      <c r="AD178" s="454">
        <f>+ER!AE151-'ER Act'!AA178</f>
        <v>0</v>
      </c>
    </row>
    <row r="179" spans="2:30" ht="13" x14ac:dyDescent="0.3">
      <c r="B179" s="137" t="s">
        <v>40</v>
      </c>
      <c r="C179" s="456">
        <v>141.17099999999999</v>
      </c>
      <c r="D179" s="440">
        <f>IF(C$176=0,"N.D.",C179/C$176)</f>
        <v>0.64411937819673393</v>
      </c>
      <c r="E179" s="456">
        <v>154.10000000000002</v>
      </c>
      <c r="F179" s="440">
        <f>IF(E$176=0,"N.D.",E179/E$176)</f>
        <v>0.65441079671648006</v>
      </c>
      <c r="G179" s="456">
        <v>171.99799999999999</v>
      </c>
      <c r="H179" s="440">
        <f>IF(G$176=0,"N.D.",G179/G$176)</f>
        <v>0.65489866086896931</v>
      </c>
      <c r="I179" s="456">
        <v>149.14100000000002</v>
      </c>
      <c r="J179" s="440">
        <f>IF(I$176=0,"N.D.",I179/I$176)</f>
        <v>0.65772738498447647</v>
      </c>
      <c r="K179" s="456">
        <v>161.876</v>
      </c>
      <c r="L179" s="440">
        <f>IF(K$176=0,"N.D.",K179/K$176)</f>
        <v>0.66153921600680032</v>
      </c>
      <c r="M179" s="456">
        <v>141.88299999999998</v>
      </c>
      <c r="N179" s="440">
        <f>IF(M$176=0,"N.D.",M179/M$176)</f>
        <v>0.64727055410078371</v>
      </c>
      <c r="O179" s="456">
        <v>141.88284999999996</v>
      </c>
      <c r="P179" s="440">
        <f>IF(O$176=0,"N.D.",O179/O$176)</f>
        <v>0.64726969262971323</v>
      </c>
      <c r="Q179" s="456"/>
      <c r="R179" s="440" t="str">
        <f>IF(Q$176=0,"N.D.",Q179/Q$176)</f>
        <v>N.D.</v>
      </c>
      <c r="S179" s="456"/>
      <c r="T179" s="440" t="str">
        <f>IF(S$176=0,"N.D.",S179/S$176)</f>
        <v>N.D.</v>
      </c>
      <c r="U179" s="456"/>
      <c r="V179" s="440" t="str">
        <f>IF(U$176=0,"N.D.",U179/U$176)</f>
        <v>N.D.</v>
      </c>
      <c r="W179" s="456"/>
      <c r="X179" s="440" t="str">
        <f>IF(W$176=0,"N.D.",W179/W$176)</f>
        <v>N.D.</v>
      </c>
      <c r="Y179" s="456"/>
      <c r="Z179" s="440" t="str">
        <f>IF(Y$176=0,"N.D.",Y179/Y$176)</f>
        <v>N.D.</v>
      </c>
      <c r="AA179" s="456">
        <f t="shared" si="176"/>
        <v>1062.0518500000001</v>
      </c>
      <c r="AB179" s="440">
        <f>IF(AA$176=0,"N.D.",AA179/AA$176)</f>
        <v>0.65271358323946782</v>
      </c>
      <c r="AD179" s="456">
        <f>+ER!AE152-'ER Act'!AA179</f>
        <v>-141.8821999999999</v>
      </c>
    </row>
    <row r="180" spans="2:30" x14ac:dyDescent="0.25">
      <c r="B180" s="137"/>
      <c r="C180" s="457"/>
      <c r="D180" s="441"/>
      <c r="E180" s="457"/>
      <c r="F180" s="441"/>
      <c r="G180" s="457"/>
      <c r="H180" s="441"/>
      <c r="I180" s="457"/>
      <c r="J180" s="441"/>
      <c r="K180" s="457"/>
      <c r="L180" s="441"/>
      <c r="M180" s="457"/>
      <c r="N180" s="441"/>
      <c r="O180" s="457"/>
      <c r="P180" s="441"/>
      <c r="Q180" s="457"/>
      <c r="R180" s="441"/>
      <c r="S180" s="457"/>
      <c r="T180" s="441"/>
      <c r="U180" s="457"/>
      <c r="V180" s="441"/>
      <c r="W180" s="457"/>
      <c r="X180" s="441"/>
      <c r="Y180" s="457"/>
      <c r="Z180" s="441"/>
      <c r="AA180" s="457"/>
      <c r="AB180" s="441"/>
      <c r="AD180" s="457"/>
    </row>
    <row r="181" spans="2:30" x14ac:dyDescent="0.25">
      <c r="B181" s="137" t="s">
        <v>41</v>
      </c>
      <c r="C181" s="455">
        <v>154.06100000000001</v>
      </c>
      <c r="D181" s="442">
        <f>IF(C$176=0,"N.D.",C181/C$176)</f>
        <v>0.7029324402629934</v>
      </c>
      <c r="E181" s="455">
        <v>146.29599999999999</v>
      </c>
      <c r="F181" s="442">
        <f>IF(E$176=0,"N.D.",E181/E$176)</f>
        <v>0.62126983722540008</v>
      </c>
      <c r="G181" s="455">
        <v>165.34</v>
      </c>
      <c r="H181" s="442">
        <f>IF(G$176=0,"N.D.",G181/G$176)</f>
        <v>0.62954769583411074</v>
      </c>
      <c r="I181" s="455">
        <v>153.52799999999999</v>
      </c>
      <c r="J181" s="442">
        <f>IF(I$176=0,"N.D.",I181/I$176)</f>
        <v>0.67707451312447076</v>
      </c>
      <c r="K181" s="455">
        <v>162.14400000000001</v>
      </c>
      <c r="L181" s="442">
        <f>IF(K$176=0,"N.D.",K181/K$176)</f>
        <v>0.66263445254519893</v>
      </c>
      <c r="M181" s="455">
        <v>154.68899999999999</v>
      </c>
      <c r="N181" s="442">
        <f>IF(M$176=0,"N.D.",M181/M$176)</f>
        <v>0.70569155390917959</v>
      </c>
      <c r="O181" s="455">
        <v>154.68935000000002</v>
      </c>
      <c r="P181" s="442">
        <f>IF(O$176=0,"N.D.",O181/O$176)</f>
        <v>0.70569295744757154</v>
      </c>
      <c r="Q181" s="455"/>
      <c r="R181" s="442" t="str">
        <f>IF(Q$176=0,"N.D.",Q181/Q$176)</f>
        <v>N.D.</v>
      </c>
      <c r="S181" s="455"/>
      <c r="T181" s="442" t="str">
        <f>IF(S$176=0,"N.D.",S181/S$176)</f>
        <v>N.D.</v>
      </c>
      <c r="U181" s="455"/>
      <c r="V181" s="442" t="str">
        <f>IF(U$176=0,"N.D.",U181/U$176)</f>
        <v>N.D.</v>
      </c>
      <c r="W181" s="455"/>
      <c r="X181" s="442" t="str">
        <f>IF(W$176=0,"N.D.",W181/W$176)</f>
        <v>N.D.</v>
      </c>
      <c r="Y181" s="455"/>
      <c r="Z181" s="442" t="str">
        <f>IF(Y$176=0,"N.D.",Y181/Y$176)</f>
        <v>N.D.</v>
      </c>
      <c r="AA181" s="455">
        <f t="shared" si="176"/>
        <v>1090.7473499999999</v>
      </c>
      <c r="AB181" s="442">
        <f>IF(AA$176=0,"N.D.",AA181/AA$176)</f>
        <v>0.6703492030332171</v>
      </c>
      <c r="AD181" s="455">
        <f>+ER!AE154-'ER Act'!AA181</f>
        <v>-154.68853999999976</v>
      </c>
    </row>
    <row r="182" spans="2:30" x14ac:dyDescent="0.25">
      <c r="B182" s="137" t="s">
        <v>42</v>
      </c>
      <c r="C182" s="454">
        <v>13.768000000000001</v>
      </c>
      <c r="D182" s="439">
        <f>IF(C$176=0,"N.D.",C182/C$176)</f>
        <v>6.2819103066583323E-2</v>
      </c>
      <c r="E182" s="454">
        <v>11.946</v>
      </c>
      <c r="F182" s="439">
        <f>IF(E$176=0,"N.D.",E182/E$176)</f>
        <v>5.0730638400876507E-2</v>
      </c>
      <c r="G182" s="454">
        <v>14.999000000000001</v>
      </c>
      <c r="H182" s="439">
        <f>IF(G$176=0,"N.D.",G182/G$176)</f>
        <v>5.711011182905424E-2</v>
      </c>
      <c r="I182" s="454">
        <v>15.067</v>
      </c>
      <c r="J182" s="439">
        <f>IF(I$176=0,"N.D.",I182/I$176)</f>
        <v>6.6447043465989272E-2</v>
      </c>
      <c r="K182" s="454">
        <v>16.286999999999999</v>
      </c>
      <c r="L182" s="439">
        <f>IF(K$176=0,"N.D.",K182/K$176)</f>
        <v>6.6560139928727891E-2</v>
      </c>
      <c r="M182" s="454">
        <v>10.807</v>
      </c>
      <c r="N182" s="439">
        <f>IF(M$176=0,"N.D.",M182/M$176)</f>
        <v>4.9301557467541356E-2</v>
      </c>
      <c r="O182" s="454">
        <v>10.80691</v>
      </c>
      <c r="P182" s="439">
        <f>IF(O$176=0,"N.D.",O182/O$176)</f>
        <v>4.9301133392633263E-2</v>
      </c>
      <c r="Q182" s="454"/>
      <c r="R182" s="439" t="str">
        <f>IF(Q$176=0,"N.D.",Q182/Q$176)</f>
        <v>N.D.</v>
      </c>
      <c r="S182" s="454"/>
      <c r="T182" s="439" t="str">
        <f>IF(S$176=0,"N.D.",S182/S$176)</f>
        <v>N.D.</v>
      </c>
      <c r="U182" s="454"/>
      <c r="V182" s="439" t="str">
        <f>IF(U$176=0,"N.D.",U182/U$176)</f>
        <v>N.D.</v>
      </c>
      <c r="W182" s="454"/>
      <c r="X182" s="439" t="str">
        <f>IF(W$176=0,"N.D.",W182/W$176)</f>
        <v>N.D.</v>
      </c>
      <c r="Y182" s="454"/>
      <c r="Z182" s="439" t="str">
        <f>IF(Y$176=0,"N.D.",Y182/Y$176)</f>
        <v>N.D.</v>
      </c>
      <c r="AA182" s="454">
        <f t="shared" si="176"/>
        <v>93.680909999999997</v>
      </c>
      <c r="AB182" s="439">
        <f>IF(AA$176=0,"N.D.",AA182/AA$176)</f>
        <v>5.7574215841942264E-2</v>
      </c>
      <c r="AD182" s="454">
        <f>+ER!AE155-'ER Act'!AA182</f>
        <v>-10.807769999999991</v>
      </c>
    </row>
    <row r="183" spans="2:30" x14ac:dyDescent="0.25">
      <c r="B183" s="137" t="s">
        <v>43</v>
      </c>
      <c r="C183" s="454">
        <v>9.2420000000000009</v>
      </c>
      <c r="D183" s="439">
        <f>IF(C$176=0,"N.D.",C183/C$176)</f>
        <v>4.2168372351929335E-2</v>
      </c>
      <c r="E183" s="454">
        <v>9.2420000000000009</v>
      </c>
      <c r="F183" s="439">
        <f>IF(E$176=0,"N.D.",E183/E$176)</f>
        <v>3.924766115025119E-2</v>
      </c>
      <c r="G183" s="454">
        <v>9.2420000000000009</v>
      </c>
      <c r="H183" s="439">
        <f>IF(G$176=0,"N.D.",G183/G$176)</f>
        <v>3.5189789554244906E-2</v>
      </c>
      <c r="I183" s="454">
        <v>9.2420000000000009</v>
      </c>
      <c r="J183" s="439">
        <f>IF(I$176=0,"N.D.",I183/I$176)</f>
        <v>4.0758185153824442E-2</v>
      </c>
      <c r="K183" s="454">
        <v>9.2420000000000009</v>
      </c>
      <c r="L183" s="439">
        <f>IF(K$176=0,"N.D.",K183/K$176)</f>
        <v>3.7769313760748033E-2</v>
      </c>
      <c r="M183" s="454">
        <v>9.2420000000000009</v>
      </c>
      <c r="N183" s="439">
        <f>IF(M$176=0,"N.D.",M183/M$176)</f>
        <v>4.2162024069123463E-2</v>
      </c>
      <c r="O183" s="454">
        <v>9.2417600000000011</v>
      </c>
      <c r="P183" s="439">
        <f>IF(O$176=0,"N.D.",O183/O$176)</f>
        <v>4.2160917648310432E-2</v>
      </c>
      <c r="Q183" s="454"/>
      <c r="R183" s="439" t="str">
        <f>IF(Q$176=0,"N.D.",Q183/Q$176)</f>
        <v>N.D.</v>
      </c>
      <c r="S183" s="454"/>
      <c r="T183" s="439" t="str">
        <f>IF(S$176=0,"N.D.",S183/S$176)</f>
        <v>N.D.</v>
      </c>
      <c r="U183" s="454"/>
      <c r="V183" s="439" t="str">
        <f>IF(U$176=0,"N.D.",U183/U$176)</f>
        <v>N.D.</v>
      </c>
      <c r="W183" s="454"/>
      <c r="X183" s="439" t="str">
        <f>IF(W$176=0,"N.D.",W183/W$176)</f>
        <v>N.D.</v>
      </c>
      <c r="Y183" s="454"/>
      <c r="Z183" s="439" t="str">
        <f>IF(Y$176=0,"N.D.",Y183/Y$176)</f>
        <v>N.D.</v>
      </c>
      <c r="AA183" s="454">
        <f t="shared" si="176"/>
        <v>64.693760000000012</v>
      </c>
      <c r="AB183" s="439">
        <f>IF(AA$176=0,"N.D.",AA183/AA$176)</f>
        <v>3.9759354407069826E-2</v>
      </c>
      <c r="AD183" s="454">
        <f>+ER!AE156-'ER Act'!AA183</f>
        <v>-9.2432000000000158</v>
      </c>
    </row>
    <row r="184" spans="2:30" ht="13" x14ac:dyDescent="0.3">
      <c r="B184" s="137" t="s">
        <v>44</v>
      </c>
      <c r="C184" s="456">
        <v>177.071</v>
      </c>
      <c r="D184" s="440">
        <f>IF(C$176=0,"N.D.",C184/C$176)</f>
        <v>0.80791991568150601</v>
      </c>
      <c r="E184" s="456">
        <v>167.48399999999998</v>
      </c>
      <c r="F184" s="440">
        <f>IF(E$176=0,"N.D.",E184/E$176)</f>
        <v>0.71124813677652776</v>
      </c>
      <c r="G184" s="456">
        <v>189.58099999999999</v>
      </c>
      <c r="H184" s="440">
        <f>IF(G$176=0,"N.D.",G184/G$176)</f>
        <v>0.72184759721740988</v>
      </c>
      <c r="I184" s="456">
        <v>177.83699999999999</v>
      </c>
      <c r="J184" s="440">
        <f>IF(I$176=0,"N.D.",I184/I$176)</f>
        <v>0.78427974174428439</v>
      </c>
      <c r="K184" s="456">
        <v>187.673</v>
      </c>
      <c r="L184" s="440">
        <f>IF(K$176=0,"N.D.",K184/K$176)</f>
        <v>0.76696390623467492</v>
      </c>
      <c r="M184" s="456">
        <v>174.73799999999997</v>
      </c>
      <c r="N184" s="440">
        <f>IF(M$176=0,"N.D.",M184/M$176)</f>
        <v>0.79715513544584438</v>
      </c>
      <c r="O184" s="456">
        <v>174.73802000000001</v>
      </c>
      <c r="P184" s="440">
        <f>IF(O$176=0,"N.D.",O184/O$176)</f>
        <v>0.79715500848851517</v>
      </c>
      <c r="Q184" s="456"/>
      <c r="R184" s="440" t="str">
        <f>IF(Q$176=0,"N.D.",Q184/Q$176)</f>
        <v>N.D.</v>
      </c>
      <c r="S184" s="456"/>
      <c r="T184" s="440" t="str">
        <f>IF(S$176=0,"N.D.",S184/S$176)</f>
        <v>N.D.</v>
      </c>
      <c r="U184" s="456"/>
      <c r="V184" s="440" t="str">
        <f>IF(U$176=0,"N.D.",U184/U$176)</f>
        <v>N.D.</v>
      </c>
      <c r="W184" s="456"/>
      <c r="X184" s="440" t="str">
        <f>IF(W$176=0,"N.D.",W184/W$176)</f>
        <v>N.D.</v>
      </c>
      <c r="Y184" s="456"/>
      <c r="Z184" s="440" t="str">
        <f>IF(Y$176=0,"N.D.",Y184/Y$176)</f>
        <v>N.D.</v>
      </c>
      <c r="AA184" s="456">
        <f t="shared" si="176"/>
        <v>1249.1220199999998</v>
      </c>
      <c r="AB184" s="440">
        <f>IF(AA$176=0,"N.D.",AA184/AA$176)</f>
        <v>0.76768277328222911</v>
      </c>
      <c r="AD184" s="456">
        <f>+ER!AE157-'ER Act'!AA184</f>
        <v>-174.73950999999965</v>
      </c>
    </row>
    <row r="185" spans="2:30" ht="13" x14ac:dyDescent="0.3">
      <c r="B185" s="137" t="s">
        <v>45</v>
      </c>
      <c r="C185" s="456">
        <v>-35.900000000000006</v>
      </c>
      <c r="D185" s="440">
        <f>IF(C$176=0,"N.D.",C185/C$176)</f>
        <v>-0.16380053748477205</v>
      </c>
      <c r="E185" s="456">
        <v>-13.383999999999958</v>
      </c>
      <c r="F185" s="440">
        <f>IF(E$176=0,"N.D.",E185/E$176)</f>
        <v>-5.6837340060047634E-2</v>
      </c>
      <c r="G185" s="456">
        <v>-17.582999999999998</v>
      </c>
      <c r="H185" s="440">
        <f>IF(G$176=0,"N.D.",G185/G$176)</f>
        <v>-6.6948936348440596E-2</v>
      </c>
      <c r="I185" s="456">
        <v>-28.69599999999997</v>
      </c>
      <c r="J185" s="440">
        <f>IF(I$176=0,"N.D.",I185/I$176)</f>
        <v>-0.12655235675980794</v>
      </c>
      <c r="K185" s="456">
        <v>-25.796999999999997</v>
      </c>
      <c r="L185" s="440">
        <f>IF(K$176=0,"N.D.",K185/K$176)</f>
        <v>-0.10542469022787458</v>
      </c>
      <c r="M185" s="456">
        <v>-32.85499999999999</v>
      </c>
      <c r="N185" s="440">
        <f>IF(M$176=0,"N.D.",M185/M$176)</f>
        <v>-0.14988458134506066</v>
      </c>
      <c r="O185" s="456">
        <v>-32.855170000000044</v>
      </c>
      <c r="P185" s="440">
        <f>IF(O$176=0,"N.D.",O185/O$176)</f>
        <v>-0.14988531585880191</v>
      </c>
      <c r="Q185" s="456"/>
      <c r="R185" s="440" t="str">
        <f>IF(Q$176=0,"N.D.",Q185/Q$176)</f>
        <v>N.D.</v>
      </c>
      <c r="S185" s="456"/>
      <c r="T185" s="440" t="str">
        <f>IF(S$176=0,"N.D.",S185/S$176)</f>
        <v>N.D.</v>
      </c>
      <c r="U185" s="456"/>
      <c r="V185" s="440" t="str">
        <f>IF(U$176=0,"N.D.",U185/U$176)</f>
        <v>N.D.</v>
      </c>
      <c r="W185" s="456"/>
      <c r="X185" s="440" t="str">
        <f>IF(W$176=0,"N.D.",W185/W$176)</f>
        <v>N.D.</v>
      </c>
      <c r="Y185" s="456"/>
      <c r="Z185" s="440" t="str">
        <f>IF(Y$176=0,"N.D.",Y185/Y$176)</f>
        <v>N.D.</v>
      </c>
      <c r="AA185" s="456">
        <f t="shared" si="176"/>
        <v>-187.07016999999996</v>
      </c>
      <c r="AB185" s="440">
        <f>IF(AA$176=0,"N.D.",AA185/AA$176)</f>
        <v>-0.11496919004276143</v>
      </c>
      <c r="AD185" s="456">
        <f>+ER!AE158-'ER Act'!AA185</f>
        <v>32.857309999999984</v>
      </c>
    </row>
    <row r="186" spans="2:30" x14ac:dyDescent="0.25">
      <c r="C186" s="457"/>
      <c r="D186" s="441"/>
      <c r="E186" s="457"/>
      <c r="F186" s="441"/>
      <c r="G186" s="457"/>
      <c r="H186" s="441"/>
      <c r="I186" s="457"/>
      <c r="J186" s="441"/>
      <c r="K186" s="457"/>
      <c r="L186" s="441"/>
      <c r="M186" s="457"/>
      <c r="N186" s="441"/>
      <c r="O186" s="457"/>
      <c r="P186" s="441"/>
      <c r="Q186" s="457"/>
      <c r="R186" s="441"/>
      <c r="S186" s="457"/>
      <c r="T186" s="441"/>
      <c r="U186" s="457"/>
      <c r="V186" s="441"/>
      <c r="W186" s="457"/>
      <c r="X186" s="441"/>
      <c r="Y186" s="457"/>
      <c r="Z186" s="441"/>
      <c r="AA186" s="457"/>
      <c r="AB186" s="441"/>
      <c r="AD186" s="458"/>
    </row>
    <row r="187" spans="2:30" x14ac:dyDescent="0.25">
      <c r="B187" s="137"/>
      <c r="C187" s="455">
        <v>0</v>
      </c>
      <c r="D187" s="443">
        <f t="shared" ref="D187:D193" si="177">IF(C$176=0,"N.D.",C187/C$176)</f>
        <v>0</v>
      </c>
      <c r="E187" s="455">
        <v>0</v>
      </c>
      <c r="F187" s="443">
        <f t="shared" ref="F187:F193" si="178">IF(E$176=0,"N.D.",E187/E$176)</f>
        <v>0</v>
      </c>
      <c r="G187" s="455">
        <v>0</v>
      </c>
      <c r="H187" s="443">
        <f t="shared" ref="H187:H193" si="179">IF(G$176=0,"N.D.",G187/G$176)</f>
        <v>0</v>
      </c>
      <c r="I187" s="455">
        <v>0</v>
      </c>
      <c r="J187" s="443">
        <f t="shared" ref="J187:J193" si="180">IF(I$176=0,"N.D.",I187/I$176)</f>
        <v>0</v>
      </c>
      <c r="K187" s="455">
        <v>0</v>
      </c>
      <c r="L187" s="443">
        <f t="shared" ref="L187:L193" si="181">IF(K$176=0,"N.D.",K187/K$176)</f>
        <v>0</v>
      </c>
      <c r="M187" s="455">
        <v>0</v>
      </c>
      <c r="N187" s="443">
        <f t="shared" ref="N187:N193" si="182">IF(M$176=0,"N.D.",M187/M$176)</f>
        <v>0</v>
      </c>
      <c r="O187" s="455">
        <v>0</v>
      </c>
      <c r="P187" s="443">
        <f t="shared" ref="P187:P193" si="183">IF(O$176=0,"N.D.",O187/O$176)</f>
        <v>0</v>
      </c>
      <c r="Q187" s="455"/>
      <c r="R187" s="443" t="str">
        <f t="shared" ref="R187:R193" si="184">IF(Q$176=0,"N.D.",Q187/Q$176)</f>
        <v>N.D.</v>
      </c>
      <c r="S187" s="455"/>
      <c r="T187" s="443" t="str">
        <f t="shared" ref="T187:T193" si="185">IF(S$176=0,"N.D.",S187/S$176)</f>
        <v>N.D.</v>
      </c>
      <c r="U187" s="455"/>
      <c r="V187" s="443" t="str">
        <f t="shared" ref="V187:V193" si="186">IF(U$176=0,"N.D.",U187/U$176)</f>
        <v>N.D.</v>
      </c>
      <c r="W187" s="455"/>
      <c r="X187" s="443" t="str">
        <f t="shared" ref="X187:X193" si="187">IF(W$176=0,"N.D.",W187/W$176)</f>
        <v>N.D.</v>
      </c>
      <c r="Y187" s="455"/>
      <c r="Z187" s="443" t="str">
        <f t="shared" ref="Z187:Z193" si="188">IF(Y$176=0,"N.D.",Y187/Y$176)</f>
        <v>N.D.</v>
      </c>
      <c r="AA187" s="455">
        <f t="shared" si="176"/>
        <v>0</v>
      </c>
      <c r="AB187" s="443">
        <f t="shared" ref="AB187:AB193" si="189">IF(AA$176=0,"N.D.",AA187/AA$176)</f>
        <v>0</v>
      </c>
      <c r="AD187" s="455">
        <f>+ER!AE160-'ER Act'!AA187</f>
        <v>0</v>
      </c>
    </row>
    <row r="188" spans="2:30" x14ac:dyDescent="0.25">
      <c r="B188" s="137" t="s">
        <v>52</v>
      </c>
      <c r="C188" s="454">
        <v>-1.0249999999999999</v>
      </c>
      <c r="D188" s="444">
        <f t="shared" si="177"/>
        <v>-4.6767562930888941E-3</v>
      </c>
      <c r="E188" s="454">
        <v>-4.4400000000000004</v>
      </c>
      <c r="F188" s="444">
        <f t="shared" si="178"/>
        <v>-1.8855184538748678E-2</v>
      </c>
      <c r="G188" s="454">
        <v>0.47099999999999997</v>
      </c>
      <c r="H188" s="444">
        <f t="shared" si="179"/>
        <v>1.7933770699036298E-3</v>
      </c>
      <c r="I188" s="454">
        <v>-4.165</v>
      </c>
      <c r="J188" s="444">
        <f t="shared" si="180"/>
        <v>-1.8368084956251765E-2</v>
      </c>
      <c r="K188" s="454">
        <v>-0.109</v>
      </c>
      <c r="L188" s="444">
        <f t="shared" si="181"/>
        <v>-4.4545068166214406E-4</v>
      </c>
      <c r="M188" s="454">
        <v>-4.7889999999999997</v>
      </c>
      <c r="N188" s="444">
        <f t="shared" si="182"/>
        <v>-2.1847428399375916E-2</v>
      </c>
      <c r="O188" s="454">
        <v>-4.7894700000000006</v>
      </c>
      <c r="P188" s="444">
        <f t="shared" si="183"/>
        <v>-2.1849566559730329E-2</v>
      </c>
      <c r="Q188" s="454"/>
      <c r="R188" s="444" t="str">
        <f t="shared" si="184"/>
        <v>N.D.</v>
      </c>
      <c r="S188" s="454"/>
      <c r="T188" s="444" t="str">
        <f t="shared" si="185"/>
        <v>N.D.</v>
      </c>
      <c r="U188" s="454"/>
      <c r="V188" s="444" t="str">
        <f t="shared" si="186"/>
        <v>N.D.</v>
      </c>
      <c r="W188" s="454"/>
      <c r="X188" s="444" t="str">
        <f t="shared" si="187"/>
        <v>N.D.</v>
      </c>
      <c r="Y188" s="454"/>
      <c r="Z188" s="444" t="str">
        <f t="shared" si="188"/>
        <v>N.D.</v>
      </c>
      <c r="AA188" s="454">
        <f t="shared" si="176"/>
        <v>-18.84647</v>
      </c>
      <c r="AB188" s="444">
        <f t="shared" si="189"/>
        <v>-1.1582623734533424E-2</v>
      </c>
      <c r="AD188" s="454">
        <f>+ER!AE161-'ER Act'!AA188</f>
        <v>4.7886100000000003</v>
      </c>
    </row>
    <row r="189" spans="2:30" x14ac:dyDescent="0.25">
      <c r="B189" s="137" t="s">
        <v>46</v>
      </c>
      <c r="C189" s="454">
        <v>0</v>
      </c>
      <c r="D189" s="444">
        <f t="shared" si="177"/>
        <v>0</v>
      </c>
      <c r="E189" s="454">
        <v>0</v>
      </c>
      <c r="F189" s="444">
        <f t="shared" si="178"/>
        <v>0</v>
      </c>
      <c r="G189" s="454">
        <v>0</v>
      </c>
      <c r="H189" s="444">
        <f t="shared" si="179"/>
        <v>0</v>
      </c>
      <c r="I189" s="454">
        <v>0</v>
      </c>
      <c r="J189" s="444">
        <f t="shared" si="180"/>
        <v>0</v>
      </c>
      <c r="K189" s="454">
        <v>0</v>
      </c>
      <c r="L189" s="444">
        <f t="shared" si="181"/>
        <v>0</v>
      </c>
      <c r="M189" s="454">
        <v>0</v>
      </c>
      <c r="N189" s="444">
        <f t="shared" si="182"/>
        <v>0</v>
      </c>
      <c r="O189" s="454">
        <v>0</v>
      </c>
      <c r="P189" s="444">
        <f t="shared" si="183"/>
        <v>0</v>
      </c>
      <c r="Q189" s="454"/>
      <c r="R189" s="444" t="str">
        <f t="shared" si="184"/>
        <v>N.D.</v>
      </c>
      <c r="S189" s="454"/>
      <c r="T189" s="444" t="str">
        <f t="shared" si="185"/>
        <v>N.D.</v>
      </c>
      <c r="U189" s="454"/>
      <c r="V189" s="444" t="str">
        <f t="shared" si="186"/>
        <v>N.D.</v>
      </c>
      <c r="W189" s="454"/>
      <c r="X189" s="444" t="str">
        <f t="shared" si="187"/>
        <v>N.D.</v>
      </c>
      <c r="Y189" s="454"/>
      <c r="Z189" s="444" t="str">
        <f t="shared" si="188"/>
        <v>N.D.</v>
      </c>
      <c r="AA189" s="454">
        <f t="shared" si="176"/>
        <v>0</v>
      </c>
      <c r="AB189" s="444">
        <f t="shared" si="189"/>
        <v>0</v>
      </c>
      <c r="AD189" s="454">
        <f>+ER!AE162-'ER Act'!AA189</f>
        <v>0</v>
      </c>
    </row>
    <row r="190" spans="2:30" x14ac:dyDescent="0.25">
      <c r="B190" s="137" t="s">
        <v>47</v>
      </c>
      <c r="C190" s="454">
        <v>0</v>
      </c>
      <c r="D190" s="444">
        <f t="shared" si="177"/>
        <v>0</v>
      </c>
      <c r="E190" s="454">
        <v>0</v>
      </c>
      <c r="F190" s="444">
        <f t="shared" si="178"/>
        <v>0</v>
      </c>
      <c r="G190" s="454">
        <v>0</v>
      </c>
      <c r="H190" s="444">
        <f t="shared" si="179"/>
        <v>0</v>
      </c>
      <c r="I190" s="454">
        <v>0</v>
      </c>
      <c r="J190" s="444">
        <f t="shared" si="180"/>
        <v>0</v>
      </c>
      <c r="K190" s="454">
        <v>0</v>
      </c>
      <c r="L190" s="444">
        <f t="shared" si="181"/>
        <v>0</v>
      </c>
      <c r="M190" s="454">
        <v>0</v>
      </c>
      <c r="N190" s="444">
        <f t="shared" si="182"/>
        <v>0</v>
      </c>
      <c r="O190" s="454">
        <v>0</v>
      </c>
      <c r="P190" s="444">
        <f t="shared" si="183"/>
        <v>0</v>
      </c>
      <c r="Q190" s="454"/>
      <c r="R190" s="444" t="str">
        <f t="shared" si="184"/>
        <v>N.D.</v>
      </c>
      <c r="S190" s="454"/>
      <c r="T190" s="444" t="str">
        <f t="shared" si="185"/>
        <v>N.D.</v>
      </c>
      <c r="U190" s="454"/>
      <c r="V190" s="444" t="str">
        <f t="shared" si="186"/>
        <v>N.D.</v>
      </c>
      <c r="W190" s="454"/>
      <c r="X190" s="444" t="str">
        <f t="shared" si="187"/>
        <v>N.D.</v>
      </c>
      <c r="Y190" s="454"/>
      <c r="Z190" s="444" t="str">
        <f t="shared" si="188"/>
        <v>N.D.</v>
      </c>
      <c r="AA190" s="454">
        <f t="shared" si="176"/>
        <v>0</v>
      </c>
      <c r="AB190" s="444">
        <f t="shared" si="189"/>
        <v>0</v>
      </c>
      <c r="AD190" s="454">
        <f>+ER!AE163-'ER Act'!AA190</f>
        <v>0</v>
      </c>
    </row>
    <row r="191" spans="2:30" x14ac:dyDescent="0.25">
      <c r="C191" s="454">
        <v>0</v>
      </c>
      <c r="D191" s="444">
        <f t="shared" si="177"/>
        <v>0</v>
      </c>
      <c r="E191" s="454">
        <v>0</v>
      </c>
      <c r="F191" s="444">
        <f t="shared" si="178"/>
        <v>0</v>
      </c>
      <c r="G191" s="454">
        <v>0</v>
      </c>
      <c r="H191" s="444">
        <f t="shared" si="179"/>
        <v>0</v>
      </c>
      <c r="I191" s="454">
        <v>0</v>
      </c>
      <c r="J191" s="444">
        <f t="shared" si="180"/>
        <v>0</v>
      </c>
      <c r="K191" s="454">
        <v>0</v>
      </c>
      <c r="L191" s="444">
        <f t="shared" si="181"/>
        <v>0</v>
      </c>
      <c r="M191" s="454">
        <v>0</v>
      </c>
      <c r="N191" s="444">
        <f t="shared" si="182"/>
        <v>0</v>
      </c>
      <c r="O191" s="454">
        <v>0</v>
      </c>
      <c r="P191" s="444">
        <f t="shared" si="183"/>
        <v>0</v>
      </c>
      <c r="Q191" s="454"/>
      <c r="R191" s="444" t="str">
        <f t="shared" si="184"/>
        <v>N.D.</v>
      </c>
      <c r="S191" s="454"/>
      <c r="T191" s="444" t="str">
        <f t="shared" si="185"/>
        <v>N.D.</v>
      </c>
      <c r="U191" s="454"/>
      <c r="V191" s="444" t="str">
        <f t="shared" si="186"/>
        <v>N.D.</v>
      </c>
      <c r="W191" s="454"/>
      <c r="X191" s="444" t="str">
        <f t="shared" si="187"/>
        <v>N.D.</v>
      </c>
      <c r="Y191" s="454"/>
      <c r="Z191" s="444" t="str">
        <f t="shared" si="188"/>
        <v>N.D.</v>
      </c>
      <c r="AA191" s="454">
        <f t="shared" si="176"/>
        <v>0</v>
      </c>
      <c r="AB191" s="444">
        <f t="shared" si="189"/>
        <v>0</v>
      </c>
      <c r="AD191" s="454">
        <f>+ER!AE164-'ER Act'!AA191</f>
        <v>0</v>
      </c>
    </row>
    <row r="192" spans="2:30" ht="13" x14ac:dyDescent="0.3">
      <c r="B192" s="137" t="s">
        <v>48</v>
      </c>
      <c r="C192" s="456">
        <v>-1.0249999999999999</v>
      </c>
      <c r="D192" s="440">
        <f t="shared" si="177"/>
        <v>-4.6767562930888941E-3</v>
      </c>
      <c r="E192" s="456">
        <v>-4.4400000000000004</v>
      </c>
      <c r="F192" s="440">
        <f t="shared" si="178"/>
        <v>-1.8855184538748678E-2</v>
      </c>
      <c r="G192" s="456">
        <v>0.47099999999999997</v>
      </c>
      <c r="H192" s="440">
        <f t="shared" si="179"/>
        <v>1.7933770699036298E-3</v>
      </c>
      <c r="I192" s="456">
        <v>-4.165</v>
      </c>
      <c r="J192" s="440">
        <f t="shared" si="180"/>
        <v>-1.8368084956251765E-2</v>
      </c>
      <c r="K192" s="456">
        <v>-0.109</v>
      </c>
      <c r="L192" s="440">
        <f t="shared" si="181"/>
        <v>-4.4545068166214406E-4</v>
      </c>
      <c r="M192" s="456">
        <v>-4.7889999999999997</v>
      </c>
      <c r="N192" s="440">
        <f t="shared" si="182"/>
        <v>-2.1847428399375916E-2</v>
      </c>
      <c r="O192" s="456">
        <v>-4.7894700000000006</v>
      </c>
      <c r="P192" s="440">
        <f t="shared" si="183"/>
        <v>-2.1849566559730329E-2</v>
      </c>
      <c r="Q192" s="456"/>
      <c r="R192" s="440" t="str">
        <f t="shared" si="184"/>
        <v>N.D.</v>
      </c>
      <c r="S192" s="456"/>
      <c r="T192" s="440" t="str">
        <f t="shared" si="185"/>
        <v>N.D.</v>
      </c>
      <c r="U192" s="456"/>
      <c r="V192" s="440" t="str">
        <f t="shared" si="186"/>
        <v>N.D.</v>
      </c>
      <c r="W192" s="456"/>
      <c r="X192" s="440" t="str">
        <f t="shared" si="187"/>
        <v>N.D.</v>
      </c>
      <c r="Y192" s="456"/>
      <c r="Z192" s="440" t="str">
        <f t="shared" si="188"/>
        <v>N.D.</v>
      </c>
      <c r="AA192" s="456">
        <f t="shared" si="176"/>
        <v>-18.84647</v>
      </c>
      <c r="AB192" s="440">
        <f t="shared" si="189"/>
        <v>-1.1582623734533424E-2</v>
      </c>
      <c r="AD192" s="456">
        <f>+ER!AE165-'ER Act'!AA192</f>
        <v>4.7886100000000003</v>
      </c>
    </row>
    <row r="193" spans="2:30" ht="13" x14ac:dyDescent="0.3">
      <c r="B193" s="137" t="s">
        <v>49</v>
      </c>
      <c r="C193" s="456">
        <v>-34.875000000000007</v>
      </c>
      <c r="D193" s="440">
        <f t="shared" si="177"/>
        <v>-0.15912378119168316</v>
      </c>
      <c r="E193" s="456">
        <v>-8.9439999999999564</v>
      </c>
      <c r="F193" s="440">
        <f t="shared" si="178"/>
        <v>-3.7982155521298952E-2</v>
      </c>
      <c r="G193" s="456">
        <v>-18.053999999999998</v>
      </c>
      <c r="H193" s="440">
        <f t="shared" si="179"/>
        <v>-6.8742313418344234E-2</v>
      </c>
      <c r="I193" s="456">
        <v>-24.53099999999997</v>
      </c>
      <c r="J193" s="440">
        <f t="shared" si="180"/>
        <v>-0.10818427180355618</v>
      </c>
      <c r="K193" s="456">
        <v>-25.687999999999995</v>
      </c>
      <c r="L193" s="440">
        <f t="shared" si="181"/>
        <v>-0.10497923954621242</v>
      </c>
      <c r="M193" s="456">
        <v>-28.065999999999988</v>
      </c>
      <c r="N193" s="440">
        <f t="shared" si="182"/>
        <v>-0.12803715294568474</v>
      </c>
      <c r="O193" s="456">
        <v>-28.065700000000042</v>
      </c>
      <c r="P193" s="440">
        <f t="shared" si="183"/>
        <v>-0.12803574929907158</v>
      </c>
      <c r="Q193" s="456"/>
      <c r="R193" s="440" t="str">
        <f t="shared" si="184"/>
        <v>N.D.</v>
      </c>
      <c r="S193" s="456"/>
      <c r="T193" s="440" t="str">
        <f t="shared" si="185"/>
        <v>N.D.</v>
      </c>
      <c r="U193" s="456"/>
      <c r="V193" s="440" t="str">
        <f t="shared" si="186"/>
        <v>N.D.</v>
      </c>
      <c r="W193" s="456"/>
      <c r="X193" s="440" t="str">
        <f t="shared" si="187"/>
        <v>N.D.</v>
      </c>
      <c r="Y193" s="456"/>
      <c r="Z193" s="440" t="str">
        <f t="shared" si="188"/>
        <v>N.D.</v>
      </c>
      <c r="AA193" s="456">
        <f t="shared" si="176"/>
        <v>-168.22369999999995</v>
      </c>
      <c r="AB193" s="440">
        <f t="shared" si="189"/>
        <v>-0.10338656630822801</v>
      </c>
      <c r="AD193" s="456">
        <f>+ER!AE166-'ER Act'!AA193</f>
        <v>28.068699999999978</v>
      </c>
    </row>
    <row r="194" spans="2:30" x14ac:dyDescent="0.25">
      <c r="C194" s="457"/>
      <c r="D194" s="441"/>
      <c r="E194" s="457"/>
      <c r="F194" s="441"/>
      <c r="G194" s="457"/>
      <c r="H194" s="441"/>
      <c r="I194" s="457"/>
      <c r="J194" s="441"/>
      <c r="K194" s="457"/>
      <c r="L194" s="441"/>
      <c r="M194" s="457"/>
      <c r="N194" s="441"/>
      <c r="O194" s="457"/>
      <c r="P194" s="441"/>
      <c r="Q194" s="457"/>
      <c r="R194" s="441"/>
      <c r="S194" s="457"/>
      <c r="T194" s="441"/>
      <c r="U194" s="457"/>
      <c r="V194" s="441"/>
      <c r="W194" s="457"/>
      <c r="X194" s="441"/>
      <c r="Y194" s="457"/>
      <c r="Z194" s="441"/>
      <c r="AA194" s="457"/>
      <c r="AB194" s="441"/>
      <c r="AD194" s="457"/>
    </row>
    <row r="195" spans="2:30" x14ac:dyDescent="0.25">
      <c r="B195" s="137" t="s">
        <v>50</v>
      </c>
      <c r="C195" s="455">
        <v>0</v>
      </c>
      <c r="D195" s="442">
        <f>IF(C$176=0,"N.D.",C195/C$176)</f>
        <v>0</v>
      </c>
      <c r="E195" s="455">
        <v>0</v>
      </c>
      <c r="F195" s="442">
        <f>IF(E$176=0,"N.D.",E195/E$176)</f>
        <v>0</v>
      </c>
      <c r="G195" s="455">
        <v>0</v>
      </c>
      <c r="H195" s="442">
        <f t="shared" ref="H195:H204" si="190">IF(G$176=0,"N.D.",G195/G$176)</f>
        <v>0</v>
      </c>
      <c r="I195" s="455">
        <v>0</v>
      </c>
      <c r="J195" s="442">
        <f t="shared" ref="J195:J204" si="191">IF(I$176=0,"N.D.",I195/I$176)</f>
        <v>0</v>
      </c>
      <c r="K195" s="455">
        <v>0</v>
      </c>
      <c r="L195" s="442">
        <f t="shared" ref="L195:L204" si="192">IF(K$176=0,"N.D.",K195/K$176)</f>
        <v>0</v>
      </c>
      <c r="M195" s="455">
        <v>0</v>
      </c>
      <c r="N195" s="442">
        <f t="shared" ref="N195:N204" si="193">IF(M$176=0,"N.D.",M195/M$176)</f>
        <v>0</v>
      </c>
      <c r="O195" s="455">
        <v>0</v>
      </c>
      <c r="P195" s="442">
        <f t="shared" ref="P195:P204" si="194">IF(O$176=0,"N.D.",O195/O$176)</f>
        <v>0</v>
      </c>
      <c r="Q195" s="455"/>
      <c r="R195" s="442" t="str">
        <f t="shared" ref="R195:R204" si="195">IF(Q$176=0,"N.D.",Q195/Q$176)</f>
        <v>N.D.</v>
      </c>
      <c r="S195" s="455"/>
      <c r="T195" s="442" t="str">
        <f t="shared" ref="T195:T204" si="196">IF(S$176=0,"N.D.",S195/S$176)</f>
        <v>N.D.</v>
      </c>
      <c r="U195" s="455"/>
      <c r="V195" s="442" t="str">
        <f t="shared" ref="V195:V204" si="197">IF(U$176=0,"N.D.",U195/U$176)</f>
        <v>N.D.</v>
      </c>
      <c r="W195" s="455"/>
      <c r="X195" s="442" t="str">
        <f t="shared" ref="X195:X204" si="198">IF(W$176=0,"N.D.",W195/W$176)</f>
        <v>N.D.</v>
      </c>
      <c r="Y195" s="455"/>
      <c r="Z195" s="442" t="str">
        <f t="shared" ref="Z195:Z204" si="199">IF(Y$176=0,"N.D.",Y195/Y$176)</f>
        <v>N.D.</v>
      </c>
      <c r="AA195" s="455">
        <f t="shared" si="176"/>
        <v>0</v>
      </c>
      <c r="AB195" s="442">
        <f t="shared" ref="AB195:AB204" si="200">IF(AA$176=0,"N.D.",AA195/AA$176)</f>
        <v>0</v>
      </c>
      <c r="AD195" s="455">
        <f>+ER!AE168-'ER Act'!AA195</f>
        <v>0</v>
      </c>
    </row>
    <row r="196" spans="2:30" x14ac:dyDescent="0.25">
      <c r="B196" s="137" t="s">
        <v>51</v>
      </c>
      <c r="C196" s="454">
        <v>0</v>
      </c>
      <c r="D196" s="439">
        <f>IF(C$176=0,"N.D.",C196/C$176)</f>
        <v>0</v>
      </c>
      <c r="E196" s="454">
        <v>0</v>
      </c>
      <c r="F196" s="439">
        <f>IF(E$176=0,"N.D.",E196/E$176)</f>
        <v>0</v>
      </c>
      <c r="G196" s="454">
        <v>0</v>
      </c>
      <c r="H196" s="439">
        <f t="shared" si="190"/>
        <v>0</v>
      </c>
      <c r="I196" s="454">
        <v>0</v>
      </c>
      <c r="J196" s="439">
        <f t="shared" si="191"/>
        <v>0</v>
      </c>
      <c r="K196" s="454">
        <v>0</v>
      </c>
      <c r="L196" s="439">
        <f t="shared" si="192"/>
        <v>0</v>
      </c>
      <c r="M196" s="454">
        <v>0</v>
      </c>
      <c r="N196" s="439">
        <f t="shared" si="193"/>
        <v>0</v>
      </c>
      <c r="O196" s="454">
        <v>0</v>
      </c>
      <c r="P196" s="439">
        <f t="shared" si="194"/>
        <v>0</v>
      </c>
      <c r="Q196" s="454"/>
      <c r="R196" s="439" t="str">
        <f t="shared" si="195"/>
        <v>N.D.</v>
      </c>
      <c r="S196" s="454"/>
      <c r="T196" s="439" t="str">
        <f t="shared" si="196"/>
        <v>N.D.</v>
      </c>
      <c r="U196" s="454"/>
      <c r="V196" s="439" t="str">
        <f t="shared" si="197"/>
        <v>N.D.</v>
      </c>
      <c r="W196" s="454"/>
      <c r="X196" s="439" t="str">
        <f t="shared" si="198"/>
        <v>N.D.</v>
      </c>
      <c r="Y196" s="454"/>
      <c r="Z196" s="439" t="str">
        <f t="shared" si="199"/>
        <v>N.D.</v>
      </c>
      <c r="AA196" s="454">
        <f t="shared" si="176"/>
        <v>0</v>
      </c>
      <c r="AB196" s="439">
        <f t="shared" si="200"/>
        <v>0</v>
      </c>
      <c r="AD196" s="454">
        <f>+ER!AE169-'ER Act'!AA196</f>
        <v>0</v>
      </c>
    </row>
    <row r="197" spans="2:30" ht="13" x14ac:dyDescent="0.3">
      <c r="B197" s="131" t="s">
        <v>53</v>
      </c>
      <c r="C197" s="456">
        <v>-34.875000000000007</v>
      </c>
      <c r="D197" s="440">
        <f>IF(C$176=0,"N.D.",C197/C$176)</f>
        <v>-0.15912378119168316</v>
      </c>
      <c r="E197" s="456">
        <v>-8.9439999999999564</v>
      </c>
      <c r="F197" s="440">
        <f>IF(E$176=0,"N.D.",E197/E$176)</f>
        <v>-3.7982155521298952E-2</v>
      </c>
      <c r="G197" s="456">
        <v>-18.053999999999998</v>
      </c>
      <c r="H197" s="440">
        <f t="shared" si="190"/>
        <v>-6.8742313418344234E-2</v>
      </c>
      <c r="I197" s="456">
        <v>-24.53099999999997</v>
      </c>
      <c r="J197" s="440">
        <f t="shared" si="191"/>
        <v>-0.10818427180355618</v>
      </c>
      <c r="K197" s="456">
        <v>-25.687999999999995</v>
      </c>
      <c r="L197" s="440">
        <f t="shared" si="192"/>
        <v>-0.10497923954621242</v>
      </c>
      <c r="M197" s="456">
        <v>-28.065999999999988</v>
      </c>
      <c r="N197" s="440">
        <f t="shared" si="193"/>
        <v>-0.12803715294568474</v>
      </c>
      <c r="O197" s="456">
        <v>-28.065700000000042</v>
      </c>
      <c r="P197" s="440">
        <f t="shared" si="194"/>
        <v>-0.12803574929907158</v>
      </c>
      <c r="Q197" s="456"/>
      <c r="R197" s="440" t="str">
        <f t="shared" si="195"/>
        <v>N.D.</v>
      </c>
      <c r="S197" s="456"/>
      <c r="T197" s="440" t="str">
        <f t="shared" si="196"/>
        <v>N.D.</v>
      </c>
      <c r="U197" s="456"/>
      <c r="V197" s="440" t="str">
        <f t="shared" si="197"/>
        <v>N.D.</v>
      </c>
      <c r="W197" s="456"/>
      <c r="X197" s="440" t="str">
        <f t="shared" si="198"/>
        <v>N.D.</v>
      </c>
      <c r="Y197" s="456"/>
      <c r="Z197" s="440" t="str">
        <f t="shared" si="199"/>
        <v>N.D.</v>
      </c>
      <c r="AA197" s="456">
        <f t="shared" si="176"/>
        <v>-168.22369999999995</v>
      </c>
      <c r="AB197" s="440">
        <f t="shared" si="200"/>
        <v>-0.10338656630822801</v>
      </c>
      <c r="AD197" s="456">
        <f>+ER!AE170-'ER Act'!AA197</f>
        <v>28.068699999999978</v>
      </c>
    </row>
    <row r="198" spans="2:30" ht="13" x14ac:dyDescent="0.3">
      <c r="B198" s="131" t="s">
        <v>122</v>
      </c>
      <c r="C198" s="456">
        <v>-26.658000000000005</v>
      </c>
      <c r="D198" s="440">
        <f>IF(C$176=0,"N.D.",C198/C$176)</f>
        <v>-0.12163216513284271</v>
      </c>
      <c r="E198" s="456">
        <v>-4.1419999999999568</v>
      </c>
      <c r="F198" s="440">
        <f>IF(E$176=0,"N.D.",E198/E$176)</f>
        <v>-1.7589678909796444E-2</v>
      </c>
      <c r="G198" s="456">
        <v>-8.3409999999999975</v>
      </c>
      <c r="H198" s="440">
        <f t="shared" si="190"/>
        <v>-3.1759146794195697E-2</v>
      </c>
      <c r="I198" s="456">
        <v>-19.453999999999969</v>
      </c>
      <c r="J198" s="440">
        <f t="shared" si="191"/>
        <v>-8.5794171605983488E-2</v>
      </c>
      <c r="K198" s="456">
        <v>-16.554999999999996</v>
      </c>
      <c r="L198" s="440">
        <f t="shared" si="192"/>
        <v>-6.7655376467126535E-2</v>
      </c>
      <c r="M198" s="456">
        <v>-23.612999999999989</v>
      </c>
      <c r="N198" s="440">
        <f t="shared" si="193"/>
        <v>-0.10772255727593721</v>
      </c>
      <c r="O198" s="456">
        <v>-23.613410000000044</v>
      </c>
      <c r="P198" s="440">
        <f t="shared" si="194"/>
        <v>-0.10772439821049148</v>
      </c>
      <c r="Q198" s="456"/>
      <c r="R198" s="440" t="str">
        <f t="shared" si="195"/>
        <v>N.D.</v>
      </c>
      <c r="S198" s="456"/>
      <c r="T198" s="440" t="str">
        <f t="shared" si="196"/>
        <v>N.D.</v>
      </c>
      <c r="U198" s="456"/>
      <c r="V198" s="440" t="str">
        <f t="shared" si="197"/>
        <v>N.D.</v>
      </c>
      <c r="W198" s="456"/>
      <c r="X198" s="440" t="str">
        <f t="shared" si="198"/>
        <v>N.D.</v>
      </c>
      <c r="Y198" s="456"/>
      <c r="Z198" s="440" t="str">
        <f t="shared" si="199"/>
        <v>N.D.</v>
      </c>
      <c r="AA198" s="456">
        <f t="shared" si="176"/>
        <v>-122.37640999999994</v>
      </c>
      <c r="AB198" s="440">
        <f t="shared" si="200"/>
        <v>-7.5209835635691599E-2</v>
      </c>
      <c r="AD198" s="459">
        <f>+ER!AE171-'ER Act'!AA198</f>
        <v>23.614109999999954</v>
      </c>
    </row>
    <row r="199" spans="2:30" ht="13" x14ac:dyDescent="0.3">
      <c r="B199" s="1" t="s">
        <v>194</v>
      </c>
      <c r="C199" s="373">
        <v>0</v>
      </c>
      <c r="D199" s="407">
        <f t="shared" ref="D199:F204" si="201">IF(C$176=0,"N.D.",C199/C$176)</f>
        <v>0</v>
      </c>
      <c r="E199" s="373">
        <v>0</v>
      </c>
      <c r="F199" s="407">
        <f t="shared" si="201"/>
        <v>0</v>
      </c>
      <c r="G199" s="373">
        <v>0</v>
      </c>
      <c r="H199" s="407">
        <f t="shared" si="190"/>
        <v>0</v>
      </c>
      <c r="I199" s="373">
        <v>0</v>
      </c>
      <c r="J199" s="407">
        <f t="shared" si="191"/>
        <v>0</v>
      </c>
      <c r="K199" s="373">
        <v>0</v>
      </c>
      <c r="L199" s="407">
        <f t="shared" si="192"/>
        <v>0</v>
      </c>
      <c r="M199" s="373">
        <v>0</v>
      </c>
      <c r="N199" s="407">
        <f t="shared" si="193"/>
        <v>0</v>
      </c>
      <c r="O199" s="373">
        <v>0</v>
      </c>
      <c r="P199" s="407">
        <f t="shared" si="194"/>
        <v>0</v>
      </c>
      <c r="Q199" s="373"/>
      <c r="R199" s="407" t="str">
        <f t="shared" si="195"/>
        <v>N.D.</v>
      </c>
      <c r="S199" s="373"/>
      <c r="T199" s="407" t="str">
        <f t="shared" si="196"/>
        <v>N.D.</v>
      </c>
      <c r="U199" s="373"/>
      <c r="V199" s="407" t="str">
        <f t="shared" si="197"/>
        <v>N.D.</v>
      </c>
      <c r="W199" s="373"/>
      <c r="X199" s="407" t="str">
        <f t="shared" si="198"/>
        <v>N.D.</v>
      </c>
      <c r="Y199" s="373"/>
      <c r="Z199" s="407" t="str">
        <f t="shared" si="199"/>
        <v>N.D.</v>
      </c>
      <c r="AA199" s="373">
        <f t="shared" si="176"/>
        <v>0</v>
      </c>
      <c r="AB199" s="407">
        <f t="shared" si="200"/>
        <v>0</v>
      </c>
      <c r="AD199" s="418">
        <f>+ER!AE172-'ER Act'!AA199</f>
        <v>0</v>
      </c>
    </row>
    <row r="200" spans="2:30" ht="13" x14ac:dyDescent="0.3">
      <c r="B200" s="1" t="s">
        <v>123</v>
      </c>
      <c r="C200" s="408"/>
      <c r="D200" s="409">
        <f t="shared" si="201"/>
        <v>0</v>
      </c>
      <c r="E200" s="408"/>
      <c r="F200" s="409">
        <f t="shared" si="201"/>
        <v>0</v>
      </c>
      <c r="G200" s="408"/>
      <c r="H200" s="409">
        <f t="shared" si="190"/>
        <v>0</v>
      </c>
      <c r="I200" s="408"/>
      <c r="J200" s="409">
        <f t="shared" si="191"/>
        <v>0</v>
      </c>
      <c r="K200" s="408"/>
      <c r="L200" s="409">
        <f t="shared" si="192"/>
        <v>0</v>
      </c>
      <c r="M200" s="408"/>
      <c r="N200" s="409">
        <f t="shared" si="193"/>
        <v>0</v>
      </c>
      <c r="O200" s="408"/>
      <c r="P200" s="409">
        <f t="shared" si="194"/>
        <v>0</v>
      </c>
      <c r="Q200" s="408"/>
      <c r="R200" s="409" t="str">
        <f t="shared" si="195"/>
        <v>N.D.</v>
      </c>
      <c r="S200" s="408"/>
      <c r="T200" s="409" t="str">
        <f t="shared" si="196"/>
        <v>N.D.</v>
      </c>
      <c r="U200" s="408"/>
      <c r="V200" s="409" t="str">
        <f t="shared" si="197"/>
        <v>N.D.</v>
      </c>
      <c r="W200" s="408"/>
      <c r="X200" s="409" t="str">
        <f t="shared" si="198"/>
        <v>N.D.</v>
      </c>
      <c r="Y200" s="408"/>
      <c r="Z200" s="409" t="str">
        <f t="shared" si="199"/>
        <v>N.D.</v>
      </c>
      <c r="AA200" s="408">
        <f t="shared" si="176"/>
        <v>0</v>
      </c>
      <c r="AB200" s="409">
        <f t="shared" si="200"/>
        <v>0</v>
      </c>
      <c r="AD200" s="460">
        <f>+ER!AE173-'ER Act'!AA200</f>
        <v>0</v>
      </c>
    </row>
    <row r="201" spans="2:30" ht="13" x14ac:dyDescent="0.3">
      <c r="B201" s="7" t="s">
        <v>190</v>
      </c>
      <c r="C201" s="410">
        <v>-25.633000000000006</v>
      </c>
      <c r="D201" s="409">
        <f t="shared" si="201"/>
        <v>-0.11695540883975382</v>
      </c>
      <c r="E201" s="410">
        <v>0.29800000000004445</v>
      </c>
      <c r="F201" s="409">
        <f t="shared" si="201"/>
        <v>1.2655056289522396E-3</v>
      </c>
      <c r="G201" s="410">
        <v>-8.8119999999999976</v>
      </c>
      <c r="H201" s="409">
        <f t="shared" si="190"/>
        <v>-3.3552523864099328E-2</v>
      </c>
      <c r="I201" s="410">
        <v>-15.28899999999997</v>
      </c>
      <c r="J201" s="409">
        <f t="shared" si="191"/>
        <v>-6.7426086649731723E-2</v>
      </c>
      <c r="K201" s="410">
        <v>-16.445999999999994</v>
      </c>
      <c r="L201" s="409">
        <f t="shared" si="192"/>
        <v>-6.7209925785464392E-2</v>
      </c>
      <c r="M201" s="410">
        <v>-18.823999999999987</v>
      </c>
      <c r="N201" s="409">
        <f t="shared" si="193"/>
        <v>-8.5875128876561291E-2</v>
      </c>
      <c r="O201" s="410">
        <v>-18.823940000000043</v>
      </c>
      <c r="P201" s="409">
        <f t="shared" si="194"/>
        <v>-8.5874831650761152E-2</v>
      </c>
      <c r="Q201" s="410"/>
      <c r="R201" s="409" t="str">
        <f t="shared" si="195"/>
        <v>N.D.</v>
      </c>
      <c r="S201" s="410"/>
      <c r="T201" s="409" t="str">
        <f t="shared" si="196"/>
        <v>N.D.</v>
      </c>
      <c r="U201" s="410"/>
      <c r="V201" s="409" t="str">
        <f t="shared" si="197"/>
        <v>N.D.</v>
      </c>
      <c r="W201" s="410"/>
      <c r="X201" s="409" t="str">
        <f t="shared" si="198"/>
        <v>N.D.</v>
      </c>
      <c r="Y201" s="410"/>
      <c r="Z201" s="409" t="str">
        <f t="shared" si="199"/>
        <v>N.D.</v>
      </c>
      <c r="AA201" s="410">
        <f t="shared" si="176"/>
        <v>-103.52993999999997</v>
      </c>
      <c r="AB201" s="409">
        <f t="shared" si="200"/>
        <v>-6.3627211901158207E-2</v>
      </c>
      <c r="AD201" s="410">
        <f>+ER!AE174-'ER Act'!AA201</f>
        <v>18.825499999999991</v>
      </c>
    </row>
    <row r="202" spans="2:30" ht="13" x14ac:dyDescent="0.3">
      <c r="B202" s="7" t="s">
        <v>191</v>
      </c>
      <c r="C202" s="381">
        <v>0</v>
      </c>
      <c r="D202" s="411">
        <f t="shared" si="201"/>
        <v>0</v>
      </c>
      <c r="E202" s="381">
        <v>0</v>
      </c>
      <c r="F202" s="411">
        <f t="shared" si="201"/>
        <v>0</v>
      </c>
      <c r="G202" s="381">
        <v>0</v>
      </c>
      <c r="H202" s="411">
        <f t="shared" si="190"/>
        <v>0</v>
      </c>
      <c r="I202" s="381">
        <v>0</v>
      </c>
      <c r="J202" s="411">
        <f t="shared" si="191"/>
        <v>0</v>
      </c>
      <c r="K202" s="381">
        <v>0</v>
      </c>
      <c r="L202" s="411">
        <f t="shared" si="192"/>
        <v>0</v>
      </c>
      <c r="M202" s="381">
        <v>0</v>
      </c>
      <c r="N202" s="411">
        <f t="shared" si="193"/>
        <v>0</v>
      </c>
      <c r="O202" s="381">
        <v>0</v>
      </c>
      <c r="P202" s="411">
        <f t="shared" si="194"/>
        <v>0</v>
      </c>
      <c r="Q202" s="381"/>
      <c r="R202" s="411" t="str">
        <f t="shared" si="195"/>
        <v>N.D.</v>
      </c>
      <c r="S202" s="381"/>
      <c r="T202" s="411" t="str">
        <f t="shared" si="196"/>
        <v>N.D.</v>
      </c>
      <c r="U202" s="381"/>
      <c r="V202" s="411" t="str">
        <f t="shared" si="197"/>
        <v>N.D.</v>
      </c>
      <c r="W202" s="381"/>
      <c r="X202" s="411" t="str">
        <f t="shared" si="198"/>
        <v>N.D.</v>
      </c>
      <c r="Y202" s="381"/>
      <c r="Z202" s="411" t="str">
        <f t="shared" si="199"/>
        <v>N.D.</v>
      </c>
      <c r="AA202" s="381">
        <f t="shared" si="176"/>
        <v>0</v>
      </c>
      <c r="AB202" s="411">
        <f t="shared" si="200"/>
        <v>0</v>
      </c>
      <c r="AD202" s="381">
        <f>+ER!AE175-'ER Act'!AA202</f>
        <v>0</v>
      </c>
    </row>
    <row r="203" spans="2:30" ht="13" x14ac:dyDescent="0.3">
      <c r="B203" s="7" t="s">
        <v>84</v>
      </c>
      <c r="C203" s="381">
        <v>-25.633000000000006</v>
      </c>
      <c r="D203" s="411">
        <f t="shared" si="201"/>
        <v>-0.11695540883975382</v>
      </c>
      <c r="E203" s="381">
        <v>0.29800000000004445</v>
      </c>
      <c r="F203" s="411">
        <f t="shared" si="201"/>
        <v>1.2655056289522396E-3</v>
      </c>
      <c r="G203" s="381">
        <v>-8.8119999999999976</v>
      </c>
      <c r="H203" s="411">
        <f t="shared" si="190"/>
        <v>-3.3552523864099328E-2</v>
      </c>
      <c r="I203" s="381">
        <v>-15.28899999999997</v>
      </c>
      <c r="J203" s="411">
        <f t="shared" si="191"/>
        <v>-6.7426086649731723E-2</v>
      </c>
      <c r="K203" s="381">
        <v>-16.445999999999994</v>
      </c>
      <c r="L203" s="411">
        <f t="shared" si="192"/>
        <v>-6.7209925785464392E-2</v>
      </c>
      <c r="M203" s="381">
        <v>-18.823999999999987</v>
      </c>
      <c r="N203" s="411">
        <f t="shared" si="193"/>
        <v>-8.5875128876561291E-2</v>
      </c>
      <c r="O203" s="381">
        <v>-18.823940000000043</v>
      </c>
      <c r="P203" s="411">
        <f t="shared" si="194"/>
        <v>-8.5874831650761152E-2</v>
      </c>
      <c r="Q203" s="381"/>
      <c r="R203" s="411" t="str">
        <f t="shared" si="195"/>
        <v>N.D.</v>
      </c>
      <c r="S203" s="381"/>
      <c r="T203" s="411" t="str">
        <f t="shared" si="196"/>
        <v>N.D.</v>
      </c>
      <c r="U203" s="381"/>
      <c r="V203" s="411" t="str">
        <f t="shared" si="197"/>
        <v>N.D.</v>
      </c>
      <c r="W203" s="381"/>
      <c r="X203" s="411" t="str">
        <f t="shared" si="198"/>
        <v>N.D.</v>
      </c>
      <c r="Y203" s="381"/>
      <c r="Z203" s="411" t="str">
        <f t="shared" si="199"/>
        <v>N.D.</v>
      </c>
      <c r="AA203" s="381">
        <f t="shared" si="176"/>
        <v>-103.52993999999997</v>
      </c>
      <c r="AB203" s="411">
        <f t="shared" si="200"/>
        <v>-6.3627211901158207E-2</v>
      </c>
      <c r="AD203" s="381">
        <f>+ER!AE176-'ER Act'!AA203</f>
        <v>18.825499999999991</v>
      </c>
    </row>
    <row r="204" spans="2:30" ht="13" x14ac:dyDescent="0.3">
      <c r="B204" s="1" t="s">
        <v>193</v>
      </c>
      <c r="C204" s="412" t="s">
        <v>451</v>
      </c>
      <c r="D204" s="411" t="e">
        <f t="shared" si="201"/>
        <v>#VALUE!</v>
      </c>
      <c r="E204" s="412" t="s">
        <v>451</v>
      </c>
      <c r="F204" s="411" t="e">
        <f t="shared" si="201"/>
        <v>#VALUE!</v>
      </c>
      <c r="G204" s="412" t="s">
        <v>451</v>
      </c>
      <c r="H204" s="411" t="e">
        <f t="shared" si="190"/>
        <v>#VALUE!</v>
      </c>
      <c r="I204" s="412" t="s">
        <v>451</v>
      </c>
      <c r="J204" s="411" t="e">
        <f t="shared" si="191"/>
        <v>#VALUE!</v>
      </c>
      <c r="K204" s="412" t="s">
        <v>451</v>
      </c>
      <c r="L204" s="411" t="e">
        <f t="shared" si="192"/>
        <v>#VALUE!</v>
      </c>
      <c r="M204" s="412" t="s">
        <v>451</v>
      </c>
      <c r="N204" s="411" t="e">
        <f t="shared" si="193"/>
        <v>#VALUE!</v>
      </c>
      <c r="O204" s="412" t="s">
        <v>451</v>
      </c>
      <c r="P204" s="411" t="e">
        <f t="shared" si="194"/>
        <v>#VALUE!</v>
      </c>
      <c r="Q204" s="412"/>
      <c r="R204" s="411" t="str">
        <f t="shared" si="195"/>
        <v>N.D.</v>
      </c>
      <c r="S204" s="412"/>
      <c r="T204" s="411" t="str">
        <f t="shared" si="196"/>
        <v>N.D.</v>
      </c>
      <c r="U204" s="412"/>
      <c r="V204" s="411" t="str">
        <f t="shared" si="197"/>
        <v>N.D.</v>
      </c>
      <c r="W204" s="412"/>
      <c r="X204" s="411" t="str">
        <f t="shared" si="198"/>
        <v>N.D.</v>
      </c>
      <c r="Y204" s="412"/>
      <c r="Z204" s="411" t="str">
        <f t="shared" si="199"/>
        <v>N.D.</v>
      </c>
      <c r="AA204" s="412" t="str">
        <f>IF(AA202=0,"N.D.",(AA201-AA199-AA200)/AA202)</f>
        <v>N.D.</v>
      </c>
      <c r="AB204" s="411" t="e">
        <f t="shared" si="200"/>
        <v>#VALUE!</v>
      </c>
      <c r="AD204" s="412">
        <f>IFERROR(+ER!AE177-'ER Act'!AA204,0)</f>
        <v>0</v>
      </c>
    </row>
    <row r="205" spans="2:30" x14ac:dyDescent="0.25">
      <c r="D205" s="429"/>
      <c r="F205" s="429"/>
      <c r="H205" s="429"/>
      <c r="J205" s="429"/>
      <c r="L205" s="429"/>
      <c r="N205" s="429"/>
      <c r="P205" s="429"/>
      <c r="R205" s="429"/>
      <c r="T205" s="429"/>
      <c r="V205" s="429"/>
      <c r="X205" s="429"/>
      <c r="Z205" s="429"/>
      <c r="AB205" s="429"/>
    </row>
    <row r="206" spans="2:30" x14ac:dyDescent="0.25">
      <c r="D206" s="429"/>
      <c r="F206" s="429"/>
      <c r="H206" s="429"/>
      <c r="J206" s="429"/>
      <c r="L206" s="429"/>
      <c r="N206" s="429"/>
      <c r="P206" s="429"/>
      <c r="R206" s="429"/>
      <c r="T206" s="429"/>
      <c r="V206" s="429"/>
      <c r="X206" s="429"/>
      <c r="Z206" s="429"/>
      <c r="AB206" s="429"/>
    </row>
    <row r="207" spans="2:30" ht="13" x14ac:dyDescent="0.3">
      <c r="C207" s="450"/>
      <c r="D207" s="430"/>
      <c r="E207" s="450"/>
      <c r="F207" s="430"/>
      <c r="G207" s="450"/>
      <c r="H207" s="430"/>
      <c r="I207" s="450"/>
      <c r="J207" s="430"/>
      <c r="K207" s="450"/>
      <c r="L207" s="430"/>
      <c r="M207" s="450"/>
      <c r="N207" s="430"/>
      <c r="O207" s="450"/>
      <c r="P207" s="430"/>
      <c r="Q207" s="450"/>
      <c r="R207" s="430"/>
      <c r="S207" s="450"/>
      <c r="T207" s="430"/>
      <c r="U207" s="450"/>
      <c r="V207" s="430"/>
      <c r="W207" s="450"/>
      <c r="X207" s="430"/>
      <c r="Y207" s="450"/>
      <c r="Z207" s="430"/>
      <c r="AA207" s="450"/>
      <c r="AB207" s="430"/>
    </row>
    <row r="208" spans="2:30" ht="13" x14ac:dyDescent="0.3">
      <c r="B208" s="250" t="s">
        <v>340</v>
      </c>
      <c r="C208" s="396" t="s">
        <v>418</v>
      </c>
      <c r="D208" s="397"/>
      <c r="E208" s="396" t="s">
        <v>419</v>
      </c>
      <c r="F208" s="397"/>
      <c r="G208" s="396" t="s">
        <v>417</v>
      </c>
      <c r="H208" s="397"/>
      <c r="I208" s="396" t="s">
        <v>420</v>
      </c>
      <c r="J208" s="397"/>
      <c r="K208" s="396" t="s">
        <v>421</v>
      </c>
      <c r="L208" s="397"/>
      <c r="M208" s="396" t="s">
        <v>422</v>
      </c>
      <c r="N208" s="397"/>
      <c r="O208" s="396" t="s">
        <v>423</v>
      </c>
      <c r="P208" s="397"/>
      <c r="Q208" s="396" t="s">
        <v>428</v>
      </c>
      <c r="R208" s="397"/>
      <c r="S208" s="396" t="s">
        <v>424</v>
      </c>
      <c r="T208" s="397"/>
      <c r="U208" s="396" t="s">
        <v>425</v>
      </c>
      <c r="V208" s="397"/>
      <c r="W208" s="396" t="s">
        <v>426</v>
      </c>
      <c r="X208" s="397"/>
      <c r="Y208" s="396" t="s">
        <v>427</v>
      </c>
      <c r="Z208" s="431"/>
      <c r="AA208" s="452" t="s">
        <v>496</v>
      </c>
      <c r="AB208" s="431"/>
    </row>
    <row r="209" spans="2:30" x14ac:dyDescent="0.25">
      <c r="B209" s="137" t="s">
        <v>38</v>
      </c>
      <c r="C209" s="454">
        <v>117.024</v>
      </c>
      <c r="D209" s="439">
        <f>IF(C$209=0,"N.D.",C209/C$209)</f>
        <v>1</v>
      </c>
      <c r="E209" s="454">
        <v>117.779</v>
      </c>
      <c r="F209" s="439">
        <f>IF(E$209=0,"N.D.",E209/E$209)</f>
        <v>1</v>
      </c>
      <c r="G209" s="454">
        <v>120.762</v>
      </c>
      <c r="H209" s="439">
        <f>IF(G$209=0,"N.D.",G209/G$209)</f>
        <v>1</v>
      </c>
      <c r="I209" s="454">
        <v>106.95399999999999</v>
      </c>
      <c r="J209" s="439">
        <f>IF(I$209=0,"N.D.",I209/I$209)</f>
        <v>1</v>
      </c>
      <c r="K209" s="454">
        <v>130.239</v>
      </c>
      <c r="L209" s="439">
        <f>IF(K$209=0,"N.D.",K209/K$209)</f>
        <v>1</v>
      </c>
      <c r="M209" s="454">
        <v>130.239</v>
      </c>
      <c r="N209" s="439">
        <f>IF(M$209=0,"N.D.",M209/M$209)</f>
        <v>1</v>
      </c>
      <c r="O209" s="454">
        <v>130.23875000000001</v>
      </c>
      <c r="P209" s="439">
        <f>IF(O$209=0,"N.D.",O209/O$209)</f>
        <v>1</v>
      </c>
      <c r="Q209" s="454"/>
      <c r="R209" s="439" t="str">
        <f>IF(Q$209=0,"N.D.",Q209/Q$209)</f>
        <v>N.D.</v>
      </c>
      <c r="S209" s="454"/>
      <c r="T209" s="439" t="str">
        <f>IF(S$209=0,"N.D.",S209/S$209)</f>
        <v>N.D.</v>
      </c>
      <c r="U209" s="454"/>
      <c r="V209" s="439" t="str">
        <f>IF(U$209=0,"N.D.",U209/U$209)</f>
        <v>N.D.</v>
      </c>
      <c r="W209" s="454"/>
      <c r="X209" s="439" t="str">
        <f>IF(W$209=0,"N.D.",W209/W$209)</f>
        <v>N.D.</v>
      </c>
      <c r="Y209" s="454"/>
      <c r="Z209" s="439" t="str">
        <f>IF(Y$209=0,"N.D.",Y209/Y$209)</f>
        <v>N.D.</v>
      </c>
      <c r="AA209" s="454">
        <f>+Y209+W209+U209+S209+Q209+O209+M209+K209+I209+G209+E209+C209</f>
        <v>853.23575000000005</v>
      </c>
      <c r="AB209" s="439">
        <f>IF(AA$209=0,"N.D.",AA209/AA$209)</f>
        <v>1</v>
      </c>
      <c r="AD209" s="455">
        <f>+ER!AE223-'ER Act'!AA209</f>
        <v>-130.23989000000006</v>
      </c>
    </row>
    <row r="210" spans="2:30" x14ac:dyDescent="0.25">
      <c r="B210" s="146" t="s">
        <v>39</v>
      </c>
      <c r="C210" s="454">
        <v>0</v>
      </c>
      <c r="D210" s="439">
        <f>IF(C$209=0,"N.D.",C210/C$209)</f>
        <v>0</v>
      </c>
      <c r="E210" s="454">
        <v>0</v>
      </c>
      <c r="F210" s="439">
        <f>IF(E$209=0,"N.D.",E210/E$209)</f>
        <v>0</v>
      </c>
      <c r="G210" s="454">
        <v>0</v>
      </c>
      <c r="H210" s="439">
        <f>IF(G$209=0,"N.D.",G210/G$209)</f>
        <v>0</v>
      </c>
      <c r="I210" s="454">
        <v>0</v>
      </c>
      <c r="J210" s="439">
        <f>IF(I$209=0,"N.D.",I210/I$209)</f>
        <v>0</v>
      </c>
      <c r="K210" s="454">
        <v>0</v>
      </c>
      <c r="L210" s="439">
        <f>IF(K$209=0,"N.D.",K210/K$209)</f>
        <v>0</v>
      </c>
      <c r="M210" s="454">
        <v>0</v>
      </c>
      <c r="N210" s="439">
        <f>IF(M$209=0,"N.D.",M210/M$209)</f>
        <v>0</v>
      </c>
      <c r="O210" s="454">
        <v>0</v>
      </c>
      <c r="P210" s="439">
        <f>IF(O$209=0,"N.D.",O210/O$209)</f>
        <v>0</v>
      </c>
      <c r="Q210" s="454"/>
      <c r="R210" s="439" t="str">
        <f>IF(Q$209=0,"N.D.",Q210/Q$209)</f>
        <v>N.D.</v>
      </c>
      <c r="S210" s="454"/>
      <c r="T210" s="439" t="str">
        <f>IF(S$209=0,"N.D.",S210/S$209)</f>
        <v>N.D.</v>
      </c>
      <c r="U210" s="454"/>
      <c r="V210" s="439" t="str">
        <f>IF(U$209=0,"N.D.",U210/U$209)</f>
        <v>N.D.</v>
      </c>
      <c r="W210" s="454"/>
      <c r="X210" s="439" t="str">
        <f>IF(W$209=0,"N.D.",W210/W$209)</f>
        <v>N.D.</v>
      </c>
      <c r="Y210" s="454"/>
      <c r="Z210" s="439" t="str">
        <f>IF(Y$209=0,"N.D.",Y210/Y$209)</f>
        <v>N.D.</v>
      </c>
      <c r="AA210" s="454">
        <f t="shared" ref="AA210:AA236" si="202">+Y210+W210+U210+S210+Q210+O210+M210+K210+I210+G210+E210+C210</f>
        <v>0</v>
      </c>
      <c r="AB210" s="439">
        <f>IF(AA$209=0,"N.D.",AA210/AA$209)</f>
        <v>0</v>
      </c>
      <c r="AD210" s="454">
        <f>+ER!AE224-'ER Act'!AA210</f>
        <v>0</v>
      </c>
    </row>
    <row r="211" spans="2:30" x14ac:dyDescent="0.25">
      <c r="B211" s="9" t="s">
        <v>219</v>
      </c>
      <c r="C211" s="454">
        <v>0</v>
      </c>
      <c r="D211" s="439">
        <f>IF(C$209=0,"N.D.",C211/C$209)</f>
        <v>0</v>
      </c>
      <c r="E211" s="454">
        <v>0</v>
      </c>
      <c r="F211" s="439">
        <f>IF(E$209=0,"N.D.",E211/E$209)</f>
        <v>0</v>
      </c>
      <c r="G211" s="454">
        <v>0</v>
      </c>
      <c r="H211" s="439">
        <f>IF(G$209=0,"N.D.",G211/G$209)</f>
        <v>0</v>
      </c>
      <c r="I211" s="454">
        <v>0</v>
      </c>
      <c r="J211" s="439">
        <f>IF(I$209=0,"N.D.",I211/I$209)</f>
        <v>0</v>
      </c>
      <c r="K211" s="454">
        <v>0</v>
      </c>
      <c r="L211" s="439">
        <f>IF(K$209=0,"N.D.",K211/K$209)</f>
        <v>0</v>
      </c>
      <c r="M211" s="454">
        <v>0</v>
      </c>
      <c r="N211" s="439">
        <f>IF(M$209=0,"N.D.",M211/M$209)</f>
        <v>0</v>
      </c>
      <c r="O211" s="454">
        <v>0</v>
      </c>
      <c r="P211" s="439">
        <f>IF(O$209=0,"N.D.",O211/O$209)</f>
        <v>0</v>
      </c>
      <c r="Q211" s="454"/>
      <c r="R211" s="439" t="str">
        <f>IF(Q$209=0,"N.D.",Q211/Q$209)</f>
        <v>N.D.</v>
      </c>
      <c r="S211" s="454"/>
      <c r="T211" s="439" t="str">
        <f>IF(S$209=0,"N.D.",S211/S$209)</f>
        <v>N.D.</v>
      </c>
      <c r="U211" s="454"/>
      <c r="V211" s="439" t="str">
        <f>IF(U$209=0,"N.D.",U211/U$209)</f>
        <v>N.D.</v>
      </c>
      <c r="W211" s="454"/>
      <c r="X211" s="439" t="str">
        <f>IF(W$209=0,"N.D.",W211/W$209)</f>
        <v>N.D.</v>
      </c>
      <c r="Y211" s="454"/>
      <c r="Z211" s="439" t="str">
        <f>IF(Y$209=0,"N.D.",Y211/Y$209)</f>
        <v>N.D.</v>
      </c>
      <c r="AA211" s="454"/>
      <c r="AB211" s="439">
        <f>IF(AA$209=0,"N.D.",AA211/AA$209)</f>
        <v>0</v>
      </c>
      <c r="AD211" s="454">
        <f>+ER!AE225-'ER Act'!AA211</f>
        <v>0</v>
      </c>
    </row>
    <row r="212" spans="2:30" ht="13" x14ac:dyDescent="0.3">
      <c r="B212" s="137" t="s">
        <v>40</v>
      </c>
      <c r="C212" s="456">
        <v>117.024</v>
      </c>
      <c r="D212" s="440">
        <f>IF(C$209=0,"N.D.",C212/C$209)</f>
        <v>1</v>
      </c>
      <c r="E212" s="456">
        <v>117.779</v>
      </c>
      <c r="F212" s="440">
        <f>IF(E$209=0,"N.D.",E212/E$209)</f>
        <v>1</v>
      </c>
      <c r="G212" s="456">
        <v>120.762</v>
      </c>
      <c r="H212" s="440">
        <f>IF(G$209=0,"N.D.",G212/G$209)</f>
        <v>1</v>
      </c>
      <c r="I212" s="456">
        <v>106.95399999999999</v>
      </c>
      <c r="J212" s="440">
        <f>IF(I$209=0,"N.D.",I212/I$209)</f>
        <v>1</v>
      </c>
      <c r="K212" s="456">
        <v>130.239</v>
      </c>
      <c r="L212" s="440">
        <f>IF(K$209=0,"N.D.",K212/K$209)</f>
        <v>1</v>
      </c>
      <c r="M212" s="456">
        <v>130.239</v>
      </c>
      <c r="N212" s="440">
        <f>IF(M$209=0,"N.D.",M212/M$209)</f>
        <v>1</v>
      </c>
      <c r="O212" s="456">
        <v>130.23875000000001</v>
      </c>
      <c r="P212" s="440">
        <f>IF(O$209=0,"N.D.",O212/O$209)</f>
        <v>1</v>
      </c>
      <c r="Q212" s="456"/>
      <c r="R212" s="440" t="str">
        <f>IF(Q$209=0,"N.D.",Q212/Q$209)</f>
        <v>N.D.</v>
      </c>
      <c r="S212" s="456"/>
      <c r="T212" s="440" t="str">
        <f>IF(S$209=0,"N.D.",S212/S$209)</f>
        <v>N.D.</v>
      </c>
      <c r="U212" s="456"/>
      <c r="V212" s="440" t="str">
        <f>IF(U$209=0,"N.D.",U212/U$209)</f>
        <v>N.D.</v>
      </c>
      <c r="W212" s="456"/>
      <c r="X212" s="440" t="str">
        <f>IF(W$209=0,"N.D.",W212/W$209)</f>
        <v>N.D.</v>
      </c>
      <c r="Y212" s="456"/>
      <c r="Z212" s="440" t="str">
        <f>IF(Y$209=0,"N.D.",Y212/Y$209)</f>
        <v>N.D.</v>
      </c>
      <c r="AA212" s="456">
        <f t="shared" si="202"/>
        <v>853.23575000000005</v>
      </c>
      <c r="AB212" s="440">
        <f>IF(AA$209=0,"N.D.",AA212/AA$209)</f>
        <v>1</v>
      </c>
      <c r="AD212" s="456">
        <f>+ER!AE226-'ER Act'!AA212</f>
        <v>-130.23989000000006</v>
      </c>
    </row>
    <row r="213" spans="2:30" x14ac:dyDescent="0.25">
      <c r="B213" s="137"/>
      <c r="C213" s="457"/>
      <c r="D213" s="441"/>
      <c r="E213" s="457"/>
      <c r="F213" s="441"/>
      <c r="G213" s="457"/>
      <c r="H213" s="441"/>
      <c r="I213" s="457"/>
      <c r="J213" s="441"/>
      <c r="K213" s="457"/>
      <c r="L213" s="441"/>
      <c r="M213" s="457"/>
      <c r="N213" s="441"/>
      <c r="O213" s="457"/>
      <c r="P213" s="441"/>
      <c r="Q213" s="457"/>
      <c r="R213" s="441"/>
      <c r="S213" s="457"/>
      <c r="T213" s="441"/>
      <c r="U213" s="457"/>
      <c r="V213" s="441"/>
      <c r="W213" s="457"/>
      <c r="X213" s="441"/>
      <c r="Y213" s="457"/>
      <c r="Z213" s="441"/>
      <c r="AA213" s="457"/>
      <c r="AB213" s="441"/>
      <c r="AD213" s="457"/>
    </row>
    <row r="214" spans="2:30" x14ac:dyDescent="0.25">
      <c r="B214" s="137" t="s">
        <v>41</v>
      </c>
      <c r="C214" s="455">
        <v>14.635999999999999</v>
      </c>
      <c r="D214" s="442">
        <f>IF(C$209=0,"N.D.",C214/C$209)</f>
        <v>0.1250683620453924</v>
      </c>
      <c r="E214" s="455">
        <v>6.7370000000000001</v>
      </c>
      <c r="F214" s="442">
        <f>IF(E$209=0,"N.D.",E214/E$209)</f>
        <v>5.7200349807690676E-2</v>
      </c>
      <c r="G214" s="455">
        <v>7.226</v>
      </c>
      <c r="H214" s="442">
        <f>IF(G$209=0,"N.D.",G214/G$209)</f>
        <v>5.9836703598814198E-2</v>
      </c>
      <c r="I214" s="455">
        <v>10.555</v>
      </c>
      <c r="J214" s="442">
        <f>IF(I$209=0,"N.D.",I214/I$209)</f>
        <v>9.868728612300616E-2</v>
      </c>
      <c r="K214" s="455">
        <v>6.2910000000000004</v>
      </c>
      <c r="L214" s="442">
        <f>IF(K$209=0,"N.D.",K214/K$209)</f>
        <v>4.8303503558841825E-2</v>
      </c>
      <c r="M214" s="455">
        <v>21.588999999999999</v>
      </c>
      <c r="N214" s="442">
        <f>IF(M$209=0,"N.D.",M214/M$209)</f>
        <v>0.16576447914987061</v>
      </c>
      <c r="O214" s="455">
        <v>21.58905</v>
      </c>
      <c r="P214" s="442">
        <f>IF(O$209=0,"N.D.",O214/O$209)</f>
        <v>0.16576518125365913</v>
      </c>
      <c r="Q214" s="455"/>
      <c r="R214" s="442" t="str">
        <f>IF(Q$209=0,"N.D.",Q214/Q$209)</f>
        <v>N.D.</v>
      </c>
      <c r="S214" s="455"/>
      <c r="T214" s="442" t="str">
        <f>IF(S$209=0,"N.D.",S214/S$209)</f>
        <v>N.D.</v>
      </c>
      <c r="U214" s="455"/>
      <c r="V214" s="442" t="str">
        <f>IF(U$209=0,"N.D.",U214/U$209)</f>
        <v>N.D.</v>
      </c>
      <c r="W214" s="455"/>
      <c r="X214" s="442" t="str">
        <f>IF(W$209=0,"N.D.",W214/W$209)</f>
        <v>N.D.</v>
      </c>
      <c r="Y214" s="455"/>
      <c r="Z214" s="442" t="str">
        <f>IF(Y$209=0,"N.D.",Y214/Y$209)</f>
        <v>N.D.</v>
      </c>
      <c r="AA214" s="455">
        <f t="shared" si="202"/>
        <v>88.623049999999992</v>
      </c>
      <c r="AB214" s="442">
        <f>IF(AA$209=0,"N.D.",AA214/AA$209)</f>
        <v>0.10386701447987849</v>
      </c>
      <c r="AD214" s="455">
        <f>+ER!AE228-'ER Act'!AA214</f>
        <v>-21.589460000000003</v>
      </c>
    </row>
    <row r="215" spans="2:30" x14ac:dyDescent="0.25">
      <c r="B215" s="137" t="s">
        <v>42</v>
      </c>
      <c r="C215" s="454">
        <v>1.7999999999999999E-2</v>
      </c>
      <c r="D215" s="439">
        <f>IF(C$209=0,"N.D.",C215/C$209)</f>
        <v>1.5381460213289579E-4</v>
      </c>
      <c r="E215" s="454">
        <v>1.7000000000000001E-2</v>
      </c>
      <c r="F215" s="439">
        <f>IF(E$209=0,"N.D.",E215/E$209)</f>
        <v>1.4433812479304462E-4</v>
      </c>
      <c r="G215" s="454">
        <v>1.7999999999999999E-2</v>
      </c>
      <c r="H215" s="439">
        <f>IF(G$209=0,"N.D.",G215/G$209)</f>
        <v>1.4905351021016544E-4</v>
      </c>
      <c r="I215" s="454">
        <v>1.6E-2</v>
      </c>
      <c r="J215" s="439">
        <f>IF(I$209=0,"N.D.",I215/I$209)</f>
        <v>1.4959702301924193E-4</v>
      </c>
      <c r="K215" s="454">
        <v>1.6E-2</v>
      </c>
      <c r="L215" s="439">
        <f>IF(K$209=0,"N.D.",K215/K$209)</f>
        <v>1.2285106611690814E-4</v>
      </c>
      <c r="M215" s="454">
        <v>2.3E-2</v>
      </c>
      <c r="N215" s="439">
        <f>IF(M$209=0,"N.D.",M215/M$209)</f>
        <v>1.7659840754305546E-4</v>
      </c>
      <c r="O215" s="454">
        <v>2.2620000000000001E-2</v>
      </c>
      <c r="P215" s="439">
        <f>IF(O$209=0,"N.D.",O215/O$209)</f>
        <v>1.7368102811183306E-4</v>
      </c>
      <c r="Q215" s="454"/>
      <c r="R215" s="439" t="str">
        <f>IF(Q$209=0,"N.D.",Q215/Q$209)</f>
        <v>N.D.</v>
      </c>
      <c r="S215" s="454"/>
      <c r="T215" s="439" t="str">
        <f>IF(S$209=0,"N.D.",S215/S$209)</f>
        <v>N.D.</v>
      </c>
      <c r="U215" s="454"/>
      <c r="V215" s="439" t="str">
        <f>IF(U$209=0,"N.D.",U215/U$209)</f>
        <v>N.D.</v>
      </c>
      <c r="W215" s="454"/>
      <c r="X215" s="439" t="str">
        <f>IF(W$209=0,"N.D.",W215/W$209)</f>
        <v>N.D.</v>
      </c>
      <c r="Y215" s="454"/>
      <c r="Z215" s="439" t="str">
        <f>IF(Y$209=0,"N.D.",Y215/Y$209)</f>
        <v>N.D.</v>
      </c>
      <c r="AA215" s="454">
        <f t="shared" si="202"/>
        <v>0.13061999999999999</v>
      </c>
      <c r="AB215" s="439">
        <f>IF(AA$209=0,"N.D.",AA215/AA$209)</f>
        <v>1.5308781892929354E-4</v>
      </c>
      <c r="AD215" s="454">
        <f>+ER!AE229-'ER Act'!AA215</f>
        <v>-2.314999999999999E-2</v>
      </c>
    </row>
    <row r="216" spans="2:30" x14ac:dyDescent="0.25">
      <c r="B216" s="137" t="s">
        <v>43</v>
      </c>
      <c r="C216" s="454">
        <v>21.001999999999999</v>
      </c>
      <c r="D216" s="445">
        <f>IF(C$209=0,"N.D.",C216/C$209)</f>
        <v>0.17946745966639321</v>
      </c>
      <c r="E216" s="454">
        <v>21.001999999999999</v>
      </c>
      <c r="F216" s="445">
        <f>IF(E$209=0,"N.D.",E216/E$209)</f>
        <v>0.1783170174649131</v>
      </c>
      <c r="G216" s="454">
        <v>21.001999999999999</v>
      </c>
      <c r="H216" s="445">
        <f>IF(G$209=0,"N.D.",G216/G$209)</f>
        <v>0.17391232341299415</v>
      </c>
      <c r="I216" s="454">
        <v>21.001999999999999</v>
      </c>
      <c r="J216" s="445">
        <f>IF(I$209=0,"N.D.",I216/I$209)</f>
        <v>0.19636479234063242</v>
      </c>
      <c r="K216" s="454">
        <v>21.001999999999999</v>
      </c>
      <c r="L216" s="445">
        <f>IF(K$209=0,"N.D.",K216/K$209)</f>
        <v>0.16125738066170653</v>
      </c>
      <c r="M216" s="454">
        <v>21.001999999999999</v>
      </c>
      <c r="N216" s="445">
        <f>IF(M$209=0,"N.D.",M216/M$209)</f>
        <v>0.16125738066170653</v>
      </c>
      <c r="O216" s="454">
        <v>21.002410000000001</v>
      </c>
      <c r="P216" s="445">
        <f>IF(O$209=0,"N.D.",O216/O$209)</f>
        <v>0.16126083826818055</v>
      </c>
      <c r="Q216" s="454"/>
      <c r="R216" s="445" t="str">
        <f>IF(Q$209=0,"N.D.",Q216/Q$209)</f>
        <v>N.D.</v>
      </c>
      <c r="S216" s="454"/>
      <c r="T216" s="445" t="str">
        <f>IF(S$209=0,"N.D.",S216/S$209)</f>
        <v>N.D.</v>
      </c>
      <c r="U216" s="454"/>
      <c r="V216" s="445" t="str">
        <f>IF(U$209=0,"N.D.",U216/U$209)</f>
        <v>N.D.</v>
      </c>
      <c r="W216" s="454"/>
      <c r="X216" s="445" t="str">
        <f>IF(W$209=0,"N.D.",W216/W$209)</f>
        <v>N.D.</v>
      </c>
      <c r="Y216" s="454"/>
      <c r="Z216" s="445" t="str">
        <f>IF(Y$209=0,"N.D.",Y216/Y$209)</f>
        <v>N.D.</v>
      </c>
      <c r="AA216" s="454">
        <f t="shared" si="202"/>
        <v>147.01441</v>
      </c>
      <c r="AB216" s="445">
        <f>IF(AA$209=0,"N.D.",AA216/AA$209)</f>
        <v>0.17230221541936094</v>
      </c>
      <c r="AD216" s="454">
        <f>+ER!AE230-'ER Act'!AA216</f>
        <v>-20.999949999999998</v>
      </c>
    </row>
    <row r="217" spans="2:30" ht="13" x14ac:dyDescent="0.3">
      <c r="B217" s="146" t="s">
        <v>44</v>
      </c>
      <c r="C217" s="456">
        <v>35.655999999999999</v>
      </c>
      <c r="D217" s="440">
        <f>IF(C$209=0,"N.D.",C217/C$209)</f>
        <v>0.30468963631391849</v>
      </c>
      <c r="E217" s="456">
        <v>27.756</v>
      </c>
      <c r="F217" s="440">
        <f>IF(E$209=0,"N.D.",E217/E$209)</f>
        <v>0.23566170539739684</v>
      </c>
      <c r="G217" s="456">
        <v>28.245999999999999</v>
      </c>
      <c r="H217" s="440">
        <f>IF(G$209=0,"N.D.",G217/G$209)</f>
        <v>0.23389808052201849</v>
      </c>
      <c r="I217" s="456">
        <v>31.573</v>
      </c>
      <c r="J217" s="440">
        <f>IF(I$209=0,"N.D.",I217/I$209)</f>
        <v>0.29520167548665782</v>
      </c>
      <c r="K217" s="456">
        <v>27.308999999999997</v>
      </c>
      <c r="L217" s="440">
        <f>IF(K$209=0,"N.D.",K217/K$209)</f>
        <v>0.20968373528666526</v>
      </c>
      <c r="M217" s="456">
        <v>42.613999999999997</v>
      </c>
      <c r="N217" s="440">
        <f>IF(M$209=0,"N.D.",M217/M$209)</f>
        <v>0.32719845821912019</v>
      </c>
      <c r="O217" s="456">
        <v>42.614080000000001</v>
      </c>
      <c r="P217" s="440">
        <f>IF(O$209=0,"N.D.",O217/O$209)</f>
        <v>0.32719970054995151</v>
      </c>
      <c r="Q217" s="456"/>
      <c r="R217" s="440" t="str">
        <f>IF(Q$209=0,"N.D.",Q217/Q$209)</f>
        <v>N.D.</v>
      </c>
      <c r="S217" s="456"/>
      <c r="T217" s="440" t="str">
        <f>IF(S$209=0,"N.D.",S217/S$209)</f>
        <v>N.D.</v>
      </c>
      <c r="U217" s="456"/>
      <c r="V217" s="440" t="str">
        <f>IF(U$209=0,"N.D.",U217/U$209)</f>
        <v>N.D.</v>
      </c>
      <c r="W217" s="456"/>
      <c r="X217" s="440" t="str">
        <f>IF(W$209=0,"N.D.",W217/W$209)</f>
        <v>N.D.</v>
      </c>
      <c r="Y217" s="456"/>
      <c r="Z217" s="440" t="str">
        <f>IF(Y$209=0,"N.D.",Y217/Y$209)</f>
        <v>N.D.</v>
      </c>
      <c r="AA217" s="456">
        <f t="shared" si="202"/>
        <v>235.76808000000003</v>
      </c>
      <c r="AB217" s="440">
        <f>IF(AA$209=0,"N.D.",AA217/AA$209)</f>
        <v>0.27632231771816879</v>
      </c>
      <c r="AD217" s="456">
        <f>+ER!AE231-'ER Act'!AA217</f>
        <v>-42.61256000000003</v>
      </c>
    </row>
    <row r="218" spans="2:30" ht="13" x14ac:dyDescent="0.3">
      <c r="B218" s="137" t="s">
        <v>45</v>
      </c>
      <c r="C218" s="456">
        <v>81.367999999999995</v>
      </c>
      <c r="D218" s="440">
        <f>IF(C$209=0,"N.D.",C218/C$209)</f>
        <v>0.69531036368608146</v>
      </c>
      <c r="E218" s="456">
        <v>90.022999999999996</v>
      </c>
      <c r="F218" s="440">
        <f>IF(E$209=0,"N.D.",E218/E$209)</f>
        <v>0.76433829460260316</v>
      </c>
      <c r="G218" s="456">
        <v>92.516000000000005</v>
      </c>
      <c r="H218" s="440">
        <f>IF(G$209=0,"N.D.",G218/G$209)</f>
        <v>0.76610191947798156</v>
      </c>
      <c r="I218" s="456">
        <v>75.381</v>
      </c>
      <c r="J218" s="440">
        <f>IF(I$209=0,"N.D.",I218/I$209)</f>
        <v>0.70479832451334223</v>
      </c>
      <c r="K218" s="456">
        <v>102.93</v>
      </c>
      <c r="L218" s="440">
        <f>IF(K$209=0,"N.D.",K218/K$209)</f>
        <v>0.79031626471333472</v>
      </c>
      <c r="M218" s="456">
        <v>87.625</v>
      </c>
      <c r="N218" s="440">
        <f>IF(M$209=0,"N.D.",M218/M$209)</f>
        <v>0.6728015417808797</v>
      </c>
      <c r="O218" s="456">
        <v>87.624670000000009</v>
      </c>
      <c r="P218" s="440">
        <f>IF(O$209=0,"N.D.",O218/O$209)</f>
        <v>0.67280029945004849</v>
      </c>
      <c r="Q218" s="456"/>
      <c r="R218" s="440" t="str">
        <f>IF(Q$209=0,"N.D.",Q218/Q$209)</f>
        <v>N.D.</v>
      </c>
      <c r="S218" s="456"/>
      <c r="T218" s="440" t="str">
        <f>IF(S$209=0,"N.D.",S218/S$209)</f>
        <v>N.D.</v>
      </c>
      <c r="U218" s="456"/>
      <c r="V218" s="440" t="str">
        <f>IF(U$209=0,"N.D.",U218/U$209)</f>
        <v>N.D.</v>
      </c>
      <c r="W218" s="456"/>
      <c r="X218" s="440" t="str">
        <f>IF(W$209=0,"N.D.",W218/W$209)</f>
        <v>N.D.</v>
      </c>
      <c r="Y218" s="456"/>
      <c r="Z218" s="440" t="str">
        <f>IF(Y$209=0,"N.D.",Y218/Y$209)</f>
        <v>N.D.</v>
      </c>
      <c r="AA218" s="456">
        <f t="shared" si="202"/>
        <v>617.46767</v>
      </c>
      <c r="AB218" s="440">
        <f>IF(AA$209=0,"N.D.",AA218/AA$209)</f>
        <v>0.72367768228183116</v>
      </c>
      <c r="AD218" s="456">
        <f>+ER!AE232-'ER Act'!AA218</f>
        <v>-87.627330000000029</v>
      </c>
    </row>
    <row r="219" spans="2:30" x14ac:dyDescent="0.25">
      <c r="C219" s="457"/>
      <c r="D219" s="441"/>
      <c r="E219" s="457"/>
      <c r="F219" s="441"/>
      <c r="G219" s="457"/>
      <c r="H219" s="441"/>
      <c r="I219" s="457"/>
      <c r="J219" s="441"/>
      <c r="K219" s="457"/>
      <c r="L219" s="441"/>
      <c r="M219" s="457"/>
      <c r="N219" s="441"/>
      <c r="O219" s="457"/>
      <c r="P219" s="441"/>
      <c r="Q219" s="457"/>
      <c r="R219" s="441"/>
      <c r="S219" s="457"/>
      <c r="T219" s="441"/>
      <c r="U219" s="457"/>
      <c r="V219" s="441"/>
      <c r="W219" s="457"/>
      <c r="X219" s="441"/>
      <c r="Y219" s="457"/>
      <c r="Z219" s="441"/>
      <c r="AA219" s="457"/>
      <c r="AB219" s="441"/>
      <c r="AD219" s="458"/>
    </row>
    <row r="220" spans="2:30" x14ac:dyDescent="0.25">
      <c r="B220" s="137"/>
      <c r="C220" s="455"/>
      <c r="D220" s="442"/>
      <c r="E220" s="455"/>
      <c r="F220" s="442"/>
      <c r="G220" s="455"/>
      <c r="H220" s="442"/>
      <c r="I220" s="455"/>
      <c r="J220" s="442"/>
      <c r="K220" s="455"/>
      <c r="L220" s="442"/>
      <c r="M220" s="455"/>
      <c r="N220" s="442"/>
      <c r="O220" s="455"/>
      <c r="P220" s="442"/>
      <c r="Q220" s="455"/>
      <c r="R220" s="442"/>
      <c r="S220" s="455"/>
      <c r="T220" s="442"/>
      <c r="U220" s="455"/>
      <c r="V220" s="442"/>
      <c r="W220" s="455"/>
      <c r="X220" s="442"/>
      <c r="Y220" s="455"/>
      <c r="Z220" s="442"/>
      <c r="AA220" s="455"/>
      <c r="AB220" s="442"/>
      <c r="AD220" s="455">
        <f>+ER!AE234-'ER Act'!AA220</f>
        <v>0</v>
      </c>
    </row>
    <row r="221" spans="2:30" x14ac:dyDescent="0.25">
      <c r="B221" s="137" t="s">
        <v>52</v>
      </c>
      <c r="C221" s="454">
        <v>0.192</v>
      </c>
      <c r="D221" s="439">
        <f>IF(C$209=0,"N.D.",C221/C$209)</f>
        <v>1.6406890894175555E-3</v>
      </c>
      <c r="E221" s="454">
        <v>0.108</v>
      </c>
      <c r="F221" s="439">
        <f>IF(E$209=0,"N.D.",E221/E$209)</f>
        <v>9.1697161633228332E-4</v>
      </c>
      <c r="G221" s="454">
        <v>0.33700000000000002</v>
      </c>
      <c r="H221" s="439">
        <f>IF(G$209=0,"N.D.",G221/G$209)</f>
        <v>2.7906129411569866E-3</v>
      </c>
      <c r="I221" s="454">
        <v>0.65200000000000002</v>
      </c>
      <c r="J221" s="439">
        <f>IF(I$209=0,"N.D.",I221/I$209)</f>
        <v>6.0960786880341084E-3</v>
      </c>
      <c r="K221" s="454">
        <v>0.26900000000000002</v>
      </c>
      <c r="L221" s="439">
        <f>IF(K$209=0,"N.D.",K221/K$209)</f>
        <v>2.0654335490905185E-3</v>
      </c>
      <c r="M221" s="454">
        <v>0.374</v>
      </c>
      <c r="N221" s="439">
        <f>IF(M$209=0,"N.D.",M221/M$209)</f>
        <v>2.8716436704827276E-3</v>
      </c>
      <c r="O221" s="454">
        <v>0.37423000000000001</v>
      </c>
      <c r="P221" s="439">
        <f>IF(O$209=0,"N.D.",O221/O$209)</f>
        <v>2.8734151702162372E-3</v>
      </c>
      <c r="Q221" s="454"/>
      <c r="R221" s="439" t="str">
        <f>IF(Q$209=0,"N.D.",Q221/Q$209)</f>
        <v>N.D.</v>
      </c>
      <c r="S221" s="454"/>
      <c r="T221" s="439" t="str">
        <f>IF(S$209=0,"N.D.",S221/S$209)</f>
        <v>N.D.</v>
      </c>
      <c r="U221" s="454"/>
      <c r="V221" s="439" t="str">
        <f>IF(U$209=0,"N.D.",U221/U$209)</f>
        <v>N.D.</v>
      </c>
      <c r="W221" s="454"/>
      <c r="X221" s="439" t="str">
        <f>IF(W$209=0,"N.D.",W221/W$209)</f>
        <v>N.D.</v>
      </c>
      <c r="Y221" s="454"/>
      <c r="Z221" s="439" t="str">
        <f>IF(Y$209=0,"N.D.",Y221/Y$209)</f>
        <v>N.D.</v>
      </c>
      <c r="AA221" s="454">
        <f t="shared" si="202"/>
        <v>2.3062300000000007</v>
      </c>
      <c r="AB221" s="439">
        <f>IF(AA$209=0,"N.D.",AA221/AA$209)</f>
        <v>2.7029223752052119E-3</v>
      </c>
      <c r="AD221" s="454">
        <f>+ER!AE235-'ER Act'!AA221</f>
        <v>-0.37599000000000071</v>
      </c>
    </row>
    <row r="222" spans="2:30" x14ac:dyDescent="0.25">
      <c r="B222" s="137" t="s">
        <v>184</v>
      </c>
      <c r="C222" s="454">
        <v>28.088999999999999</v>
      </c>
      <c r="D222" s="439">
        <f>IF(C$209=0,"N.D.",C222/C$209)</f>
        <v>0.24002768662838392</v>
      </c>
      <c r="E222" s="454">
        <v>31.488</v>
      </c>
      <c r="F222" s="439">
        <f>IF(E$209=0,"N.D.",E222/E$209)</f>
        <v>0.26734816902843461</v>
      </c>
      <c r="G222" s="454">
        <v>34.421999999999997</v>
      </c>
      <c r="H222" s="439">
        <f>IF(G$209=0,"N.D.",G222/G$209)</f>
        <v>0.28503999602523972</v>
      </c>
      <c r="I222" s="454">
        <v>35.634</v>
      </c>
      <c r="J222" s="439">
        <f>IF(I$209=0,"N.D.",I222/I$209)</f>
        <v>0.33317126989172918</v>
      </c>
      <c r="K222" s="454">
        <v>33.197000000000003</v>
      </c>
      <c r="L222" s="439">
        <f>IF(K$209=0,"N.D.",K222/K$209)</f>
        <v>0.2548929276176875</v>
      </c>
      <c r="M222" s="454">
        <v>29.460999999999999</v>
      </c>
      <c r="N222" s="439">
        <f>IF(M$209=0,"N.D.",M222/M$209)</f>
        <v>0.2262072036793894</v>
      </c>
      <c r="O222" s="454">
        <v>29.46116</v>
      </c>
      <c r="P222" s="439">
        <f>IF(O$209=0,"N.D.",O222/O$209)</f>
        <v>0.22620886640880689</v>
      </c>
      <c r="Q222" s="454"/>
      <c r="R222" s="439" t="str">
        <f>IF(Q$209=0,"N.D.",Q222/Q$209)</f>
        <v>N.D.</v>
      </c>
      <c r="S222" s="454"/>
      <c r="T222" s="439" t="str">
        <f>IF(S$209=0,"N.D.",S222/S$209)</f>
        <v>N.D.</v>
      </c>
      <c r="U222" s="454"/>
      <c r="V222" s="439" t="str">
        <f>IF(U$209=0,"N.D.",U222/U$209)</f>
        <v>N.D.</v>
      </c>
      <c r="W222" s="454"/>
      <c r="X222" s="439" t="str">
        <f>IF(W$209=0,"N.D.",W222/W$209)</f>
        <v>N.D.</v>
      </c>
      <c r="Y222" s="454"/>
      <c r="Z222" s="439" t="str">
        <f>IF(Y$209=0,"N.D.",Y222/Y$209)</f>
        <v>N.D.</v>
      </c>
      <c r="AA222" s="454">
        <f t="shared" si="202"/>
        <v>221.75216</v>
      </c>
      <c r="AB222" s="439">
        <f>IF(AA$209=0,"N.D.",AA222/AA$209)</f>
        <v>0.25989553297549944</v>
      </c>
      <c r="AD222" s="454">
        <f>+ER!AE236-'ER Act'!AA222</f>
        <v>-29.459990000000005</v>
      </c>
    </row>
    <row r="223" spans="2:30" x14ac:dyDescent="0.25">
      <c r="B223" s="137" t="s">
        <v>214</v>
      </c>
      <c r="C223" s="454">
        <v>0</v>
      </c>
      <c r="D223" s="439">
        <f>IF(C$209=0,"N.D.",C223/C$209)</f>
        <v>0</v>
      </c>
      <c r="E223" s="454">
        <v>0</v>
      </c>
      <c r="F223" s="439">
        <f>IF(E$209=0,"N.D.",E223/E$209)</f>
        <v>0</v>
      </c>
      <c r="G223" s="454">
        <v>0</v>
      </c>
      <c r="H223" s="439">
        <f>IF(G$209=0,"N.D.",G223/G$209)</f>
        <v>0</v>
      </c>
      <c r="I223" s="454">
        <v>0</v>
      </c>
      <c r="J223" s="439">
        <f>IF(I$209=0,"N.D.",I223/I$209)</f>
        <v>0</v>
      </c>
      <c r="K223" s="454">
        <v>0</v>
      </c>
      <c r="L223" s="439">
        <f>IF(K$209=0,"N.D.",K223/K$209)</f>
        <v>0</v>
      </c>
      <c r="M223" s="454">
        <v>0</v>
      </c>
      <c r="N223" s="439">
        <f>IF(M$209=0,"N.D.",M223/M$209)</f>
        <v>0</v>
      </c>
      <c r="O223" s="454">
        <v>0</v>
      </c>
      <c r="P223" s="439">
        <f>IF(O$209=0,"N.D.",O223/O$209)</f>
        <v>0</v>
      </c>
      <c r="Q223" s="454"/>
      <c r="R223" s="439" t="str">
        <f>IF(Q$209=0,"N.D.",Q223/Q$209)</f>
        <v>N.D.</v>
      </c>
      <c r="S223" s="454"/>
      <c r="T223" s="439" t="str">
        <f>IF(S$209=0,"N.D.",S223/S$209)</f>
        <v>N.D.</v>
      </c>
      <c r="U223" s="454"/>
      <c r="V223" s="439" t="str">
        <f>IF(U$209=0,"N.D.",U223/U$209)</f>
        <v>N.D.</v>
      </c>
      <c r="W223" s="454"/>
      <c r="X223" s="439" t="str">
        <f>IF(W$209=0,"N.D.",W223/W$209)</f>
        <v>N.D.</v>
      </c>
      <c r="Y223" s="454"/>
      <c r="Z223" s="439" t="str">
        <f>IF(Y$209=0,"N.D.",Y223/Y$209)</f>
        <v>N.D.</v>
      </c>
      <c r="AA223" s="454">
        <f t="shared" si="202"/>
        <v>0</v>
      </c>
      <c r="AB223" s="439">
        <f>IF(AA$209=0,"N.D.",AA223/AA$209)</f>
        <v>0</v>
      </c>
      <c r="AD223" s="454">
        <f>+ER!AE237-'ER Act'!AA223</f>
        <v>0</v>
      </c>
    </row>
    <row r="224" spans="2:30" x14ac:dyDescent="0.25">
      <c r="C224" s="454"/>
      <c r="D224" s="439"/>
      <c r="E224" s="454"/>
      <c r="F224" s="439"/>
      <c r="G224" s="454"/>
      <c r="H224" s="439"/>
      <c r="I224" s="454"/>
      <c r="J224" s="439"/>
      <c r="K224" s="454"/>
      <c r="L224" s="439"/>
      <c r="M224" s="454"/>
      <c r="N224" s="439"/>
      <c r="O224" s="454"/>
      <c r="P224" s="439"/>
      <c r="Q224" s="454"/>
      <c r="R224" s="439"/>
      <c r="S224" s="454"/>
      <c r="T224" s="439"/>
      <c r="U224" s="454"/>
      <c r="V224" s="439"/>
      <c r="W224" s="454"/>
      <c r="X224" s="439"/>
      <c r="Y224" s="454"/>
      <c r="Z224" s="439"/>
      <c r="AA224" s="454"/>
      <c r="AB224" s="439"/>
      <c r="AD224" s="454">
        <f>+ER!AE238-'ER Act'!AA224</f>
        <v>0</v>
      </c>
    </row>
    <row r="225" spans="2:30" ht="13" x14ac:dyDescent="0.3">
      <c r="B225" s="137" t="s">
        <v>48</v>
      </c>
      <c r="C225" s="456">
        <v>28.280999999999999</v>
      </c>
      <c r="D225" s="440">
        <f>IF(C$209=0,"N.D.",C225/C$209)</f>
        <v>0.24166837571780148</v>
      </c>
      <c r="E225" s="456">
        <v>31.596</v>
      </c>
      <c r="F225" s="440">
        <f>IF(E$209=0,"N.D.",E225/E$209)</f>
        <v>0.26826514064476692</v>
      </c>
      <c r="G225" s="456">
        <v>34.759</v>
      </c>
      <c r="H225" s="440">
        <f>IF(G$209=0,"N.D.",G225/G$209)</f>
        <v>0.28783060896639673</v>
      </c>
      <c r="I225" s="456">
        <v>36.286000000000001</v>
      </c>
      <c r="J225" s="440">
        <f>IF(I$209=0,"N.D.",I225/I$209)</f>
        <v>0.33926734857976332</v>
      </c>
      <c r="K225" s="456">
        <v>33.466000000000001</v>
      </c>
      <c r="L225" s="440">
        <f>IF(K$209=0,"N.D.",K225/K$209)</f>
        <v>0.256958361166778</v>
      </c>
      <c r="M225" s="456">
        <v>29.834999999999997</v>
      </c>
      <c r="N225" s="440">
        <f>IF(M$209=0,"N.D.",M225/M$209)</f>
        <v>0.22907884734987213</v>
      </c>
      <c r="O225" s="456">
        <v>29.83539</v>
      </c>
      <c r="P225" s="440">
        <f>IF(O$209=0,"N.D.",O225/O$209)</f>
        <v>0.22908228157902313</v>
      </c>
      <c r="Q225" s="456"/>
      <c r="R225" s="440" t="str">
        <f>IF(Q$209=0,"N.D.",Q225/Q$209)</f>
        <v>N.D.</v>
      </c>
      <c r="S225" s="456"/>
      <c r="T225" s="440" t="str">
        <f>IF(S$209=0,"N.D.",S225/S$209)</f>
        <v>N.D.</v>
      </c>
      <c r="U225" s="456"/>
      <c r="V225" s="440" t="str">
        <f>IF(U$209=0,"N.D.",U225/U$209)</f>
        <v>N.D.</v>
      </c>
      <c r="W225" s="456"/>
      <c r="X225" s="440" t="str">
        <f>IF(W$209=0,"N.D.",W225/W$209)</f>
        <v>N.D.</v>
      </c>
      <c r="Y225" s="456"/>
      <c r="Z225" s="440" t="str">
        <f>IF(Y$209=0,"N.D.",Y225/Y$209)</f>
        <v>N.D.</v>
      </c>
      <c r="AA225" s="456">
        <f t="shared" si="202"/>
        <v>224.05839000000003</v>
      </c>
      <c r="AB225" s="440">
        <f>IF(AA$209=0,"N.D.",AA225/AA$209)</f>
        <v>0.2625984553507047</v>
      </c>
      <c r="AD225" s="456">
        <f>+ER!AE239-'ER Act'!AA225</f>
        <v>-29.835980000000035</v>
      </c>
    </row>
    <row r="226" spans="2:30" ht="13" x14ac:dyDescent="0.3">
      <c r="B226" s="137" t="s">
        <v>49</v>
      </c>
      <c r="C226" s="456">
        <v>53.086999999999996</v>
      </c>
      <c r="D226" s="440">
        <f>IF(C$209=0,"N.D.",C226/C$209)</f>
        <v>0.45364198796827998</v>
      </c>
      <c r="E226" s="456">
        <v>58.426999999999992</v>
      </c>
      <c r="F226" s="440">
        <f>IF(E$209=0,"N.D.",E226/E$209)</f>
        <v>0.49607315395783624</v>
      </c>
      <c r="G226" s="456">
        <v>57.757000000000005</v>
      </c>
      <c r="H226" s="440">
        <f>IF(G$209=0,"N.D.",G226/G$209)</f>
        <v>0.47827131051158484</v>
      </c>
      <c r="I226" s="456">
        <v>39.094999999999999</v>
      </c>
      <c r="J226" s="440">
        <f>IF(I$209=0,"N.D.",I226/I$209)</f>
        <v>0.36553097593357892</v>
      </c>
      <c r="K226" s="456">
        <v>69.463999999999999</v>
      </c>
      <c r="L226" s="440">
        <f>IF(K$209=0,"N.D.",K226/K$209)</f>
        <v>0.53335790354655666</v>
      </c>
      <c r="M226" s="456">
        <v>57.790000000000006</v>
      </c>
      <c r="N226" s="440">
        <f>IF(M$209=0,"N.D.",M226/M$209)</f>
        <v>0.44372269443100765</v>
      </c>
      <c r="O226" s="456">
        <v>57.789280000000005</v>
      </c>
      <c r="P226" s="440">
        <f>IF(O$209=0,"N.D.",O226/O$209)</f>
        <v>0.44371801787102533</v>
      </c>
      <c r="Q226" s="456"/>
      <c r="R226" s="440" t="str">
        <f>IF(Q$209=0,"N.D.",Q226/Q$209)</f>
        <v>N.D.</v>
      </c>
      <c r="S226" s="456"/>
      <c r="T226" s="440" t="str">
        <f>IF(S$209=0,"N.D.",S226/S$209)</f>
        <v>N.D.</v>
      </c>
      <c r="U226" s="456"/>
      <c r="V226" s="440" t="str">
        <f>IF(U$209=0,"N.D.",U226/U$209)</f>
        <v>N.D.</v>
      </c>
      <c r="W226" s="456"/>
      <c r="X226" s="440" t="str">
        <f>IF(W$209=0,"N.D.",W226/W$209)</f>
        <v>N.D.</v>
      </c>
      <c r="Y226" s="456"/>
      <c r="Z226" s="440" t="str">
        <f>IF(Y$209=0,"N.D.",Y226/Y$209)</f>
        <v>N.D.</v>
      </c>
      <c r="AA226" s="456">
        <f t="shared" si="202"/>
        <v>393.40927999999997</v>
      </c>
      <c r="AB226" s="440">
        <f>IF(AA$209=0,"N.D.",AA226/AA$209)</f>
        <v>0.46107922693112652</v>
      </c>
      <c r="AD226" s="456">
        <f>+ER!AE240-'ER Act'!AA226</f>
        <v>-57.791349999999966</v>
      </c>
    </row>
    <row r="227" spans="2:30" x14ac:dyDescent="0.25">
      <c r="C227" s="457"/>
      <c r="D227" s="441"/>
      <c r="E227" s="457"/>
      <c r="F227" s="441"/>
      <c r="G227" s="457"/>
      <c r="H227" s="441"/>
      <c r="I227" s="457"/>
      <c r="J227" s="441"/>
      <c r="K227" s="457"/>
      <c r="L227" s="441"/>
      <c r="M227" s="457"/>
      <c r="N227" s="441"/>
      <c r="O227" s="457"/>
      <c r="P227" s="441"/>
      <c r="Q227" s="457"/>
      <c r="R227" s="441"/>
      <c r="S227" s="457"/>
      <c r="T227" s="441"/>
      <c r="U227" s="457"/>
      <c r="V227" s="441"/>
      <c r="W227" s="457"/>
      <c r="X227" s="441"/>
      <c r="Y227" s="457"/>
      <c r="Z227" s="441"/>
      <c r="AA227" s="457"/>
      <c r="AB227" s="441"/>
      <c r="AD227" s="457"/>
    </row>
    <row r="228" spans="2:30" x14ac:dyDescent="0.25">
      <c r="B228" s="137" t="s">
        <v>50</v>
      </c>
      <c r="C228" s="455">
        <v>0</v>
      </c>
      <c r="D228" s="442">
        <f>IF(C$209=0,"N.D.",C228/C$209)</f>
        <v>0</v>
      </c>
      <c r="E228" s="455">
        <v>0</v>
      </c>
      <c r="F228" s="442">
        <f>IF(E$209=0,"N.D.",E228/E$209)</f>
        <v>0</v>
      </c>
      <c r="G228" s="455">
        <v>0</v>
      </c>
      <c r="H228" s="442">
        <f t="shared" ref="H228:H237" si="203">IF(G$209=0,"N.D.",G228/G$209)</f>
        <v>0</v>
      </c>
      <c r="I228" s="455">
        <v>0</v>
      </c>
      <c r="J228" s="442">
        <f t="shared" ref="J228:J237" si="204">IF(I$209=0,"N.D.",I228/I$209)</f>
        <v>0</v>
      </c>
      <c r="K228" s="455">
        <v>0</v>
      </c>
      <c r="L228" s="442">
        <f t="shared" ref="L228:L237" si="205">IF(K$209=0,"N.D.",K228/K$209)</f>
        <v>0</v>
      </c>
      <c r="M228" s="455">
        <v>0</v>
      </c>
      <c r="N228" s="442">
        <f t="shared" ref="N228:N237" si="206">IF(M$209=0,"N.D.",M228/M$209)</f>
        <v>0</v>
      </c>
      <c r="O228" s="455">
        <v>0</v>
      </c>
      <c r="P228" s="442">
        <f t="shared" ref="P228:P237" si="207">IF(O$209=0,"N.D.",O228/O$209)</f>
        <v>0</v>
      </c>
      <c r="Q228" s="455"/>
      <c r="R228" s="442" t="str">
        <f t="shared" ref="R228:R237" si="208">IF(Q$209=0,"N.D.",Q228/Q$209)</f>
        <v>N.D.</v>
      </c>
      <c r="S228" s="455"/>
      <c r="T228" s="442" t="str">
        <f t="shared" ref="T228:T237" si="209">IF(S$209=0,"N.D.",S228/S$209)</f>
        <v>N.D.</v>
      </c>
      <c r="U228" s="455"/>
      <c r="V228" s="442" t="str">
        <f t="shared" ref="V228:V237" si="210">IF(U$209=0,"N.D.",U228/U$209)</f>
        <v>N.D.</v>
      </c>
      <c r="W228" s="455"/>
      <c r="X228" s="442" t="str">
        <f t="shared" ref="X228:X237" si="211">IF(W$209=0,"N.D.",W228/W$209)</f>
        <v>N.D.</v>
      </c>
      <c r="Y228" s="455"/>
      <c r="Z228" s="442" t="str">
        <f t="shared" ref="Z228:Z237" si="212">IF(Y$209=0,"N.D.",Y228/Y$209)</f>
        <v>N.D.</v>
      </c>
      <c r="AA228" s="455">
        <f t="shared" si="202"/>
        <v>0</v>
      </c>
      <c r="AB228" s="442">
        <f t="shared" ref="AB228:AB237" si="213">IF(AA$209=0,"N.D.",AA228/AA$209)</f>
        <v>0</v>
      </c>
      <c r="AD228" s="455">
        <f>+ER!AE242-'ER Act'!AA228</f>
        <v>0</v>
      </c>
    </row>
    <row r="229" spans="2:30" x14ac:dyDescent="0.25">
      <c r="B229" s="137" t="s">
        <v>51</v>
      </c>
      <c r="C229" s="454">
        <v>0</v>
      </c>
      <c r="D229" s="439">
        <f>IF(C$209=0,"N.D.",C229/C$209)</f>
        <v>0</v>
      </c>
      <c r="E229" s="454">
        <v>0</v>
      </c>
      <c r="F229" s="439">
        <f>IF(E$209=0,"N.D.",E229/E$209)</f>
        <v>0</v>
      </c>
      <c r="G229" s="454">
        <v>0</v>
      </c>
      <c r="H229" s="439">
        <f t="shared" si="203"/>
        <v>0</v>
      </c>
      <c r="I229" s="454">
        <v>0</v>
      </c>
      <c r="J229" s="439">
        <f t="shared" si="204"/>
        <v>0</v>
      </c>
      <c r="K229" s="454">
        <v>0</v>
      </c>
      <c r="L229" s="439">
        <f t="shared" si="205"/>
        <v>0</v>
      </c>
      <c r="M229" s="454">
        <v>0</v>
      </c>
      <c r="N229" s="439">
        <f t="shared" si="206"/>
        <v>0</v>
      </c>
      <c r="O229" s="454">
        <v>0</v>
      </c>
      <c r="P229" s="439">
        <f t="shared" si="207"/>
        <v>0</v>
      </c>
      <c r="Q229" s="454"/>
      <c r="R229" s="439" t="str">
        <f t="shared" si="208"/>
        <v>N.D.</v>
      </c>
      <c r="S229" s="454"/>
      <c r="T229" s="439" t="str">
        <f t="shared" si="209"/>
        <v>N.D.</v>
      </c>
      <c r="U229" s="454"/>
      <c r="V229" s="439" t="str">
        <f t="shared" si="210"/>
        <v>N.D.</v>
      </c>
      <c r="W229" s="454"/>
      <c r="X229" s="439" t="str">
        <f t="shared" si="211"/>
        <v>N.D.</v>
      </c>
      <c r="Y229" s="454"/>
      <c r="Z229" s="439" t="str">
        <f t="shared" si="212"/>
        <v>N.D.</v>
      </c>
      <c r="AA229" s="454">
        <f t="shared" si="202"/>
        <v>0</v>
      </c>
      <c r="AB229" s="439">
        <f t="shared" si="213"/>
        <v>0</v>
      </c>
      <c r="AD229" s="454">
        <f>+ER!AE243-'ER Act'!AA229</f>
        <v>0</v>
      </c>
    </row>
    <row r="230" spans="2:30" ht="13" x14ac:dyDescent="0.3">
      <c r="B230" s="131" t="s">
        <v>53</v>
      </c>
      <c r="C230" s="456">
        <v>53.086999999999996</v>
      </c>
      <c r="D230" s="440">
        <f>IF(C$209=0,"N.D.",C230/C$209)</f>
        <v>0.45364198796827998</v>
      </c>
      <c r="E230" s="456">
        <v>58.426999999999992</v>
      </c>
      <c r="F230" s="440">
        <f>IF(E$209=0,"N.D.",E230/E$209)</f>
        <v>0.49607315395783624</v>
      </c>
      <c r="G230" s="456">
        <v>57.757000000000005</v>
      </c>
      <c r="H230" s="440">
        <f t="shared" si="203"/>
        <v>0.47827131051158484</v>
      </c>
      <c r="I230" s="456">
        <v>39.094999999999999</v>
      </c>
      <c r="J230" s="440">
        <f t="shared" si="204"/>
        <v>0.36553097593357892</v>
      </c>
      <c r="K230" s="456">
        <v>69.463999999999999</v>
      </c>
      <c r="L230" s="440">
        <f t="shared" si="205"/>
        <v>0.53335790354655666</v>
      </c>
      <c r="M230" s="456">
        <v>57.790000000000006</v>
      </c>
      <c r="N230" s="440">
        <f t="shared" si="206"/>
        <v>0.44372269443100765</v>
      </c>
      <c r="O230" s="456">
        <v>57.789280000000005</v>
      </c>
      <c r="P230" s="440">
        <f t="shared" si="207"/>
        <v>0.44371801787102533</v>
      </c>
      <c r="Q230" s="456"/>
      <c r="R230" s="440" t="str">
        <f t="shared" si="208"/>
        <v>N.D.</v>
      </c>
      <c r="S230" s="456"/>
      <c r="T230" s="440" t="str">
        <f t="shared" si="209"/>
        <v>N.D.</v>
      </c>
      <c r="U230" s="456"/>
      <c r="V230" s="440" t="str">
        <f t="shared" si="210"/>
        <v>N.D.</v>
      </c>
      <c r="W230" s="456"/>
      <c r="X230" s="440" t="str">
        <f t="shared" si="211"/>
        <v>N.D.</v>
      </c>
      <c r="Y230" s="456"/>
      <c r="Z230" s="440" t="str">
        <f t="shared" si="212"/>
        <v>N.D.</v>
      </c>
      <c r="AA230" s="456">
        <f t="shared" si="202"/>
        <v>393.40927999999997</v>
      </c>
      <c r="AB230" s="440">
        <f t="shared" si="213"/>
        <v>0.46107922693112652</v>
      </c>
      <c r="AD230" s="456">
        <f>+ER!AE244-'ER Act'!AA230</f>
        <v>-57.791349999999966</v>
      </c>
    </row>
    <row r="231" spans="2:30" ht="13" x14ac:dyDescent="0.3">
      <c r="B231" s="131" t="s">
        <v>122</v>
      </c>
      <c r="C231" s="456">
        <v>102.36999999999999</v>
      </c>
      <c r="D231" s="440">
        <f>IF(C$209=0,"N.D.",C231/C$209)</f>
        <v>0.87477782335247467</v>
      </c>
      <c r="E231" s="456">
        <v>111.02499999999999</v>
      </c>
      <c r="F231" s="440">
        <f>IF(E$209=0,"N.D.",E231/E$209)</f>
        <v>0.94265531206751618</v>
      </c>
      <c r="G231" s="456">
        <v>113.518</v>
      </c>
      <c r="H231" s="440">
        <f t="shared" si="203"/>
        <v>0.94001424289097568</v>
      </c>
      <c r="I231" s="456">
        <v>96.382999999999996</v>
      </c>
      <c r="J231" s="440">
        <f t="shared" si="204"/>
        <v>0.90116311685397466</v>
      </c>
      <c r="K231" s="456">
        <v>123.932</v>
      </c>
      <c r="L231" s="440">
        <f t="shared" si="205"/>
        <v>0.9515736453750413</v>
      </c>
      <c r="M231" s="456">
        <v>108.627</v>
      </c>
      <c r="N231" s="440">
        <f t="shared" si="206"/>
        <v>0.83405892244258628</v>
      </c>
      <c r="O231" s="456">
        <v>108.62708000000001</v>
      </c>
      <c r="P231" s="440">
        <f t="shared" si="207"/>
        <v>0.83406113771822898</v>
      </c>
      <c r="Q231" s="456"/>
      <c r="R231" s="440" t="str">
        <f t="shared" si="208"/>
        <v>N.D.</v>
      </c>
      <c r="S231" s="456"/>
      <c r="T231" s="440" t="str">
        <f t="shared" si="209"/>
        <v>N.D.</v>
      </c>
      <c r="U231" s="456"/>
      <c r="V231" s="440" t="str">
        <f t="shared" si="210"/>
        <v>N.D.</v>
      </c>
      <c r="W231" s="456"/>
      <c r="X231" s="440" t="str">
        <f t="shared" si="211"/>
        <v>N.D.</v>
      </c>
      <c r="Y231" s="456"/>
      <c r="Z231" s="440" t="str">
        <f t="shared" si="212"/>
        <v>N.D.</v>
      </c>
      <c r="AA231" s="456">
        <f t="shared" si="202"/>
        <v>764.48208</v>
      </c>
      <c r="AB231" s="440">
        <f t="shared" si="213"/>
        <v>0.89597989770119213</v>
      </c>
      <c r="AD231" s="459">
        <f>+ER!AE245-'ER Act'!AA231</f>
        <v>-108.62728000000004</v>
      </c>
    </row>
    <row r="232" spans="2:30" ht="13" x14ac:dyDescent="0.3">
      <c r="B232" s="1" t="s">
        <v>194</v>
      </c>
      <c r="C232" s="373">
        <v>0</v>
      </c>
      <c r="D232" s="407">
        <f t="shared" ref="D232:F237" si="214">IF(C$209=0,"N.D.",C232/C$209)</f>
        <v>0</v>
      </c>
      <c r="E232" s="373">
        <v>0</v>
      </c>
      <c r="F232" s="407">
        <f t="shared" si="214"/>
        <v>0</v>
      </c>
      <c r="G232" s="373">
        <v>0</v>
      </c>
      <c r="H232" s="407">
        <f t="shared" si="203"/>
        <v>0</v>
      </c>
      <c r="I232" s="373">
        <v>0</v>
      </c>
      <c r="J232" s="407">
        <f t="shared" si="204"/>
        <v>0</v>
      </c>
      <c r="K232" s="373">
        <v>0</v>
      </c>
      <c r="L232" s="407">
        <f t="shared" si="205"/>
        <v>0</v>
      </c>
      <c r="M232" s="373">
        <v>0</v>
      </c>
      <c r="N232" s="407">
        <f t="shared" si="206"/>
        <v>0</v>
      </c>
      <c r="O232" s="373">
        <v>0</v>
      </c>
      <c r="P232" s="407">
        <f t="shared" si="207"/>
        <v>0</v>
      </c>
      <c r="Q232" s="373"/>
      <c r="R232" s="407" t="str">
        <f t="shared" si="208"/>
        <v>N.D.</v>
      </c>
      <c r="S232" s="373"/>
      <c r="T232" s="407" t="str">
        <f t="shared" si="209"/>
        <v>N.D.</v>
      </c>
      <c r="U232" s="373"/>
      <c r="V232" s="407" t="str">
        <f t="shared" si="210"/>
        <v>N.D.</v>
      </c>
      <c r="W232" s="373"/>
      <c r="X232" s="407" t="str">
        <f t="shared" si="211"/>
        <v>N.D.</v>
      </c>
      <c r="Y232" s="373"/>
      <c r="Z232" s="407" t="str">
        <f t="shared" si="212"/>
        <v>N.D.</v>
      </c>
      <c r="AA232" s="373">
        <f t="shared" si="202"/>
        <v>0</v>
      </c>
      <c r="AB232" s="407">
        <f t="shared" si="213"/>
        <v>0</v>
      </c>
      <c r="AD232" s="418">
        <f>+ER!AE246-'ER Act'!AA232</f>
        <v>0</v>
      </c>
    </row>
    <row r="233" spans="2:30" ht="13" x14ac:dyDescent="0.3">
      <c r="B233" s="1" t="s">
        <v>123</v>
      </c>
      <c r="C233" s="408"/>
      <c r="D233" s="409">
        <f t="shared" si="214"/>
        <v>0</v>
      </c>
      <c r="E233" s="408"/>
      <c r="F233" s="409">
        <f t="shared" si="214"/>
        <v>0</v>
      </c>
      <c r="G233" s="408"/>
      <c r="H233" s="409">
        <f t="shared" si="203"/>
        <v>0</v>
      </c>
      <c r="I233" s="408"/>
      <c r="J233" s="409">
        <f t="shared" si="204"/>
        <v>0</v>
      </c>
      <c r="K233" s="408"/>
      <c r="L233" s="409">
        <f t="shared" si="205"/>
        <v>0</v>
      </c>
      <c r="M233" s="408"/>
      <c r="N233" s="409">
        <f t="shared" si="206"/>
        <v>0</v>
      </c>
      <c r="O233" s="408"/>
      <c r="P233" s="409">
        <f t="shared" si="207"/>
        <v>0</v>
      </c>
      <c r="Q233" s="408"/>
      <c r="R233" s="409" t="str">
        <f t="shared" si="208"/>
        <v>N.D.</v>
      </c>
      <c r="S233" s="408"/>
      <c r="T233" s="409" t="str">
        <f t="shared" si="209"/>
        <v>N.D.</v>
      </c>
      <c r="U233" s="408"/>
      <c r="V233" s="409" t="str">
        <f t="shared" si="210"/>
        <v>N.D.</v>
      </c>
      <c r="W233" s="408"/>
      <c r="X233" s="409" t="str">
        <f t="shared" si="211"/>
        <v>N.D.</v>
      </c>
      <c r="Y233" s="408"/>
      <c r="Z233" s="409" t="str">
        <f t="shared" si="212"/>
        <v>N.D.</v>
      </c>
      <c r="AA233" s="408">
        <f t="shared" si="202"/>
        <v>0</v>
      </c>
      <c r="AB233" s="409">
        <f t="shared" si="213"/>
        <v>0</v>
      </c>
      <c r="AD233" s="460">
        <f>+ER!AE247-'ER Act'!AA233</f>
        <v>0</v>
      </c>
    </row>
    <row r="234" spans="2:30" ht="13" x14ac:dyDescent="0.3">
      <c r="B234" s="7" t="s">
        <v>190</v>
      </c>
      <c r="C234" s="410">
        <v>74.088999999999999</v>
      </c>
      <c r="D234" s="409">
        <f t="shared" si="214"/>
        <v>0.63310944763467325</v>
      </c>
      <c r="E234" s="410">
        <v>79.428999999999988</v>
      </c>
      <c r="F234" s="409">
        <f t="shared" si="214"/>
        <v>0.67439017142274926</v>
      </c>
      <c r="G234" s="410">
        <v>78.759</v>
      </c>
      <c r="H234" s="409">
        <f t="shared" si="203"/>
        <v>0.6521836339245789</v>
      </c>
      <c r="I234" s="410">
        <v>60.096999999999994</v>
      </c>
      <c r="J234" s="409">
        <f t="shared" si="204"/>
        <v>0.56189576827421128</v>
      </c>
      <c r="K234" s="410">
        <v>90.465999999999994</v>
      </c>
      <c r="L234" s="409">
        <f t="shared" si="205"/>
        <v>0.69461528420826324</v>
      </c>
      <c r="M234" s="410">
        <v>78.792000000000002</v>
      </c>
      <c r="N234" s="409">
        <f t="shared" si="206"/>
        <v>0.60498007509271412</v>
      </c>
      <c r="O234" s="410">
        <v>78.791690000000003</v>
      </c>
      <c r="P234" s="409">
        <f t="shared" si="207"/>
        <v>0.60497885613920588</v>
      </c>
      <c r="Q234" s="410"/>
      <c r="R234" s="409" t="str">
        <f t="shared" si="208"/>
        <v>N.D.</v>
      </c>
      <c r="S234" s="410"/>
      <c r="T234" s="409" t="str">
        <f t="shared" si="209"/>
        <v>N.D.</v>
      </c>
      <c r="U234" s="410"/>
      <c r="V234" s="409" t="str">
        <f t="shared" si="210"/>
        <v>N.D.</v>
      </c>
      <c r="W234" s="410"/>
      <c r="X234" s="409" t="str">
        <f t="shared" si="211"/>
        <v>N.D.</v>
      </c>
      <c r="Y234" s="410"/>
      <c r="Z234" s="409" t="str">
        <f t="shared" si="212"/>
        <v>N.D.</v>
      </c>
      <c r="AA234" s="410">
        <f t="shared" si="202"/>
        <v>540.42368999999997</v>
      </c>
      <c r="AB234" s="409">
        <f t="shared" si="213"/>
        <v>0.63338144235048743</v>
      </c>
      <c r="AD234" s="410">
        <f>+ER!AE248-'ER Act'!AA234</f>
        <v>-78.791299999999978</v>
      </c>
    </row>
    <row r="235" spans="2:30" ht="13" x14ac:dyDescent="0.3">
      <c r="B235" s="7" t="s">
        <v>191</v>
      </c>
      <c r="C235" s="381">
        <v>27.3</v>
      </c>
      <c r="D235" s="411">
        <f t="shared" si="214"/>
        <v>0.23328547990155865</v>
      </c>
      <c r="E235" s="381">
        <v>29.907990000000002</v>
      </c>
      <c r="F235" s="411">
        <f t="shared" si="214"/>
        <v>0.2539331289958312</v>
      </c>
      <c r="G235" s="381">
        <v>27.815650000000002</v>
      </c>
      <c r="H235" s="411">
        <f t="shared" si="203"/>
        <v>0.23033445951541048</v>
      </c>
      <c r="I235" s="381">
        <v>28.44135</v>
      </c>
      <c r="J235" s="411">
        <f t="shared" si="204"/>
        <v>0.26592133066551976</v>
      </c>
      <c r="K235" s="381">
        <v>27</v>
      </c>
      <c r="L235" s="411">
        <f t="shared" si="205"/>
        <v>0.2073111740722825</v>
      </c>
      <c r="M235" s="381">
        <v>47</v>
      </c>
      <c r="N235" s="411">
        <f t="shared" si="206"/>
        <v>0.36087500671841766</v>
      </c>
      <c r="O235" s="381">
        <v>47</v>
      </c>
      <c r="P235" s="411">
        <f t="shared" si="207"/>
        <v>0.36087569943661157</v>
      </c>
      <c r="Q235" s="381"/>
      <c r="R235" s="411" t="str">
        <f t="shared" si="208"/>
        <v>N.D.</v>
      </c>
      <c r="S235" s="381"/>
      <c r="T235" s="411" t="str">
        <f t="shared" si="209"/>
        <v>N.D.</v>
      </c>
      <c r="U235" s="381"/>
      <c r="V235" s="411" t="str">
        <f t="shared" si="210"/>
        <v>N.D.</v>
      </c>
      <c r="W235" s="381"/>
      <c r="X235" s="411" t="str">
        <f t="shared" si="211"/>
        <v>N.D.</v>
      </c>
      <c r="Y235" s="381"/>
      <c r="Z235" s="411" t="str">
        <f t="shared" si="212"/>
        <v>N.D.</v>
      </c>
      <c r="AA235" s="381">
        <f t="shared" si="202"/>
        <v>234.46499000000003</v>
      </c>
      <c r="AB235" s="411">
        <f t="shared" si="213"/>
        <v>0.27479508447694556</v>
      </c>
      <c r="AD235" s="381">
        <f>+ER!AE249-'ER Act'!AA235</f>
        <v>-52.464990000000029</v>
      </c>
    </row>
    <row r="236" spans="2:30" ht="13" x14ac:dyDescent="0.3">
      <c r="B236" s="7" t="s">
        <v>84</v>
      </c>
      <c r="C236" s="381">
        <v>46.789000000000001</v>
      </c>
      <c r="D236" s="411">
        <f t="shared" si="214"/>
        <v>0.39982396773311457</v>
      </c>
      <c r="E236" s="381">
        <v>49.52100999999999</v>
      </c>
      <c r="F236" s="411">
        <f t="shared" si="214"/>
        <v>0.42045704242691812</v>
      </c>
      <c r="G236" s="381">
        <v>50.943349999999995</v>
      </c>
      <c r="H236" s="411">
        <f t="shared" si="203"/>
        <v>0.42184917440916841</v>
      </c>
      <c r="I236" s="381">
        <v>31.655649999999994</v>
      </c>
      <c r="J236" s="411">
        <f t="shared" si="204"/>
        <v>0.29597443760869158</v>
      </c>
      <c r="K236" s="381">
        <v>63.465999999999994</v>
      </c>
      <c r="L236" s="411">
        <f t="shared" si="205"/>
        <v>0.48730411013598068</v>
      </c>
      <c r="M236" s="381">
        <v>31.792000000000002</v>
      </c>
      <c r="N236" s="411">
        <f t="shared" si="206"/>
        <v>0.24410506837429649</v>
      </c>
      <c r="O236" s="381">
        <v>31.791690000000003</v>
      </c>
      <c r="P236" s="411">
        <f t="shared" si="207"/>
        <v>0.24410315670259428</v>
      </c>
      <c r="Q236" s="381"/>
      <c r="R236" s="411" t="str">
        <f t="shared" si="208"/>
        <v>N.D.</v>
      </c>
      <c r="S236" s="381"/>
      <c r="T236" s="411" t="str">
        <f t="shared" si="209"/>
        <v>N.D.</v>
      </c>
      <c r="U236" s="381"/>
      <c r="V236" s="411" t="str">
        <f t="shared" si="210"/>
        <v>N.D.</v>
      </c>
      <c r="W236" s="381"/>
      <c r="X236" s="411" t="str">
        <f t="shared" si="211"/>
        <v>N.D.</v>
      </c>
      <c r="Y236" s="381"/>
      <c r="Z236" s="411" t="str">
        <f t="shared" si="212"/>
        <v>N.D.</v>
      </c>
      <c r="AA236" s="381">
        <f t="shared" si="202"/>
        <v>305.95869999999996</v>
      </c>
      <c r="AB236" s="411">
        <f t="shared" si="213"/>
        <v>0.35858635787354193</v>
      </c>
      <c r="AD236" s="381">
        <f>+ER!AE250-'ER Act'!AA236</f>
        <v>-26.326309999999978</v>
      </c>
    </row>
    <row r="237" spans="2:30" ht="13" x14ac:dyDescent="0.3">
      <c r="B237" s="1" t="s">
        <v>193</v>
      </c>
      <c r="C237" s="412">
        <v>2.7138827838827839</v>
      </c>
      <c r="D237" s="411">
        <f t="shared" si="214"/>
        <v>2.3190822257680339E-2</v>
      </c>
      <c r="E237" s="412">
        <v>2.655778606318913</v>
      </c>
      <c r="F237" s="411">
        <f t="shared" si="214"/>
        <v>2.254882964126808E-2</v>
      </c>
      <c r="G237" s="412">
        <v>2.8314635825515491</v>
      </c>
      <c r="H237" s="411">
        <f t="shared" si="203"/>
        <v>2.3446643667308829E-2</v>
      </c>
      <c r="I237" s="412">
        <v>2.1130150291740719</v>
      </c>
      <c r="J237" s="411">
        <f t="shared" si="204"/>
        <v>1.9756297372459861E-2</v>
      </c>
      <c r="K237" s="412">
        <v>3.3505925925925926</v>
      </c>
      <c r="L237" s="411">
        <f t="shared" si="205"/>
        <v>2.5726492007713455E-2</v>
      </c>
      <c r="M237" s="412">
        <v>1.6764255319148937</v>
      </c>
      <c r="N237" s="411">
        <f t="shared" si="206"/>
        <v>1.2871916491334344E-2</v>
      </c>
      <c r="O237" s="412">
        <v>1.6764189361702129</v>
      </c>
      <c r="P237" s="411">
        <f t="shared" si="207"/>
        <v>1.2871890556153317E-2</v>
      </c>
      <c r="Q237" s="412"/>
      <c r="R237" s="411" t="str">
        <f t="shared" si="208"/>
        <v>N.D.</v>
      </c>
      <c r="S237" s="412"/>
      <c r="T237" s="411" t="str">
        <f t="shared" si="209"/>
        <v>N.D.</v>
      </c>
      <c r="U237" s="412"/>
      <c r="V237" s="411" t="str">
        <f t="shared" si="210"/>
        <v>N.D.</v>
      </c>
      <c r="W237" s="412"/>
      <c r="X237" s="411" t="str">
        <f t="shared" si="211"/>
        <v>N.D.</v>
      </c>
      <c r="Y237" s="412"/>
      <c r="Z237" s="411" t="str">
        <f t="shared" si="212"/>
        <v>N.D.</v>
      </c>
      <c r="AA237" s="412">
        <f>IF(AA235=0,"N.D.",(AA234-AA232-AA233)/AA235)</f>
        <v>2.3049227520065996</v>
      </c>
      <c r="AB237" s="411">
        <f t="shared" si="213"/>
        <v>2.7013902687581942E-3</v>
      </c>
      <c r="AD237" s="412">
        <f>+ER!AE251-'ER Act'!AA237</f>
        <v>0.23151895129010347</v>
      </c>
    </row>
    <row r="238" spans="2:30" ht="13" x14ac:dyDescent="0.3">
      <c r="C238" s="461"/>
      <c r="D238" s="438"/>
      <c r="E238" s="461"/>
      <c r="F238" s="438"/>
      <c r="G238" s="461"/>
      <c r="H238" s="438"/>
      <c r="I238" s="461"/>
      <c r="J238" s="438"/>
      <c r="K238" s="461"/>
      <c r="L238" s="438"/>
      <c r="M238" s="461"/>
      <c r="N238" s="438"/>
      <c r="O238" s="461"/>
      <c r="P238" s="438"/>
      <c r="Q238" s="461"/>
      <c r="R238" s="438"/>
      <c r="S238" s="461"/>
      <c r="T238" s="438"/>
      <c r="U238" s="461"/>
      <c r="V238" s="438"/>
      <c r="W238" s="461"/>
      <c r="X238" s="438"/>
      <c r="Y238" s="461"/>
      <c r="Z238" s="438"/>
      <c r="AA238" s="461"/>
      <c r="AB238" s="438"/>
    </row>
    <row r="239" spans="2:30" x14ac:dyDescent="0.25">
      <c r="D239" s="429"/>
      <c r="F239" s="429"/>
      <c r="H239" s="429"/>
      <c r="J239" s="429"/>
      <c r="L239" s="429"/>
      <c r="N239" s="429"/>
      <c r="P239" s="429"/>
      <c r="R239" s="429"/>
      <c r="T239" s="429"/>
      <c r="V239" s="429"/>
      <c r="X239" s="429"/>
      <c r="Z239" s="429"/>
      <c r="AB239" s="429"/>
    </row>
    <row r="240" spans="2:30" x14ac:dyDescent="0.25">
      <c r="D240" s="429"/>
      <c r="F240" s="429"/>
      <c r="H240" s="429"/>
      <c r="J240" s="429"/>
      <c r="L240" s="429"/>
      <c r="N240" s="429"/>
      <c r="P240" s="429"/>
      <c r="R240" s="429"/>
      <c r="T240" s="429"/>
      <c r="V240" s="429"/>
      <c r="X240" s="429"/>
      <c r="Z240" s="429"/>
      <c r="AB240" s="429"/>
    </row>
    <row r="241" spans="3:28" x14ac:dyDescent="0.25">
      <c r="D241" s="429"/>
      <c r="F241" s="429"/>
      <c r="H241" s="429"/>
      <c r="J241" s="429"/>
      <c r="L241" s="429"/>
      <c r="N241" s="429"/>
      <c r="P241" s="429"/>
      <c r="R241" s="429"/>
      <c r="T241" s="429"/>
      <c r="V241" s="429"/>
      <c r="X241" s="429"/>
      <c r="Z241" s="429"/>
      <c r="AB241" s="429"/>
    </row>
    <row r="242" spans="3:28" ht="13" x14ac:dyDescent="0.3">
      <c r="C242" s="450"/>
      <c r="D242" s="430"/>
      <c r="E242" s="450"/>
      <c r="F242" s="430"/>
      <c r="G242" s="450"/>
      <c r="H242" s="430"/>
      <c r="I242" s="450"/>
      <c r="J242" s="430"/>
      <c r="K242" s="450"/>
      <c r="L242" s="430"/>
      <c r="M242" s="450"/>
      <c r="N242" s="430"/>
      <c r="O242" s="450"/>
      <c r="P242" s="430"/>
      <c r="Q242" s="450"/>
      <c r="R242" s="430"/>
      <c r="S242" s="450"/>
      <c r="T242" s="430"/>
      <c r="U242" s="450"/>
      <c r="V242" s="430"/>
      <c r="W242" s="450"/>
      <c r="X242" s="430"/>
      <c r="Y242" s="450"/>
      <c r="Z242" s="430"/>
      <c r="AA242" s="450"/>
      <c r="AB242" s="430"/>
    </row>
    <row r="244" spans="3:28" x14ac:dyDescent="0.25">
      <c r="D244" s="429"/>
      <c r="F244" s="429"/>
      <c r="H244" s="429"/>
      <c r="J244" s="429"/>
      <c r="L244" s="429"/>
      <c r="N244" s="429"/>
      <c r="P244" s="429"/>
      <c r="R244" s="429"/>
      <c r="T244" s="429"/>
      <c r="V244" s="429"/>
      <c r="X244" s="429"/>
      <c r="Z244" s="429"/>
      <c r="AB244" s="429"/>
    </row>
    <row r="245" spans="3:28" x14ac:dyDescent="0.25">
      <c r="D245" s="429"/>
      <c r="F245" s="429"/>
      <c r="H245" s="429"/>
      <c r="J245" s="429"/>
      <c r="L245" s="429"/>
      <c r="N245" s="429"/>
      <c r="P245" s="429"/>
      <c r="R245" s="429"/>
      <c r="T245" s="429"/>
      <c r="V245" s="429"/>
      <c r="X245" s="429"/>
      <c r="Z245" s="429"/>
      <c r="AB245" s="429"/>
    </row>
    <row r="246" spans="3:28" x14ac:dyDescent="0.25">
      <c r="D246" s="429"/>
      <c r="F246" s="429"/>
      <c r="H246" s="429"/>
      <c r="J246" s="429"/>
      <c r="L246" s="429"/>
      <c r="N246" s="429"/>
      <c r="P246" s="429"/>
      <c r="R246" s="429"/>
      <c r="T246" s="429"/>
      <c r="V246" s="429"/>
      <c r="X246" s="429"/>
      <c r="Z246" s="429"/>
      <c r="AB246" s="429"/>
    </row>
    <row r="247" spans="3:28" ht="13" x14ac:dyDescent="0.3">
      <c r="C247" s="450"/>
      <c r="D247" s="430"/>
      <c r="E247" s="450"/>
      <c r="F247" s="430"/>
      <c r="G247" s="450"/>
      <c r="H247" s="430"/>
      <c r="I247" s="450"/>
      <c r="J247" s="430"/>
      <c r="K247" s="450"/>
      <c r="L247" s="430"/>
      <c r="M247" s="450"/>
      <c r="N247" s="430"/>
      <c r="O247" s="450"/>
      <c r="P247" s="430"/>
      <c r="Q247" s="450"/>
      <c r="R247" s="430"/>
      <c r="S247" s="450"/>
      <c r="T247" s="430"/>
      <c r="U247" s="450"/>
      <c r="V247" s="430"/>
      <c r="W247" s="450"/>
      <c r="X247" s="430"/>
      <c r="Y247" s="450"/>
      <c r="Z247" s="430"/>
      <c r="AA247" s="450"/>
      <c r="AB247" s="430"/>
    </row>
    <row r="250" spans="3:28" x14ac:dyDescent="0.25">
      <c r="D250" s="429"/>
      <c r="F250" s="429"/>
      <c r="H250" s="429"/>
      <c r="J250" s="429"/>
      <c r="L250" s="429"/>
      <c r="N250" s="429"/>
      <c r="P250" s="429"/>
      <c r="R250" s="429"/>
      <c r="T250" s="429"/>
      <c r="V250" s="429"/>
      <c r="X250" s="429"/>
      <c r="Z250" s="429"/>
      <c r="AB250" s="429"/>
    </row>
    <row r="251" spans="3:28" x14ac:dyDescent="0.25">
      <c r="D251" s="429"/>
      <c r="F251" s="429"/>
      <c r="H251" s="429"/>
      <c r="J251" s="429"/>
      <c r="L251" s="429"/>
      <c r="N251" s="429"/>
      <c r="P251" s="429"/>
      <c r="R251" s="429"/>
      <c r="T251" s="429"/>
      <c r="V251" s="429"/>
      <c r="X251" s="429"/>
      <c r="Z251" s="429"/>
      <c r="AB251" s="429"/>
    </row>
    <row r="252" spans="3:28" x14ac:dyDescent="0.25">
      <c r="D252" s="429"/>
      <c r="F252" s="429"/>
      <c r="H252" s="429"/>
      <c r="J252" s="429"/>
      <c r="L252" s="429"/>
      <c r="N252" s="429"/>
      <c r="P252" s="429"/>
      <c r="R252" s="429"/>
      <c r="T252" s="429"/>
      <c r="V252" s="429"/>
      <c r="X252" s="429"/>
      <c r="Z252" s="429"/>
      <c r="AB252" s="429"/>
    </row>
  </sheetData>
  <pageMargins left="0.7" right="0.7" top="0.75" bottom="0.75" header="0.3" footer="0.3"/>
  <pageSetup scale="85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_Ppto_Empresas">
    <tabColor rgb="FF00B0F0"/>
  </sheetPr>
  <dimension ref="A1:AB252"/>
  <sheetViews>
    <sheetView showGridLines="0" topLeftCell="A31" zoomScale="60" zoomScaleNormal="90" workbookViewId="0">
      <selection activeCell="R27" sqref="R27"/>
    </sheetView>
  </sheetViews>
  <sheetFormatPr baseColWidth="10" defaultColWidth="9.1796875" defaultRowHeight="12.5" x14ac:dyDescent="0.25"/>
  <cols>
    <col min="1" max="1" width="4.81640625" customWidth="1"/>
    <col min="2" max="2" width="22.81640625" style="1" customWidth="1"/>
    <col min="3" max="3" width="10.26953125" style="347" customWidth="1"/>
    <col min="4" max="4" width="7" style="428" customWidth="1"/>
    <col min="5" max="5" width="8.54296875" style="347" customWidth="1"/>
    <col min="6" max="6" width="7" style="428" customWidth="1"/>
    <col min="7" max="7" width="8.54296875" style="347" customWidth="1"/>
    <col min="8" max="8" width="8.1796875" style="428" customWidth="1"/>
    <col min="9" max="9" width="10" style="347" customWidth="1"/>
    <col min="10" max="10" width="8.08984375" style="428" customWidth="1"/>
    <col min="11" max="11" width="10" style="347" customWidth="1"/>
    <col min="12" max="12" width="7" style="428" customWidth="1"/>
    <col min="13" max="13" width="10" style="347" customWidth="1"/>
    <col min="14" max="14" width="7" style="428" customWidth="1"/>
    <col min="15" max="15" width="10" style="347" customWidth="1"/>
    <col min="16" max="16" width="7" style="428" customWidth="1"/>
    <col min="17" max="17" width="10" style="347" customWidth="1"/>
    <col min="18" max="18" width="7" style="428" customWidth="1"/>
    <col min="19" max="19" width="10" style="347" customWidth="1"/>
    <col min="20" max="20" width="7" style="428" customWidth="1"/>
    <col min="21" max="21" width="10" style="347" customWidth="1"/>
    <col min="22" max="22" width="7" style="428" customWidth="1"/>
    <col min="23" max="23" width="10" style="347" customWidth="1"/>
    <col min="24" max="24" width="7" style="428" customWidth="1"/>
    <col min="25" max="25" width="10" style="347" customWidth="1"/>
    <col min="26" max="26" width="7" style="428" customWidth="1"/>
    <col min="27" max="27" width="10" style="347" customWidth="1"/>
    <col min="28" max="28" width="7" style="133" customWidth="1"/>
  </cols>
  <sheetData>
    <row r="1" spans="1:28" x14ac:dyDescent="0.25">
      <c r="C1" s="347" t="str">
        <f>TEXT(DATE(YEAR(MES_CIERRE),1,1),"MMMM")</f>
        <v>enero</v>
      </c>
      <c r="D1" s="429"/>
      <c r="E1" s="347" t="str">
        <f>TEXT(DATE(YEAR(MES_CIERRE),2,1),"MMMM")</f>
        <v>febrero</v>
      </c>
      <c r="F1" s="429"/>
      <c r="G1" s="347" t="str">
        <f>TEXT(DATE(YEAR(MES_CIERRE),3,1),"MMMM")</f>
        <v>marzo</v>
      </c>
      <c r="H1" s="429"/>
      <c r="I1" s="347" t="str">
        <f>TEXT(DATE(YEAR(MES_CIERRE),4,1),"MMMM")</f>
        <v>abril</v>
      </c>
      <c r="J1" s="429"/>
      <c r="K1" s="347" t="str">
        <f>TEXT(DATE(YEAR(MES_CIERRE),5,1),"MMMM")</f>
        <v>mayo</v>
      </c>
      <c r="L1" s="429"/>
      <c r="M1" s="347" t="str">
        <f>TEXT(DATE(YEAR(MES_CIERRE),6,1),"MMMM")</f>
        <v>junio</v>
      </c>
      <c r="N1" s="429"/>
      <c r="O1" s="347" t="str">
        <f>TEXT(DATE(YEAR(MES_CIERRE),7,1),"MMMM")</f>
        <v>julio</v>
      </c>
      <c r="P1" s="429"/>
      <c r="Q1" s="347" t="str">
        <f>TEXT(DATE(YEAR(MES_CIERRE),8,1),"MMMM")</f>
        <v>agosto</v>
      </c>
      <c r="R1" s="429"/>
      <c r="S1" s="347" t="str">
        <f>TEXT(DATE(YEAR(MES_CIERRE),9,1),"MMMM")</f>
        <v>septiembre</v>
      </c>
      <c r="T1" s="429"/>
      <c r="U1" s="347" t="str">
        <f>TEXT(DATE(YEAR(MES_CIERRE),10,1),"MMMM")</f>
        <v>octubre</v>
      </c>
      <c r="V1" s="429"/>
      <c r="W1" s="347" t="str">
        <f>TEXT(DATE(YEAR(MES_CIERRE),11,1),"MMMM")</f>
        <v>noviembre</v>
      </c>
      <c r="X1" s="429"/>
      <c r="Y1" s="347" t="str">
        <f>TEXT(DATE(YEAR(MES_CIERRE),12,1),"MMMM")</f>
        <v>diciembre</v>
      </c>
      <c r="Z1" s="429"/>
      <c r="AA1" s="426"/>
      <c r="AB1" s="132"/>
    </row>
    <row r="4" spans="1:28" x14ac:dyDescent="0.25">
      <c r="D4" s="429"/>
      <c r="F4" s="429"/>
      <c r="H4" s="429"/>
      <c r="J4" s="429"/>
      <c r="L4" s="429"/>
      <c r="N4" s="429"/>
      <c r="P4" s="429"/>
      <c r="R4" s="429"/>
      <c r="T4" s="429"/>
      <c r="V4" s="429"/>
      <c r="X4" s="429"/>
      <c r="Z4" s="429"/>
      <c r="AB4" s="130"/>
    </row>
    <row r="5" spans="1:28" x14ac:dyDescent="0.25">
      <c r="AB5" s="130"/>
    </row>
    <row r="6" spans="1:28" ht="13" x14ac:dyDescent="0.3">
      <c r="A6" s="111" t="str">
        <f>YEAR(MES_CIERRE)&amp;" Budget"</f>
        <v>2019 Budget</v>
      </c>
      <c r="D6" s="429"/>
      <c r="F6" s="429"/>
      <c r="H6" s="429"/>
      <c r="J6" s="429"/>
      <c r="L6" s="429"/>
      <c r="N6" s="429"/>
      <c r="P6" s="429"/>
      <c r="R6" s="429"/>
      <c r="T6" s="429"/>
      <c r="V6" s="429"/>
      <c r="X6" s="429"/>
      <c r="Z6" s="429"/>
      <c r="AB6" s="130"/>
    </row>
    <row r="7" spans="1:28" ht="13" x14ac:dyDescent="0.3">
      <c r="C7" s="394"/>
      <c r="D7" s="430"/>
      <c r="E7" s="394"/>
      <c r="F7" s="430"/>
      <c r="G7" s="394"/>
      <c r="H7" s="430"/>
      <c r="I7" s="394"/>
      <c r="J7" s="430"/>
      <c r="K7" s="394"/>
      <c r="L7" s="430"/>
      <c r="M7" s="394"/>
      <c r="N7" s="430"/>
      <c r="O7" s="394"/>
      <c r="P7" s="430"/>
      <c r="Q7" s="394"/>
      <c r="R7" s="430"/>
      <c r="S7" s="394"/>
      <c r="T7" s="430"/>
      <c r="U7" s="394"/>
      <c r="V7" s="430"/>
      <c r="W7" s="394"/>
      <c r="X7" s="430"/>
      <c r="Y7" s="394"/>
      <c r="Z7" s="430"/>
      <c r="AA7" s="394"/>
      <c r="AB7" s="135"/>
    </row>
    <row r="8" spans="1:28" s="310" customFormat="1" ht="13" x14ac:dyDescent="0.3">
      <c r="B8" s="1"/>
      <c r="C8" s="394"/>
      <c r="D8" s="430"/>
      <c r="E8" s="394"/>
      <c r="F8" s="430"/>
      <c r="G8" s="394"/>
      <c r="H8" s="430"/>
      <c r="I8" s="394"/>
      <c r="J8" s="430"/>
      <c r="K8" s="394"/>
      <c r="L8" s="430"/>
      <c r="M8" s="394"/>
      <c r="N8" s="430"/>
      <c r="O8" s="394"/>
      <c r="P8" s="430"/>
      <c r="Q8" s="394"/>
      <c r="R8" s="430"/>
      <c r="S8" s="394"/>
      <c r="T8" s="430"/>
      <c r="U8" s="394"/>
      <c r="V8" s="430"/>
      <c r="W8" s="394"/>
      <c r="X8" s="430"/>
      <c r="Y8" s="394"/>
      <c r="Z8" s="430"/>
      <c r="AA8" s="394"/>
      <c r="AB8" s="135"/>
    </row>
    <row r="9" spans="1:28" s="310" customFormat="1" ht="13" x14ac:dyDescent="0.3">
      <c r="B9" s="1"/>
      <c r="C9" s="394"/>
      <c r="D9" s="430"/>
      <c r="E9" s="394"/>
      <c r="F9" s="430"/>
      <c r="G9" s="394"/>
      <c r="H9" s="430"/>
      <c r="I9" s="394"/>
      <c r="J9" s="430"/>
      <c r="K9" s="394"/>
      <c r="L9" s="430"/>
      <c r="M9" s="394"/>
      <c r="N9" s="430"/>
      <c r="O9" s="394"/>
      <c r="P9" s="430"/>
      <c r="Q9" s="394"/>
      <c r="R9" s="430"/>
      <c r="S9" s="394"/>
      <c r="T9" s="430"/>
      <c r="U9" s="394"/>
      <c r="V9" s="430"/>
      <c r="W9" s="394"/>
      <c r="X9" s="430"/>
      <c r="Y9" s="394"/>
      <c r="Z9" s="430"/>
      <c r="AA9" s="394"/>
      <c r="AB9" s="135"/>
    </row>
    <row r="10" spans="1:28" ht="13" x14ac:dyDescent="0.3">
      <c r="B10" s="252" t="s">
        <v>196</v>
      </c>
      <c r="C10" s="396" t="s">
        <v>418</v>
      </c>
      <c r="D10" s="397"/>
      <c r="E10" s="396" t="s">
        <v>419</v>
      </c>
      <c r="F10" s="397"/>
      <c r="G10" s="396" t="s">
        <v>417</v>
      </c>
      <c r="H10" s="397"/>
      <c r="I10" s="396" t="s">
        <v>420</v>
      </c>
      <c r="J10" s="397"/>
      <c r="K10" s="396" t="s">
        <v>421</v>
      </c>
      <c r="L10" s="397"/>
      <c r="M10" s="396" t="s">
        <v>422</v>
      </c>
      <c r="N10" s="397"/>
      <c r="O10" s="396" t="s">
        <v>423</v>
      </c>
      <c r="P10" s="397"/>
      <c r="Q10" s="396" t="s">
        <v>428</v>
      </c>
      <c r="R10" s="397"/>
      <c r="S10" s="396" t="s">
        <v>424</v>
      </c>
      <c r="T10" s="397"/>
      <c r="U10" s="396" t="s">
        <v>425</v>
      </c>
      <c r="V10" s="397"/>
      <c r="W10" s="396" t="s">
        <v>426</v>
      </c>
      <c r="X10" s="397"/>
      <c r="Y10" s="396" t="s">
        <v>427</v>
      </c>
      <c r="Z10" s="431"/>
      <c r="AA10" s="396" t="s">
        <v>497</v>
      </c>
      <c r="AB10" s="136"/>
    </row>
    <row r="11" spans="1:28" x14ac:dyDescent="0.25">
      <c r="B11" s="9" t="s">
        <v>38</v>
      </c>
      <c r="C11" s="432">
        <f>+C44+C113+C77+C176+C145+C209</f>
        <v>3308.2509999999997</v>
      </c>
      <c r="D11" s="433">
        <f>IF(C$11=0,"N.D.",C11/C$11)</f>
        <v>1</v>
      </c>
      <c r="E11" s="432">
        <f>+E44+E113+E77+E176+E145+E209</f>
        <v>3194.8710000000001</v>
      </c>
      <c r="F11" s="433">
        <f>IF(E$11=0,"N.D.",E11/E$11)</f>
        <v>1</v>
      </c>
      <c r="G11" s="432">
        <f>+G44+G113+G77+G176+G145+G209</f>
        <v>3786.6410000000001</v>
      </c>
      <c r="H11" s="433">
        <f>IF(G$11=0,"N.D.",G11/G$11)</f>
        <v>1</v>
      </c>
      <c r="I11" s="432">
        <f>+I44+I113+I77+I176+I145+I209</f>
        <v>3456.5099999999998</v>
      </c>
      <c r="J11" s="433">
        <f>IF(I$11=0,"N.D.",I11/I$11)</f>
        <v>1</v>
      </c>
      <c r="K11" s="432">
        <f>+K44+K113+K77+K176+K145+K209</f>
        <v>1749.1969999999999</v>
      </c>
      <c r="L11" s="433">
        <f>IF(K$11=0,"N.D.",K11/K$11)</f>
        <v>1</v>
      </c>
      <c r="M11" s="432">
        <f>+M44+M113+M77+M176+M145+M209</f>
        <v>1702.1899999999998</v>
      </c>
      <c r="N11" s="433">
        <f>IF(M$11=0,"N.D.",M11/M$11)</f>
        <v>1</v>
      </c>
      <c r="O11" s="432">
        <f>+O44+O113+O77+O176+O145+O209</f>
        <v>1702.1899999999998</v>
      </c>
      <c r="P11" s="433">
        <f>IF(O$11=0,"N.D.",O11/O$11)</f>
        <v>1</v>
      </c>
      <c r="Q11" s="432">
        <f>+Q44+Q113+Q77+Q176+Q145+Q209</f>
        <v>0</v>
      </c>
      <c r="R11" s="433" t="str">
        <f>IF(Q$11=0,"N.D.",Q11/Q$11)</f>
        <v>N.D.</v>
      </c>
      <c r="S11" s="432">
        <f>+S44+S113+S77+S176+S145+S209</f>
        <v>0</v>
      </c>
      <c r="T11" s="433" t="str">
        <f>IF(S$11=0,"N.D.",S11/S$11)</f>
        <v>N.D.</v>
      </c>
      <c r="U11" s="432">
        <f>+U44+U113+U77+U176+U145+U209</f>
        <v>0</v>
      </c>
      <c r="V11" s="433" t="str">
        <f>IF(U$11=0,"N.D.",U11/U$11)</f>
        <v>N.D.</v>
      </c>
      <c r="W11" s="314">
        <f>+W44+W113+W77+W176+W145+W209</f>
        <v>0</v>
      </c>
      <c r="X11" s="433" t="str">
        <f>IF(W$11=0,"N.D.",W11/W$11)</f>
        <v>N.D.</v>
      </c>
      <c r="Y11" s="314">
        <f>+Y44+Y113+Y77+Y176+Y145+Y209</f>
        <v>0</v>
      </c>
      <c r="Z11" s="433" t="str">
        <f>IF(Y$11=0,"N.D.",Y11/Y$11)</f>
        <v>N.D.</v>
      </c>
      <c r="AA11" s="418">
        <f>+AA44+AA77+AA113+AA145+AA209+AA176</f>
        <v>18899.850000000002</v>
      </c>
      <c r="AB11" s="149">
        <f>IF(AA$11=0,"N.D.",AA11/AA$11)</f>
        <v>1</v>
      </c>
    </row>
    <row r="12" spans="1:28" x14ac:dyDescent="0.25">
      <c r="B12" s="102" t="s">
        <v>39</v>
      </c>
      <c r="C12" s="314">
        <f>+C45+C114+C78+C177+C146+C210</f>
        <v>1166.6889999999999</v>
      </c>
      <c r="D12" s="434">
        <f>IF(C$11=0,"N.D.",C12/C$11)</f>
        <v>0.3526603634367525</v>
      </c>
      <c r="E12" s="314">
        <f>+E45+E114+E78+E177+E146+E210</f>
        <v>1125.2810000000002</v>
      </c>
      <c r="F12" s="434">
        <f>IF(E$11=0,"N.D.",E12/E$11)</f>
        <v>0.3522148468592316</v>
      </c>
      <c r="G12" s="314">
        <f>+G45+G114+G78+G177+G146+G210</f>
        <v>1342.5079999999998</v>
      </c>
      <c r="H12" s="434">
        <f>IF(G$11=0,"N.D.",G12/G$11)</f>
        <v>0.35453796649854047</v>
      </c>
      <c r="I12" s="314">
        <f>+I45+I114+I78+I177+I146+I210</f>
        <v>1221.866</v>
      </c>
      <c r="J12" s="434">
        <f>IF(I$11=0,"N.D.",I12/I$11)</f>
        <v>0.35349702445530318</v>
      </c>
      <c r="K12" s="314">
        <f>+K45+K114+K78+K177+K146+K210</f>
        <v>573.904</v>
      </c>
      <c r="L12" s="434">
        <f>IF(K$11=0,"N.D.",K12/K$11)</f>
        <v>0.32809569190891597</v>
      </c>
      <c r="M12" s="314">
        <f>+M45+M114+M78+M177+M146+M210</f>
        <v>557.5</v>
      </c>
      <c r="N12" s="434">
        <f>IF(M$11=0,"N.D.",M12/M$11)</f>
        <v>0.32751925460730003</v>
      </c>
      <c r="O12" s="314">
        <f>+O45+O114+O78+O177+O146+O210</f>
        <v>557.5</v>
      </c>
      <c r="P12" s="434">
        <f>IF(O$11=0,"N.D.",O12/O$11)</f>
        <v>0.32751925460730003</v>
      </c>
      <c r="Q12" s="314">
        <f>+Q45+Q114+Q78+Q177+Q146+Q210</f>
        <v>0</v>
      </c>
      <c r="R12" s="434" t="str">
        <f>IF(Q$11=0,"N.D.",Q12/Q$11)</f>
        <v>N.D.</v>
      </c>
      <c r="S12" s="314">
        <f>+S45+S114+S78+S177+S146+S210</f>
        <v>0</v>
      </c>
      <c r="T12" s="434" t="str">
        <f>IF(S$11=0,"N.D.",S12/S$11)</f>
        <v>N.D.</v>
      </c>
      <c r="U12" s="314">
        <f>+U45+U114+U78+U177+U146+U210</f>
        <v>0</v>
      </c>
      <c r="V12" s="434" t="str">
        <f>IF(U$11=0,"N.D.",U12/U$11)</f>
        <v>N.D.</v>
      </c>
      <c r="W12" s="314">
        <f>+W45+W114+W78+W177+W146+W210</f>
        <v>0</v>
      </c>
      <c r="X12" s="434" t="str">
        <f>IF(W$11=0,"N.D.",W12/W$11)</f>
        <v>N.D.</v>
      </c>
      <c r="Y12" s="314">
        <f>+Y45+Y114+Y78+Y177+Y146+Y210</f>
        <v>0</v>
      </c>
      <c r="Z12" s="434" t="str">
        <f>IF(Y$11=0,"N.D.",Y12/Y$11)</f>
        <v>N.D.</v>
      </c>
      <c r="AA12" s="314">
        <f>+AA45+AA78+AA114+AA146+AA211+AA177</f>
        <v>6545.2479999999996</v>
      </c>
      <c r="AB12" s="150">
        <f>IF(AA$11=0,"N.D.",AA12/AA$11)</f>
        <v>0.34631216649867586</v>
      </c>
    </row>
    <row r="13" spans="1:28" hidden="1" x14ac:dyDescent="0.25">
      <c r="B13" s="9" t="s">
        <v>219</v>
      </c>
      <c r="C13" s="314">
        <f>+C46+C115+C79+C178+C147+C211</f>
        <v>0</v>
      </c>
      <c r="D13" s="434">
        <f>IF(C$11=0,"N.D.",C13/C$11)</f>
        <v>0</v>
      </c>
      <c r="E13" s="314">
        <f>+E46+E115+E79+E178+E147+E211</f>
        <v>0</v>
      </c>
      <c r="F13" s="434">
        <f>IF(E$11=0,"N.D.",E13/E$11)</f>
        <v>0</v>
      </c>
      <c r="G13" s="314">
        <f>+G46+G115+G79+G178+G147+G211</f>
        <v>0</v>
      </c>
      <c r="H13" s="434">
        <f>IF(G$11=0,"N.D.",G13/G$11)</f>
        <v>0</v>
      </c>
      <c r="I13" s="314">
        <f>+I46+I115+I79+I178+I147+I211</f>
        <v>0</v>
      </c>
      <c r="J13" s="434">
        <f>IF(I$11=0,"N.D.",I13/I$11)</f>
        <v>0</v>
      </c>
      <c r="K13" s="314">
        <f>+K46+K115+K79+K178+K147+K211</f>
        <v>0</v>
      </c>
      <c r="L13" s="434">
        <f>IF(K$11=0,"N.D.",K13/K$11)</f>
        <v>0</v>
      </c>
      <c r="M13" s="314">
        <f>+M46+M115+M79+M178+M147+M211</f>
        <v>0</v>
      </c>
      <c r="N13" s="434">
        <f>IF(M$11=0,"N.D.",M13/M$11)</f>
        <v>0</v>
      </c>
      <c r="O13" s="314">
        <f>+O46+O115+O79+O178+O147+O211</f>
        <v>0</v>
      </c>
      <c r="P13" s="434">
        <f>IF(O$11=0,"N.D.",O13/O$11)</f>
        <v>0</v>
      </c>
      <c r="Q13" s="314">
        <f>+Q46+Q115+Q79+Q178+Q147+Q211</f>
        <v>0</v>
      </c>
      <c r="R13" s="434" t="str">
        <f>IF(Q$11=0,"N.D.",Q13/Q$11)</f>
        <v>N.D.</v>
      </c>
      <c r="S13" s="314">
        <f>+S46+S115+S79+S178+S147+S211</f>
        <v>0</v>
      </c>
      <c r="T13" s="434" t="str">
        <f>IF(S$11=0,"N.D.",S13/S$11)</f>
        <v>N.D.</v>
      </c>
      <c r="U13" s="314">
        <f>+U46+U115+U79+U178+U147+U211</f>
        <v>0</v>
      </c>
      <c r="V13" s="434" t="str">
        <f>IF(U$11=0,"N.D.",U13/U$11)</f>
        <v>N.D.</v>
      </c>
      <c r="W13" s="314">
        <f>+W46+W115+W79+W178+W147+W211</f>
        <v>0</v>
      </c>
      <c r="X13" s="434" t="str">
        <f>IF(W$11=0,"N.D.",W13/W$11)</f>
        <v>N.D.</v>
      </c>
      <c r="Y13" s="314">
        <f>+Y46+Y115+Y79+Y178+Y147+Y211</f>
        <v>0</v>
      </c>
      <c r="Z13" s="434" t="str">
        <f>IF(Y$11=0,"N.D.",Y13/Y$11)</f>
        <v>N.D.</v>
      </c>
      <c r="AA13" s="314"/>
      <c r="AB13" s="150">
        <f>IF(AA$11=0,"N.D.",AA13/AA$11)</f>
        <v>0</v>
      </c>
    </row>
    <row r="14" spans="1:28" ht="13" x14ac:dyDescent="0.3">
      <c r="B14" s="9" t="s">
        <v>40</v>
      </c>
      <c r="C14" s="381">
        <f>+C11-C12-C13</f>
        <v>2141.5619999999999</v>
      </c>
      <c r="D14" s="411">
        <f>IF(C$11=0,"N.D.",C14/C$11)</f>
        <v>0.64733963656324744</v>
      </c>
      <c r="E14" s="381">
        <f>+E11-E12-E13</f>
        <v>2069.59</v>
      </c>
      <c r="F14" s="411">
        <f>IF(E$11=0,"N.D.",E14/E$11)</f>
        <v>0.64778515314076845</v>
      </c>
      <c r="G14" s="381">
        <f>+G47+G116+G80+G179+G148+G212</f>
        <v>2444.1329999999998</v>
      </c>
      <c r="H14" s="411">
        <f>IF(G$11=0,"N.D.",G14/G$11)</f>
        <v>0.64546203350145936</v>
      </c>
      <c r="I14" s="381">
        <f>+I47+I116+I80+I179+I148+I212</f>
        <v>2234.6439999999998</v>
      </c>
      <c r="J14" s="411">
        <f>IF(I$11=0,"N.D.",I14/I$11)</f>
        <v>0.64650297554469682</v>
      </c>
      <c r="K14" s="381">
        <f>+K47+K116+K80+K179+K148+K212</f>
        <v>1175.2929999999999</v>
      </c>
      <c r="L14" s="411">
        <f>IF(K$11=0,"N.D.",K14/K$11)</f>
        <v>0.67190430809108403</v>
      </c>
      <c r="M14" s="381">
        <f>+M47+M116+M80+M179+M148+M212</f>
        <v>1144.69</v>
      </c>
      <c r="N14" s="411">
        <f>IF(M$11=0,"N.D.",M14/M$11)</f>
        <v>0.67248074539270009</v>
      </c>
      <c r="O14" s="381">
        <f>+O47+O116+O80+O179+O148+O212</f>
        <v>1144.69</v>
      </c>
      <c r="P14" s="411">
        <f>IF(O$11=0,"N.D.",O14/O$11)</f>
        <v>0.67248074539270009</v>
      </c>
      <c r="Q14" s="381">
        <f>+Q47+Q116+Q80+Q179+Q148+Q212</f>
        <v>0</v>
      </c>
      <c r="R14" s="411" t="str">
        <f>IF(Q$11=0,"N.D.",Q14/Q$11)</f>
        <v>N.D.</v>
      </c>
      <c r="S14" s="381">
        <f>+S47+S116+S80+S179+S148+S212</f>
        <v>0</v>
      </c>
      <c r="T14" s="411" t="str">
        <f>IF(S$11=0,"N.D.",S14/S$11)</f>
        <v>N.D.</v>
      </c>
      <c r="U14" s="381">
        <f>+U47+U116+U80+U179+U148+U212</f>
        <v>0</v>
      </c>
      <c r="V14" s="411" t="str">
        <f>IF(U$11=0,"N.D.",U14/U$11)</f>
        <v>N.D.</v>
      </c>
      <c r="W14" s="381">
        <f>+W47+W116+W80+W179+W148+W212</f>
        <v>0</v>
      </c>
      <c r="X14" s="411" t="str">
        <f>IF(W$11=0,"N.D.",W14/W$11)</f>
        <v>N.D.</v>
      </c>
      <c r="Y14" s="381">
        <f>+Y47+Y116+Y80+Y179+Y148+Y212</f>
        <v>0</v>
      </c>
      <c r="Z14" s="411" t="str">
        <f>IF(Y$11=0,"N.D.",Y14/Y$11)</f>
        <v>N.D.</v>
      </c>
      <c r="AA14" s="381">
        <f>+AA47+AA80+AA116+AA148+AA212+AA179</f>
        <v>12354.602000000001</v>
      </c>
      <c r="AB14" s="151">
        <f>IF(AA$11=0,"N.D.",AA14/AA$11)</f>
        <v>0.65368783350132409</v>
      </c>
    </row>
    <row r="15" spans="1:28" x14ac:dyDescent="0.25">
      <c r="B15" s="9"/>
      <c r="C15" s="419"/>
      <c r="D15" s="435"/>
      <c r="E15" s="419"/>
      <c r="F15" s="435"/>
      <c r="G15" s="419"/>
      <c r="H15" s="435"/>
      <c r="I15" s="419"/>
      <c r="J15" s="435"/>
      <c r="K15" s="419"/>
      <c r="L15" s="435"/>
      <c r="M15" s="419"/>
      <c r="N15" s="435"/>
      <c r="O15" s="419"/>
      <c r="P15" s="435"/>
      <c r="Q15" s="419"/>
      <c r="R15" s="435"/>
      <c r="S15" s="419"/>
      <c r="T15" s="435"/>
      <c r="U15" s="419"/>
      <c r="V15" s="435"/>
      <c r="W15" s="419"/>
      <c r="X15" s="435"/>
      <c r="Y15" s="419"/>
      <c r="Z15" s="435"/>
      <c r="AA15" s="419"/>
      <c r="AB15" s="152"/>
    </row>
    <row r="16" spans="1:28" x14ac:dyDescent="0.25">
      <c r="B16" s="9" t="s">
        <v>41</v>
      </c>
      <c r="C16" s="418">
        <f>+C49+C118+C82+C181+C150+C214</f>
        <v>1955.1019999999999</v>
      </c>
      <c r="D16" s="433">
        <f>IF(C$11=0,"N.D.",C16/C$11)</f>
        <v>0.59097752860952812</v>
      </c>
      <c r="E16" s="418">
        <f>+E49+E118+E82+E181+E150+E214</f>
        <v>1883.5750000000003</v>
      </c>
      <c r="F16" s="433">
        <f>IF(E$11=0,"N.D.",E16/E$11)</f>
        <v>0.58956214507565419</v>
      </c>
      <c r="G16" s="418">
        <f>+G49+G118+G82+G181+G150+G214</f>
        <v>2054.8359999999998</v>
      </c>
      <c r="H16" s="433">
        <f>IF(G$11=0,"N.D.",G16/G$11)</f>
        <v>0.54265403031340964</v>
      </c>
      <c r="I16" s="418">
        <f>+I49+I118+I82+I181+I150+I214</f>
        <v>1958.3890000000001</v>
      </c>
      <c r="J16" s="433">
        <f>IF(I$11=0,"N.D.",I16/I$11)</f>
        <v>0.56657987391906872</v>
      </c>
      <c r="K16" s="418">
        <f>+K49+K118+K82+K181+K150+K214</f>
        <v>1012.1490000000001</v>
      </c>
      <c r="L16" s="433">
        <f>IF(K$11=0,"N.D.",K16/K$11)</f>
        <v>0.57863636857369416</v>
      </c>
      <c r="M16" s="418">
        <f>+M49+M118+M82+M181+M150+M214</f>
        <v>988.02100000000007</v>
      </c>
      <c r="N16" s="433">
        <f>IF(M$11=0,"N.D.",M16/M$11)</f>
        <v>0.58044107884548735</v>
      </c>
      <c r="O16" s="418">
        <f>+O49+O118+O82+O181+O150+O214</f>
        <v>988.37456999999995</v>
      </c>
      <c r="P16" s="433">
        <f>IF(O$11=0,"N.D.",O16/O$11)</f>
        <v>0.58064879361293398</v>
      </c>
      <c r="Q16" s="418">
        <f>+Q49+Q118+Q82+Q181+Q150+Q214</f>
        <v>0</v>
      </c>
      <c r="R16" s="433" t="str">
        <f>IF(Q$11=0,"N.D.",Q16/Q$11)</f>
        <v>N.D.</v>
      </c>
      <c r="S16" s="418">
        <f>+S49+S118+S82+S181+S150+S214</f>
        <v>0</v>
      </c>
      <c r="T16" s="433" t="str">
        <f>IF(S$11=0,"N.D.",S16/S$11)</f>
        <v>N.D.</v>
      </c>
      <c r="U16" s="418">
        <f>+U49+U118+U82+U181+U150+U214</f>
        <v>0</v>
      </c>
      <c r="V16" s="433" t="str">
        <f>IF(U$11=0,"N.D.",U16/U$11)</f>
        <v>N.D.</v>
      </c>
      <c r="W16" s="418">
        <f>+W49+W118+W82+W181+W150+W214</f>
        <v>0</v>
      </c>
      <c r="X16" s="433" t="str">
        <f>IF(W$11=0,"N.D.",W16/W$11)</f>
        <v>N.D.</v>
      </c>
      <c r="Y16" s="418">
        <f>+Y49+Y118+Y82+Y181+Y150+Y214</f>
        <v>0</v>
      </c>
      <c r="Z16" s="433" t="str">
        <f>IF(Y$11=0,"N.D.",Y16/Y$11)</f>
        <v>N.D.</v>
      </c>
      <c r="AA16" s="418">
        <f>+AA49+AA82+AA118+AA150+AA214+AA181</f>
        <v>10840.44657</v>
      </c>
      <c r="AB16" s="149">
        <f>IF(AA$11=0,"N.D.",AA16/AA$11)</f>
        <v>0.57357315375518847</v>
      </c>
    </row>
    <row r="17" spans="2:28" x14ac:dyDescent="0.25">
      <c r="B17" s="9" t="s">
        <v>42</v>
      </c>
      <c r="C17" s="314">
        <f>+C50+C119+C83+C182+C151+C215</f>
        <v>205.85400000000004</v>
      </c>
      <c r="D17" s="434">
        <f>IF(C$11=0,"N.D.",C17/C$11)</f>
        <v>6.2224420093880441E-2</v>
      </c>
      <c r="E17" s="314">
        <f>+E50+E119+E83+E182+E151+E215</f>
        <v>178.87</v>
      </c>
      <c r="F17" s="434">
        <f>IF(E$11=0,"N.D.",E17/E$11)</f>
        <v>5.5986611040007565E-2</v>
      </c>
      <c r="G17" s="314">
        <f>+G50+G119+G83+G182+G151+G215</f>
        <v>178.084</v>
      </c>
      <c r="H17" s="434">
        <f>IF(G$11=0,"N.D.",G17/G$11)</f>
        <v>4.7029544126311419E-2</v>
      </c>
      <c r="I17" s="314">
        <f>+I50+I119+I83+I182+I151+I215</f>
        <v>174.696</v>
      </c>
      <c r="J17" s="434">
        <f>IF(I$11=0,"N.D.",I17/I$11)</f>
        <v>5.05411527812736E-2</v>
      </c>
      <c r="K17" s="314">
        <f>+K50+K119+K83+K182+K151+K215</f>
        <v>99.411000000000001</v>
      </c>
      <c r="L17" s="434">
        <f>IF(K$11=0,"N.D.",K17/K$11)</f>
        <v>5.6832363650292109E-2</v>
      </c>
      <c r="M17" s="314">
        <f>+M50+M119+M83+M182+M151+M215</f>
        <v>87.274000000000001</v>
      </c>
      <c r="N17" s="434">
        <f>IF(M$11=0,"N.D.",M17/M$11)</f>
        <v>5.127159717775337E-2</v>
      </c>
      <c r="O17" s="314">
        <f>+O50+O119+O83+O182+O151+O215</f>
        <v>81.876139999999992</v>
      </c>
      <c r="P17" s="434">
        <f>IF(O$11=0,"N.D.",O17/O$11)</f>
        <v>4.8100470570265362E-2</v>
      </c>
      <c r="Q17" s="314">
        <f>+Q50+Q119+Q83+Q182+Q151+Q215</f>
        <v>0</v>
      </c>
      <c r="R17" s="434" t="str">
        <f>IF(Q$11=0,"N.D.",Q17/Q$11)</f>
        <v>N.D.</v>
      </c>
      <c r="S17" s="314">
        <f>+S50+S119+S83+S182+S151+S215</f>
        <v>0</v>
      </c>
      <c r="T17" s="434" t="str">
        <f>IF(S$11=0,"N.D.",S17/S$11)</f>
        <v>N.D.</v>
      </c>
      <c r="U17" s="314">
        <f>+U50+U119+U83+U182+U151+U215</f>
        <v>0</v>
      </c>
      <c r="V17" s="434" t="str">
        <f>IF(U$11=0,"N.D.",U17/U$11)</f>
        <v>N.D.</v>
      </c>
      <c r="W17" s="314">
        <f>+W50+W119+W83+W182+W151+W215</f>
        <v>0</v>
      </c>
      <c r="X17" s="434" t="str">
        <f>IF(W$11=0,"N.D.",W17/W$11)</f>
        <v>N.D.</v>
      </c>
      <c r="Y17" s="314">
        <f>+Y50+Y119+Y83+Y182+Y151+Y215</f>
        <v>0</v>
      </c>
      <c r="Z17" s="434" t="str">
        <f>IF(Y$11=0,"N.D.",Y17/Y$11)</f>
        <v>N.D.</v>
      </c>
      <c r="AA17" s="314">
        <f>+AA50+AA83+AA119+AA151+AA215+AA182</f>
        <v>1006.0651399999999</v>
      </c>
      <c r="AB17" s="150">
        <f>IF(AA$11=0,"N.D.",AA17/AA$11)</f>
        <v>5.3231382259647554E-2</v>
      </c>
    </row>
    <row r="18" spans="2:28" x14ac:dyDescent="0.25">
      <c r="B18" s="9" t="s">
        <v>43</v>
      </c>
      <c r="C18" s="314">
        <f>+C51+C120+C84+C183+C152+C216</f>
        <v>62.211000000000006</v>
      </c>
      <c r="D18" s="434">
        <f>IF(C$11=0,"N.D.",C18/C$11)</f>
        <v>1.8804800482188324E-2</v>
      </c>
      <c r="E18" s="314">
        <f>+E51+E120+E84+E183+E152+E216</f>
        <v>62.211000000000006</v>
      </c>
      <c r="F18" s="434">
        <f>IF(E$11=0,"N.D.",E18/E$11)</f>
        <v>1.9472147701738194E-2</v>
      </c>
      <c r="G18" s="314">
        <f>+G51+G120+G84+G183+G152+G216</f>
        <v>62.211000000000006</v>
      </c>
      <c r="H18" s="434">
        <f>IF(G$11=0,"N.D.",G18/G$11)</f>
        <v>1.6429072626636641E-2</v>
      </c>
      <c r="I18" s="314">
        <f>+I51+I120+I84+I183+I152+I216</f>
        <v>62.211000000000006</v>
      </c>
      <c r="J18" s="434">
        <f>IF(I$11=0,"N.D.",I18/I$11)</f>
        <v>1.7998212069399482E-2</v>
      </c>
      <c r="K18" s="314">
        <f>+K51+K120+K84+K183+K152+K216</f>
        <v>47.904000000000003</v>
      </c>
      <c r="L18" s="434">
        <f>IF(K$11=0,"N.D.",K18/K$11)</f>
        <v>2.7386280676218865E-2</v>
      </c>
      <c r="M18" s="314">
        <f>+M51+M120+M84+M183+M152+M216</f>
        <v>47.904000000000003</v>
      </c>
      <c r="N18" s="434">
        <f>IF(M$11=0,"N.D.",M18/M$11)</f>
        <v>2.8142569278400184E-2</v>
      </c>
      <c r="O18" s="314">
        <f>+O51+O120+O84+O183+O152+O216</f>
        <v>47.904000000000003</v>
      </c>
      <c r="P18" s="434">
        <f>IF(O$11=0,"N.D.",O18/O$11)</f>
        <v>2.8142569278400184E-2</v>
      </c>
      <c r="Q18" s="314">
        <f>+Q51+Q120+Q84+Q183+Q152+Q216</f>
        <v>0</v>
      </c>
      <c r="R18" s="434" t="str">
        <f>IF(Q$11=0,"N.D.",Q18/Q$11)</f>
        <v>N.D.</v>
      </c>
      <c r="S18" s="314">
        <f>+S51+S120+S84+S183+S152+S216</f>
        <v>0</v>
      </c>
      <c r="T18" s="434" t="str">
        <f>IF(S$11=0,"N.D.",S18/S$11)</f>
        <v>N.D.</v>
      </c>
      <c r="U18" s="314">
        <f>+U51+U120+U84+U183+U152+U216</f>
        <v>0</v>
      </c>
      <c r="V18" s="434" t="str">
        <f>IF(U$11=0,"N.D.",U18/U$11)</f>
        <v>N.D.</v>
      </c>
      <c r="W18" s="314">
        <f>+W51+W120+W84+W183+W152+W216</f>
        <v>0</v>
      </c>
      <c r="X18" s="434" t="str">
        <f>IF(W$11=0,"N.D.",W18/W$11)</f>
        <v>N.D.</v>
      </c>
      <c r="Y18" s="314">
        <f>+Y51+Y120+Y84+Y183+Y152+Y216</f>
        <v>0</v>
      </c>
      <c r="Z18" s="434" t="str">
        <f>IF(Y$11=0,"N.D.",Y18/Y$11)</f>
        <v>N.D.</v>
      </c>
      <c r="AA18" s="314">
        <f>+AA51+AA84+AA120+AA152+AA216+AA183</f>
        <v>392.55600000000004</v>
      </c>
      <c r="AB18" s="150">
        <f>IF(AA$11=0,"N.D.",AA18/AA$11)</f>
        <v>2.0770323573996618E-2</v>
      </c>
    </row>
    <row r="19" spans="2:28" ht="13" x14ac:dyDescent="0.3">
      <c r="B19" s="102" t="s">
        <v>44</v>
      </c>
      <c r="C19" s="381">
        <f>SUM(C16:C18)</f>
        <v>2223.1669999999999</v>
      </c>
      <c r="D19" s="411">
        <f>IF(C$11=0,"N.D.",C19/C$11)</f>
        <v>0.67200674918559689</v>
      </c>
      <c r="E19" s="381">
        <f>SUM(E16:E18)</f>
        <v>2124.6559999999999</v>
      </c>
      <c r="F19" s="411">
        <f>IF(E$11=0,"N.D.",E19/E$11)</f>
        <v>0.66502090381739976</v>
      </c>
      <c r="G19" s="381">
        <f>+G52+G121+G85+G184+G153+G217</f>
        <v>2295.1310000000003</v>
      </c>
      <c r="H19" s="411">
        <f>IF(G$11=0,"N.D.",G19/G$11)</f>
        <v>0.60611264706635781</v>
      </c>
      <c r="I19" s="381">
        <f>+I52+I121+I85+I184+I153+I217</f>
        <v>2195.2960000000003</v>
      </c>
      <c r="J19" s="411">
        <f>IF(I$11=0,"N.D.",I19/I$11)</f>
        <v>0.63511923876974186</v>
      </c>
      <c r="K19" s="381">
        <f>+K52+K121+K85+K184+K153+K217</f>
        <v>1159.4639999999999</v>
      </c>
      <c r="L19" s="411">
        <f>IF(K$11=0,"N.D.",K19/K$11)</f>
        <v>0.6628550129002051</v>
      </c>
      <c r="M19" s="381">
        <f>+M52+M121+M85+M184+M153+M217</f>
        <v>1123.1990000000001</v>
      </c>
      <c r="N19" s="411">
        <f>IF(M$11=0,"N.D.",M19/M$11)</f>
        <v>0.65985524530164097</v>
      </c>
      <c r="O19" s="381">
        <f>+O52+O121+O85+O184+O153+O217</f>
        <v>1118.15471</v>
      </c>
      <c r="P19" s="411">
        <f>IF(O$11=0,"N.D.",O19/O$11)</f>
        <v>0.65689183346159952</v>
      </c>
      <c r="Q19" s="381">
        <f>+Q52+Q121+Q85+Q184+Q153+Q217</f>
        <v>0</v>
      </c>
      <c r="R19" s="411" t="str">
        <f>IF(Q$11=0,"N.D.",Q19/Q$11)</f>
        <v>N.D.</v>
      </c>
      <c r="S19" s="381">
        <f>+S52+S121+S85+S184+S153+S217</f>
        <v>0</v>
      </c>
      <c r="T19" s="411" t="str">
        <f>IF(S$11=0,"N.D.",S19/S$11)</f>
        <v>N.D.</v>
      </c>
      <c r="U19" s="381">
        <f>+U52+U121+U85+U184+U153+U217</f>
        <v>0</v>
      </c>
      <c r="V19" s="411" t="str">
        <f>IF(U$11=0,"N.D.",U19/U$11)</f>
        <v>N.D.</v>
      </c>
      <c r="W19" s="381">
        <f>+W52+W121+W85+W184+W153+W217</f>
        <v>0</v>
      </c>
      <c r="X19" s="411" t="str">
        <f>IF(W$11=0,"N.D.",W19/W$11)</f>
        <v>N.D.</v>
      </c>
      <c r="Y19" s="381">
        <f>+Y52+Y121+Y85+Y184+Y153+Y217</f>
        <v>0</v>
      </c>
      <c r="Z19" s="411" t="str">
        <f>IF(Y$11=0,"N.D.",Y19/Y$11)</f>
        <v>N.D.</v>
      </c>
      <c r="AA19" s="381">
        <f>+AA52+AA85+AA121+AA153+AA217+AA184</f>
        <v>12239.067710000001</v>
      </c>
      <c r="AB19" s="151">
        <f>IF(AA$11=0,"N.D.",AA19/AA$11)</f>
        <v>0.64757485958883265</v>
      </c>
    </row>
    <row r="20" spans="2:28" ht="13" x14ac:dyDescent="0.3">
      <c r="B20" s="9" t="s">
        <v>45</v>
      </c>
      <c r="C20" s="381">
        <f>+C14-C19</f>
        <v>-81.605000000000018</v>
      </c>
      <c r="D20" s="411">
        <f>IF(C$11=0,"N.D.",C20/C$11)</f>
        <v>-2.4667112622349399E-2</v>
      </c>
      <c r="E20" s="381">
        <f>+E14-E19</f>
        <v>-55.065999999999804</v>
      </c>
      <c r="F20" s="411">
        <f>IF(E$11=0,"N.D.",E20/E$11)</f>
        <v>-1.7235750676631325E-2</v>
      </c>
      <c r="G20" s="381">
        <f>+G53+G122+G86+G185+G154+G218</f>
        <v>149.00200000000012</v>
      </c>
      <c r="H20" s="411">
        <f>IF(G$11=0,"N.D.",G20/G$11)</f>
        <v>3.9349386435101746E-2</v>
      </c>
      <c r="I20" s="381">
        <f>+I53+I122+I86+I185+I154+I218</f>
        <v>39.347999999999843</v>
      </c>
      <c r="J20" s="411">
        <f>IF(I$11=0,"N.D.",I20/I$11)</f>
        <v>1.138373677495504E-2</v>
      </c>
      <c r="K20" s="381">
        <f>+K53+K122+K86+K185+K154+K218</f>
        <v>15.828999999999965</v>
      </c>
      <c r="L20" s="411">
        <f>IF(K$11=0,"N.D.",K20/K$11)</f>
        <v>9.0492951908789955E-3</v>
      </c>
      <c r="M20" s="381">
        <f>+M53+M122+M86+M185+M154+M218</f>
        <v>21.49099999999995</v>
      </c>
      <c r="N20" s="411">
        <f>IF(M$11=0,"N.D.",M20/M$11)</f>
        <v>1.2625500091059137E-2</v>
      </c>
      <c r="O20" s="381">
        <f>+O53+O122+O86+O185+O154+O218</f>
        <v>26.535289999999961</v>
      </c>
      <c r="P20" s="411">
        <f>IF(O$11=0,"N.D.",O20/O$11)</f>
        <v>1.5588911931100503E-2</v>
      </c>
      <c r="Q20" s="381">
        <f>+Q53+Q122+Q86+Q185+Q154+Q218</f>
        <v>0</v>
      </c>
      <c r="R20" s="411" t="str">
        <f>IF(Q$11=0,"N.D.",Q20/Q$11)</f>
        <v>N.D.</v>
      </c>
      <c r="S20" s="381">
        <f>+S53+S122+S86+S185+S154+S218</f>
        <v>0</v>
      </c>
      <c r="T20" s="411" t="str">
        <f>IF(S$11=0,"N.D.",S20/S$11)</f>
        <v>N.D.</v>
      </c>
      <c r="U20" s="381">
        <f>+U53+U122+U86+U185+U154+U218</f>
        <v>0</v>
      </c>
      <c r="V20" s="411" t="str">
        <f>IF(U$11=0,"N.D.",U20/U$11)</f>
        <v>N.D.</v>
      </c>
      <c r="W20" s="381">
        <f>+W53+W122+W86+W185+W154+W218</f>
        <v>0</v>
      </c>
      <c r="X20" s="411" t="str">
        <f>IF(W$11=0,"N.D.",W20/W$11)</f>
        <v>N.D.</v>
      </c>
      <c r="Y20" s="381">
        <f>+Y53+Y122+Y86+Y185+Y154+Y218</f>
        <v>0</v>
      </c>
      <c r="Z20" s="411" t="str">
        <f>IF(Y$11=0,"N.D.",Y20/Y$11)</f>
        <v>N.D.</v>
      </c>
      <c r="AA20" s="381">
        <f>+AA53+AA86+AA122+AA154+AA218+AA185</f>
        <v>115.53429000000003</v>
      </c>
      <c r="AB20" s="151">
        <f>IF(AA$11=0,"N.D.",AA20/AA$11)</f>
        <v>6.1129739124913696E-3</v>
      </c>
    </row>
    <row r="21" spans="2:28" x14ac:dyDescent="0.25">
      <c r="C21" s="419"/>
      <c r="D21" s="436"/>
      <c r="E21" s="419"/>
      <c r="F21" s="436"/>
      <c r="G21" s="419"/>
      <c r="H21" s="436"/>
      <c r="I21" s="419"/>
      <c r="J21" s="436"/>
      <c r="K21" s="419"/>
      <c r="L21" s="436"/>
      <c r="M21" s="419"/>
      <c r="N21" s="436"/>
      <c r="O21" s="419"/>
      <c r="P21" s="436"/>
      <c r="Q21" s="419"/>
      <c r="R21" s="436"/>
      <c r="S21" s="419"/>
      <c r="T21" s="436"/>
      <c r="U21" s="419"/>
      <c r="V21" s="436"/>
      <c r="W21" s="419"/>
      <c r="X21" s="436"/>
      <c r="Y21" s="419"/>
      <c r="Z21" s="436"/>
      <c r="AA21" s="437"/>
      <c r="AB21" s="153"/>
    </row>
    <row r="22" spans="2:28" x14ac:dyDescent="0.25">
      <c r="B22" s="9"/>
      <c r="C22" s="418">
        <f>+C55+C124+C88+C187+C156+C220</f>
        <v>0</v>
      </c>
      <c r="D22" s="433">
        <f t="shared" ref="D22:D28" si="0">IF(C$11=0,"N.D.",C22/C$11)</f>
        <v>0</v>
      </c>
      <c r="E22" s="418">
        <f>+E55+E124+E88+E187+E156+E220</f>
        <v>0</v>
      </c>
      <c r="F22" s="433">
        <f t="shared" ref="F22:F28" si="1">IF(E$11=0,"N.D.",E22/E$11)</f>
        <v>0</v>
      </c>
      <c r="G22" s="418">
        <f>+G55+G124+G88+G187+G156+G220</f>
        <v>0</v>
      </c>
      <c r="H22" s="433">
        <f t="shared" ref="H22:H28" si="2">IF(G$11=0,"N.D.",G22/G$11)</f>
        <v>0</v>
      </c>
      <c r="I22" s="418">
        <f>+I55+I124+I88+I187+I156+I220</f>
        <v>0</v>
      </c>
      <c r="J22" s="433">
        <f t="shared" ref="J22:J28" si="3">IF(I$11=0,"N.D.",I22/I$11)</f>
        <v>0</v>
      </c>
      <c r="K22" s="418">
        <f>+K55+K124+K88+K187+K156+K220</f>
        <v>0</v>
      </c>
      <c r="L22" s="433">
        <f t="shared" ref="L22:L28" si="4">IF(K$11=0,"N.D.",K22/K$11)</f>
        <v>0</v>
      </c>
      <c r="M22" s="418">
        <f>+M55+M124+M88+M187+M156+M220</f>
        <v>0</v>
      </c>
      <c r="N22" s="433">
        <f t="shared" ref="N22:N28" si="5">IF(M$11=0,"N.D.",M22/M$11)</f>
        <v>0</v>
      </c>
      <c r="O22" s="418">
        <f>+O55+O124+O88+O187+O156+O220</f>
        <v>0</v>
      </c>
      <c r="P22" s="433">
        <f t="shared" ref="P22:P28" si="6">IF(O$11=0,"N.D.",O22/O$11)</f>
        <v>0</v>
      </c>
      <c r="Q22" s="418">
        <f>+Q55+Q124+Q88+Q187+Q156+Q220</f>
        <v>0</v>
      </c>
      <c r="R22" s="433" t="str">
        <f t="shared" ref="R22:R28" si="7">IF(Q$11=0,"N.D.",Q22/Q$11)</f>
        <v>N.D.</v>
      </c>
      <c r="S22" s="418">
        <f>+S55+S124+S88+S187+S156+S220</f>
        <v>0</v>
      </c>
      <c r="T22" s="433" t="str">
        <f t="shared" ref="T22:T28" si="8">IF(S$11=0,"N.D.",S22/S$11)</f>
        <v>N.D.</v>
      </c>
      <c r="U22" s="418">
        <f>+U55+U124+U88+U187+U156+U220</f>
        <v>0</v>
      </c>
      <c r="V22" s="433" t="str">
        <f t="shared" ref="V22:V28" si="9">IF(U$11=0,"N.D.",U22/U$11)</f>
        <v>N.D.</v>
      </c>
      <c r="W22" s="418">
        <f>+W55+W124+W88+W187+W156+W220</f>
        <v>0</v>
      </c>
      <c r="X22" s="433" t="str">
        <f t="shared" ref="X22:X28" si="10">IF(W$11=0,"N.D.",W22/W$11)</f>
        <v>N.D.</v>
      </c>
      <c r="Y22" s="418">
        <f>+Y55+Y124+Y88+Y187+Y156+Y220</f>
        <v>0</v>
      </c>
      <c r="Z22" s="433" t="str">
        <f t="shared" ref="Z22:Z28" si="11">IF(Y$11=0,"N.D.",Y22/Y$11)</f>
        <v>N.D.</v>
      </c>
      <c r="AA22" s="418">
        <f>+AA55+AA88+AA124+AA156+AA220+AA187</f>
        <v>0</v>
      </c>
      <c r="AB22" s="149">
        <f t="shared" ref="AB22:AB28" si="12">IF(AA$11=0,"N.D.",AA22/AA$11)</f>
        <v>0</v>
      </c>
    </row>
    <row r="23" spans="2:28" x14ac:dyDescent="0.25">
      <c r="B23" s="9" t="s">
        <v>52</v>
      </c>
      <c r="C23" s="314">
        <f>+C56+C125+C89+C188+C157+C221</f>
        <v>-31.515000000000001</v>
      </c>
      <c r="D23" s="434">
        <f t="shared" si="0"/>
        <v>-9.5261816591304602E-3</v>
      </c>
      <c r="E23" s="314">
        <f>+E56+E125+E89+E188+E157+E221</f>
        <v>-58.823999999999998</v>
      </c>
      <c r="F23" s="434">
        <f t="shared" si="1"/>
        <v>-1.8412011001383153E-2</v>
      </c>
      <c r="G23" s="314">
        <f>+G56+G125+G89+G188+G157+G221</f>
        <v>-58.823999999999998</v>
      </c>
      <c r="H23" s="434">
        <f t="shared" si="2"/>
        <v>-1.5534612338481519E-2</v>
      </c>
      <c r="I23" s="314">
        <f>+I56+I125+I89+I188+I157+I221</f>
        <v>-58.823999999999998</v>
      </c>
      <c r="J23" s="434">
        <f t="shared" si="3"/>
        <v>-1.701832194901794E-2</v>
      </c>
      <c r="K23" s="314">
        <f>+K56+K125+K89+K188+K157+K221</f>
        <v>-14.980000000000002</v>
      </c>
      <c r="L23" s="434">
        <f t="shared" si="4"/>
        <v>-8.5639296202771921E-3</v>
      </c>
      <c r="M23" s="314">
        <f>+M56+M125+M89+M188+M157+M221</f>
        <v>-11.723000000000001</v>
      </c>
      <c r="N23" s="434">
        <f t="shared" si="5"/>
        <v>-6.8870102632491098E-3</v>
      </c>
      <c r="O23" s="314">
        <f>+O56+O125+O89+O188+O157+O221</f>
        <v>-41.723139999999994</v>
      </c>
      <c r="P23" s="434">
        <f t="shared" si="6"/>
        <v>-2.4511447018252957E-2</v>
      </c>
      <c r="Q23" s="314">
        <f>+Q56+Q125+Q89+Q188+Q157+Q221</f>
        <v>0</v>
      </c>
      <c r="R23" s="434" t="str">
        <f t="shared" si="7"/>
        <v>N.D.</v>
      </c>
      <c r="S23" s="314">
        <f>+S56+S125+S89+S188+S157+S221</f>
        <v>0</v>
      </c>
      <c r="T23" s="434" t="str">
        <f t="shared" si="8"/>
        <v>N.D.</v>
      </c>
      <c r="U23" s="314">
        <f>+U56+U125+U89+U188+U157+U221</f>
        <v>0</v>
      </c>
      <c r="V23" s="434" t="str">
        <f t="shared" si="9"/>
        <v>N.D.</v>
      </c>
      <c r="W23" s="314">
        <f>+W56+W125+W89+W188+W157+W221</f>
        <v>0</v>
      </c>
      <c r="X23" s="434" t="str">
        <f t="shared" si="10"/>
        <v>N.D.</v>
      </c>
      <c r="Y23" s="314">
        <f>+Y56+Y125+Y89+Y188+Y157+Y221</f>
        <v>0</v>
      </c>
      <c r="Z23" s="434" t="str">
        <f t="shared" si="11"/>
        <v>N.D.</v>
      </c>
      <c r="AA23" s="314">
        <f>+AA56+AA89+AA125+AA157+AA221+AA188</f>
        <v>-276.41314</v>
      </c>
      <c r="AB23" s="150">
        <f t="shared" si="12"/>
        <v>-1.4625149935052394E-2</v>
      </c>
    </row>
    <row r="24" spans="2:28" x14ac:dyDescent="0.25">
      <c r="B24" s="9" t="s">
        <v>46</v>
      </c>
      <c r="C24" s="314">
        <f>+C57+C126+C90+C189+C158+C222</f>
        <v>80.076999999999998</v>
      </c>
      <c r="D24" s="434">
        <f t="shared" si="0"/>
        <v>2.420523714796731E-2</v>
      </c>
      <c r="E24" s="314">
        <f>+E57+E126+E90+E189+E158+E222</f>
        <v>79.135999999999996</v>
      </c>
      <c r="F24" s="434">
        <f t="shared" si="1"/>
        <v>2.4769701186683278E-2</v>
      </c>
      <c r="G24" s="314">
        <f>+G57+G126+G90+G189+G158+G222</f>
        <v>78.745999999999995</v>
      </c>
      <c r="H24" s="434">
        <f t="shared" si="2"/>
        <v>2.0795739548586729E-2</v>
      </c>
      <c r="I24" s="314">
        <f>+I57+I126+I90+I189+I158+I222</f>
        <v>78.35499999999999</v>
      </c>
      <c r="J24" s="434">
        <f t="shared" si="3"/>
        <v>2.2668819126807096E-2</v>
      </c>
      <c r="K24" s="314">
        <f>+K57+K126+K90+K189+K158+K222</f>
        <v>46.960999999999999</v>
      </c>
      <c r="L24" s="434">
        <f t="shared" si="4"/>
        <v>2.6847176161404349E-2</v>
      </c>
      <c r="M24" s="314">
        <f>+M57+M126+M90+M189+M158+M222</f>
        <v>46.708999999999996</v>
      </c>
      <c r="N24" s="434">
        <f t="shared" si="5"/>
        <v>2.7440532490497535E-2</v>
      </c>
      <c r="O24" s="314">
        <f>+O57+O126+O90+O189+O158+O222</f>
        <v>42.837999999999994</v>
      </c>
      <c r="P24" s="434">
        <f t="shared" si="6"/>
        <v>2.5166403280479852E-2</v>
      </c>
      <c r="Q24" s="314">
        <f>+Q57+Q126+Q90+Q189+Q158+Q222</f>
        <v>0</v>
      </c>
      <c r="R24" s="434" t="str">
        <f t="shared" si="7"/>
        <v>N.D.</v>
      </c>
      <c r="S24" s="314">
        <f>+S57+S126+S90+S189+S158+S222</f>
        <v>0</v>
      </c>
      <c r="T24" s="434" t="str">
        <f t="shared" si="8"/>
        <v>N.D.</v>
      </c>
      <c r="U24" s="314">
        <f>+U57+U126+U90+U189+U158+U222</f>
        <v>0</v>
      </c>
      <c r="V24" s="434" t="str">
        <f t="shared" si="9"/>
        <v>N.D.</v>
      </c>
      <c r="W24" s="314">
        <f>+W57+W126+W90+W189+W158+W222</f>
        <v>0</v>
      </c>
      <c r="X24" s="434" t="str">
        <f t="shared" si="10"/>
        <v>N.D.</v>
      </c>
      <c r="Y24" s="314">
        <f>+Y57+Y126+Y90+Y189+Y158+Y222</f>
        <v>0</v>
      </c>
      <c r="Z24" s="434" t="str">
        <f t="shared" si="11"/>
        <v>N.D.</v>
      </c>
      <c r="AA24" s="314">
        <f>+AA57+AA90+AA126+AA158+AA222+AA189</f>
        <v>452.82200000000006</v>
      </c>
      <c r="AB24" s="150">
        <f t="shared" si="12"/>
        <v>2.3959026129837011E-2</v>
      </c>
    </row>
    <row r="25" spans="2:28" x14ac:dyDescent="0.25">
      <c r="B25" s="9" t="s">
        <v>47</v>
      </c>
      <c r="C25" s="314">
        <f>+C58+C127+C91+C190+C159+C223</f>
        <v>0</v>
      </c>
      <c r="D25" s="434">
        <f t="shared" si="0"/>
        <v>0</v>
      </c>
      <c r="E25" s="314">
        <f>+E58+E127+E91+E190+E159+E223</f>
        <v>0</v>
      </c>
      <c r="F25" s="434">
        <f t="shared" si="1"/>
        <v>0</v>
      </c>
      <c r="G25" s="314">
        <f>+G58+G127+G91+G190+G159+G223</f>
        <v>0</v>
      </c>
      <c r="H25" s="434">
        <f t="shared" si="2"/>
        <v>0</v>
      </c>
      <c r="I25" s="314">
        <f>+I58+I127+I91+I190+I159+I223</f>
        <v>0</v>
      </c>
      <c r="J25" s="434">
        <f t="shared" si="3"/>
        <v>0</v>
      </c>
      <c r="K25" s="314">
        <f>+K58+K127+K91+K190+K159+K223</f>
        <v>0</v>
      </c>
      <c r="L25" s="434">
        <f t="shared" si="4"/>
        <v>0</v>
      </c>
      <c r="M25" s="314">
        <f>+M58+M127+M91+M190+M159+M223</f>
        <v>0</v>
      </c>
      <c r="N25" s="434">
        <f t="shared" si="5"/>
        <v>0</v>
      </c>
      <c r="O25" s="314">
        <f>+O58+O127+O91+O190+O159+O223</f>
        <v>0</v>
      </c>
      <c r="P25" s="434">
        <f t="shared" si="6"/>
        <v>0</v>
      </c>
      <c r="Q25" s="314">
        <f>+Q58+Q127+Q91+Q190+Q159+Q223</f>
        <v>0</v>
      </c>
      <c r="R25" s="434" t="str">
        <f t="shared" si="7"/>
        <v>N.D.</v>
      </c>
      <c r="S25" s="314">
        <f>+S58+S127+S91+S190+S159+S223</f>
        <v>0</v>
      </c>
      <c r="T25" s="434" t="str">
        <f t="shared" si="8"/>
        <v>N.D.</v>
      </c>
      <c r="U25" s="314">
        <f>+U58+U127+U91+U190+U159+U223</f>
        <v>0</v>
      </c>
      <c r="V25" s="434" t="str">
        <f t="shared" si="9"/>
        <v>N.D.</v>
      </c>
      <c r="W25" s="314">
        <f>+W58+W127+W91+W190+W159+W223</f>
        <v>0</v>
      </c>
      <c r="X25" s="434" t="str">
        <f t="shared" si="10"/>
        <v>N.D.</v>
      </c>
      <c r="Y25" s="314">
        <f>+Y58+Y127+Y91+Y190+Y159+Y223</f>
        <v>0</v>
      </c>
      <c r="Z25" s="434" t="str">
        <f t="shared" si="11"/>
        <v>N.D.</v>
      </c>
      <c r="AA25" s="314">
        <f>+AA58+AA91+AA127+AA159+AA223+AA190</f>
        <v>0</v>
      </c>
      <c r="AB25" s="150">
        <f t="shared" si="12"/>
        <v>0</v>
      </c>
    </row>
    <row r="26" spans="2:28" x14ac:dyDescent="0.25">
      <c r="C26" s="314">
        <f>+C59+C128+C92+C191+C160+C224</f>
        <v>0</v>
      </c>
      <c r="D26" s="434">
        <f t="shared" si="0"/>
        <v>0</v>
      </c>
      <c r="E26" s="314">
        <f>+E59+E128+E92+E191+E160+E224</f>
        <v>0</v>
      </c>
      <c r="F26" s="434">
        <f t="shared" si="1"/>
        <v>0</v>
      </c>
      <c r="G26" s="314">
        <f>+G59+G128+G92+G191+G160+G224</f>
        <v>0</v>
      </c>
      <c r="H26" s="434">
        <f t="shared" si="2"/>
        <v>0</v>
      </c>
      <c r="I26" s="314">
        <f>+I59+I128+I92+I191+I160+I224</f>
        <v>0</v>
      </c>
      <c r="J26" s="434">
        <f t="shared" si="3"/>
        <v>0</v>
      </c>
      <c r="K26" s="314">
        <f>+K59+K128+K92+K191+K160+K224</f>
        <v>0</v>
      </c>
      <c r="L26" s="434">
        <f t="shared" si="4"/>
        <v>0</v>
      </c>
      <c r="M26" s="314">
        <f>+M59+M128+M92+M191+M160+M224</f>
        <v>0</v>
      </c>
      <c r="N26" s="434">
        <f t="shared" si="5"/>
        <v>0</v>
      </c>
      <c r="O26" s="314">
        <f>+O59+O128+O92+O191+O160+O224</f>
        <v>0</v>
      </c>
      <c r="P26" s="434">
        <f t="shared" si="6"/>
        <v>0</v>
      </c>
      <c r="Q26" s="314">
        <f>+Q59+Q128+Q92+Q191+Q160+Q224</f>
        <v>0</v>
      </c>
      <c r="R26" s="434" t="str">
        <f t="shared" si="7"/>
        <v>N.D.</v>
      </c>
      <c r="S26" s="314">
        <f>+S59+S128+S92+S191+S160+S224</f>
        <v>0</v>
      </c>
      <c r="T26" s="434" t="str">
        <f t="shared" si="8"/>
        <v>N.D.</v>
      </c>
      <c r="U26" s="314">
        <f>+U59+U128+U92+U191+U160+U224</f>
        <v>0</v>
      </c>
      <c r="V26" s="434" t="str">
        <f t="shared" si="9"/>
        <v>N.D.</v>
      </c>
      <c r="W26" s="314">
        <f>+W59+W128+W92+W191+W160+W224</f>
        <v>0</v>
      </c>
      <c r="X26" s="434" t="str">
        <f t="shared" si="10"/>
        <v>N.D.</v>
      </c>
      <c r="Y26" s="314">
        <f>+Y59+Y128+Y92+Y191+Y160+Y224</f>
        <v>0</v>
      </c>
      <c r="Z26" s="434" t="str">
        <f t="shared" si="11"/>
        <v>N.D.</v>
      </c>
      <c r="AA26" s="314">
        <f>+AA59+AA92+AA128+AA160+AA224+AA191</f>
        <v>0</v>
      </c>
      <c r="AB26" s="150">
        <f t="shared" si="12"/>
        <v>0</v>
      </c>
    </row>
    <row r="27" spans="2:28" ht="13" x14ac:dyDescent="0.3">
      <c r="B27" s="9" t="s">
        <v>48</v>
      </c>
      <c r="C27" s="381">
        <f>+C23+C24-C25</f>
        <v>48.561999999999998</v>
      </c>
      <c r="D27" s="411">
        <f t="shared" si="0"/>
        <v>1.4679055488836851E-2</v>
      </c>
      <c r="E27" s="381">
        <f>+E23+E24-E25</f>
        <v>20.311999999999998</v>
      </c>
      <c r="F27" s="411">
        <f t="shared" si="1"/>
        <v>6.3576901853001251E-3</v>
      </c>
      <c r="G27" s="381">
        <f>+G23+G24-G25</f>
        <v>19.921999999999997</v>
      </c>
      <c r="H27" s="411">
        <f t="shared" si="2"/>
        <v>5.2611272101052084E-3</v>
      </c>
      <c r="I27" s="381">
        <f>+I23+I24-I25</f>
        <v>19.530999999999992</v>
      </c>
      <c r="J27" s="411">
        <f t="shared" si="3"/>
        <v>5.6504971777891549E-3</v>
      </c>
      <c r="K27" s="381">
        <f>+K23+K24-K25</f>
        <v>31.980999999999995</v>
      </c>
      <c r="L27" s="411">
        <f t="shared" si="4"/>
        <v>1.8283246541127156E-2</v>
      </c>
      <c r="M27" s="381">
        <f>+M23+M24-M25</f>
        <v>34.985999999999997</v>
      </c>
      <c r="N27" s="411">
        <f t="shared" si="5"/>
        <v>2.0553522227248426E-2</v>
      </c>
      <c r="O27" s="381">
        <f>+O23+O24-O25</f>
        <v>1.1148600000000002</v>
      </c>
      <c r="P27" s="411">
        <f t="shared" si="6"/>
        <v>6.5495626222689606E-4</v>
      </c>
      <c r="Q27" s="381">
        <f>+Q23+Q24-Q25</f>
        <v>0</v>
      </c>
      <c r="R27" s="411" t="str">
        <f t="shared" si="7"/>
        <v>N.D.</v>
      </c>
      <c r="S27" s="381">
        <f>+S23+S24-S25</f>
        <v>0</v>
      </c>
      <c r="T27" s="411" t="str">
        <f t="shared" si="8"/>
        <v>N.D.</v>
      </c>
      <c r="U27" s="381">
        <f>+U23+U24-U25</f>
        <v>0</v>
      </c>
      <c r="V27" s="411" t="str">
        <f t="shared" si="9"/>
        <v>N.D.</v>
      </c>
      <c r="W27" s="381">
        <f>+W23+W24-W25</f>
        <v>0</v>
      </c>
      <c r="X27" s="411" t="str">
        <f t="shared" si="10"/>
        <v>N.D.</v>
      </c>
      <c r="Y27" s="381">
        <f>+Y23+Y24-Y25</f>
        <v>0</v>
      </c>
      <c r="Z27" s="411" t="str">
        <f t="shared" si="11"/>
        <v>N.D.</v>
      </c>
      <c r="AA27" s="381">
        <f>+AA23+AA24-AA25</f>
        <v>176.40886000000006</v>
      </c>
      <c r="AB27" s="151">
        <f t="shared" si="12"/>
        <v>9.3338761947846169E-3</v>
      </c>
    </row>
    <row r="28" spans="2:28" ht="13" x14ac:dyDescent="0.3">
      <c r="B28" s="9" t="s">
        <v>49</v>
      </c>
      <c r="C28" s="381">
        <f>+C20-C27</f>
        <v>-130.16700000000003</v>
      </c>
      <c r="D28" s="411">
        <f t="shared" si="0"/>
        <v>-3.9346168111186255E-2</v>
      </c>
      <c r="E28" s="381">
        <f>+E20-E27</f>
        <v>-75.377999999999801</v>
      </c>
      <c r="F28" s="411">
        <f t="shared" si="1"/>
        <v>-2.359344086193145E-2</v>
      </c>
      <c r="G28" s="381">
        <f>+G61+G130+G94+G193+G162+G226</f>
        <v>129.08000000000013</v>
      </c>
      <c r="H28" s="411">
        <f t="shared" si="2"/>
        <v>3.4088259224996538E-2</v>
      </c>
      <c r="I28" s="381">
        <f>+I61+I130+I94+I193+I162+I226</f>
        <v>19.816999999999851</v>
      </c>
      <c r="J28" s="411">
        <f t="shared" si="3"/>
        <v>5.7332395971658847E-3</v>
      </c>
      <c r="K28" s="381">
        <f>+K61+K130+K94+K193+K162+K226</f>
        <v>-16.152000000000037</v>
      </c>
      <c r="L28" s="411">
        <f t="shared" si="4"/>
        <v>-9.2339513502481645E-3</v>
      </c>
      <c r="M28" s="381">
        <f>+M61+M130+M94+M193+M162+M226</f>
        <v>-13.495000000000054</v>
      </c>
      <c r="N28" s="411">
        <f t="shared" si="5"/>
        <v>-7.9280221361892941E-3</v>
      </c>
      <c r="O28" s="381">
        <f>+O61+O130+O94+O193+O162+O226</f>
        <v>25.420429999999961</v>
      </c>
      <c r="P28" s="411">
        <f t="shared" si="6"/>
        <v>1.4933955668873606E-2</v>
      </c>
      <c r="Q28" s="381">
        <f>+Q61+Q130+Q94+Q193+Q162+Q226</f>
        <v>0</v>
      </c>
      <c r="R28" s="411" t="str">
        <f t="shared" si="7"/>
        <v>N.D.</v>
      </c>
      <c r="S28" s="381">
        <f>+S61+S130+S94+S193+S162+S226</f>
        <v>0</v>
      </c>
      <c r="T28" s="411" t="str">
        <f t="shared" si="8"/>
        <v>N.D.</v>
      </c>
      <c r="U28" s="381">
        <f>+U61+U130+U94+U193+U162+U226</f>
        <v>0</v>
      </c>
      <c r="V28" s="411" t="str">
        <f t="shared" si="9"/>
        <v>N.D.</v>
      </c>
      <c r="W28" s="381">
        <f>+W61+W130+W94+W193+W162+W226</f>
        <v>0</v>
      </c>
      <c r="X28" s="411" t="str">
        <f t="shared" si="10"/>
        <v>N.D.</v>
      </c>
      <c r="Y28" s="381">
        <f>+Y61+Y130+Y94+Y193+Y162+Y226</f>
        <v>0</v>
      </c>
      <c r="Z28" s="411" t="str">
        <f t="shared" si="11"/>
        <v>N.D.</v>
      </c>
      <c r="AA28" s="381">
        <f>+AA20-AA27</f>
        <v>-60.874570000000034</v>
      </c>
      <c r="AB28" s="151">
        <f t="shared" si="12"/>
        <v>-3.2209022822932473E-3</v>
      </c>
    </row>
    <row r="29" spans="2:28" x14ac:dyDescent="0.25">
      <c r="B29" s="6"/>
      <c r="C29" s="419"/>
      <c r="D29" s="435"/>
      <c r="E29" s="419"/>
      <c r="F29" s="435"/>
      <c r="G29" s="419"/>
      <c r="H29" s="435"/>
      <c r="I29" s="419"/>
      <c r="J29" s="435"/>
      <c r="K29" s="419"/>
      <c r="L29" s="435"/>
      <c r="M29" s="419"/>
      <c r="N29" s="435"/>
      <c r="O29" s="419"/>
      <c r="P29" s="435"/>
      <c r="Q29" s="419"/>
      <c r="R29" s="435"/>
      <c r="S29" s="419"/>
      <c r="T29" s="435"/>
      <c r="U29" s="419"/>
      <c r="V29" s="435"/>
      <c r="W29" s="419"/>
      <c r="X29" s="435"/>
      <c r="Y29" s="419"/>
      <c r="Z29" s="435"/>
      <c r="AA29" s="419"/>
      <c r="AB29" s="152"/>
    </row>
    <row r="30" spans="2:28" x14ac:dyDescent="0.25">
      <c r="B30" s="9" t="s">
        <v>50</v>
      </c>
      <c r="C30" s="418">
        <f>+C63+C132+C96+C195+C164+C228</f>
        <v>0</v>
      </c>
      <c r="D30" s="433">
        <f t="shared" ref="D30:D39" si="13">IF(C$11=0,"N.D.",C30/C$11)</f>
        <v>0</v>
      </c>
      <c r="E30" s="418">
        <f>+E63+E132+E96+E195+E164+E228</f>
        <v>0</v>
      </c>
      <c r="F30" s="433">
        <f>IF(E$11=0,"N.D.",E30/E$11)</f>
        <v>0</v>
      </c>
      <c r="G30" s="418">
        <f t="shared" ref="G30:G38" si="14">+G63+G132+G96+G195+G164+G228</f>
        <v>0</v>
      </c>
      <c r="H30" s="433">
        <f t="shared" ref="H30:H39" si="15">IF(G$11=0,"N.D.",G30/G$11)</f>
        <v>0</v>
      </c>
      <c r="I30" s="418">
        <f t="shared" ref="I30:I38" si="16">+I63+I132+I96+I195+I164+I228</f>
        <v>0</v>
      </c>
      <c r="J30" s="433">
        <f t="shared" ref="J30:J39" si="17">IF(I$11=0,"N.D.",I30/I$11)</f>
        <v>0</v>
      </c>
      <c r="K30" s="418">
        <f t="shared" ref="K30:K38" si="18">+K63+K132+K96+K195+K164+K228</f>
        <v>0</v>
      </c>
      <c r="L30" s="433">
        <f t="shared" ref="L30:L39" si="19">IF(K$11=0,"N.D.",K30/K$11)</f>
        <v>0</v>
      </c>
      <c r="M30" s="418">
        <f t="shared" ref="M30:M38" si="20">+M63+M132+M96+M195+M164+M228</f>
        <v>0</v>
      </c>
      <c r="N30" s="433">
        <f t="shared" ref="N30:N39" si="21">IF(M$11=0,"N.D.",M30/M$11)</f>
        <v>0</v>
      </c>
      <c r="O30" s="418">
        <f t="shared" ref="O30:O38" si="22">+O63+O132+O96+O195+O164+O228</f>
        <v>0</v>
      </c>
      <c r="P30" s="433">
        <f t="shared" ref="P30:P39" si="23">IF(O$11=0,"N.D.",O30/O$11)</f>
        <v>0</v>
      </c>
      <c r="Q30" s="418">
        <f t="shared" ref="Q30:Q38" si="24">+Q63+Q132+Q96+Q195+Q164+Q228</f>
        <v>0</v>
      </c>
      <c r="R30" s="433" t="str">
        <f t="shared" ref="R30:R39" si="25">IF(Q$11=0,"N.D.",Q30/Q$11)</f>
        <v>N.D.</v>
      </c>
      <c r="S30" s="418">
        <f t="shared" ref="S30:S38" si="26">+S63+S132+S96+S195+S164+S228</f>
        <v>0</v>
      </c>
      <c r="T30" s="433" t="str">
        <f t="shared" ref="T30:T39" si="27">IF(S$11=0,"N.D.",S30/S$11)</f>
        <v>N.D.</v>
      </c>
      <c r="U30" s="418">
        <f t="shared" ref="U30:U38" si="28">+U63+U132+U96+U195+U164+U228</f>
        <v>0</v>
      </c>
      <c r="V30" s="433" t="str">
        <f t="shared" ref="V30:V39" si="29">IF(U$11=0,"N.D.",U30/U$11)</f>
        <v>N.D.</v>
      </c>
      <c r="W30" s="418">
        <f t="shared" ref="W30:W38" si="30">+W63+W132+W96+W195+W164+W228</f>
        <v>0</v>
      </c>
      <c r="X30" s="433" t="str">
        <f t="shared" ref="X30:X39" si="31">IF(W$11=0,"N.D.",W30/W$11)</f>
        <v>N.D.</v>
      </c>
      <c r="Y30" s="418">
        <f t="shared" ref="Y30:Y38" si="32">+Y63+Y132+Y96+Y195+Y164+Y228</f>
        <v>0</v>
      </c>
      <c r="Z30" s="433" t="str">
        <f t="shared" ref="Z30:Z39" si="33">IF(Y$11=0,"N.D.",Y30/Y$11)</f>
        <v>N.D.</v>
      </c>
      <c r="AA30" s="418">
        <f t="shared" ref="AA30:AA38" si="34">+AA63+AA96+AA132+AA164+AA228+AA195</f>
        <v>0</v>
      </c>
      <c r="AB30" s="149">
        <f t="shared" ref="AB30:AB38" si="35">IF(AA$11=0,"N.D.",AA30/AA$11)</f>
        <v>0</v>
      </c>
    </row>
    <row r="31" spans="2:28" x14ac:dyDescent="0.25">
      <c r="B31" s="9" t="s">
        <v>51</v>
      </c>
      <c r="C31" s="314">
        <f>+C64+C133+C97+C196+C165+C229</f>
        <v>0</v>
      </c>
      <c r="D31" s="434">
        <f t="shared" si="13"/>
        <v>0</v>
      </c>
      <c r="E31" s="314">
        <f>+E64+E133+E97+E196+E165+E229</f>
        <v>0</v>
      </c>
      <c r="F31" s="434">
        <f>IF(E$11=0,"N.D.",E31/E$11)</f>
        <v>0</v>
      </c>
      <c r="G31" s="314">
        <f t="shared" si="14"/>
        <v>0</v>
      </c>
      <c r="H31" s="434">
        <f t="shared" si="15"/>
        <v>0</v>
      </c>
      <c r="I31" s="314">
        <f t="shared" si="16"/>
        <v>0</v>
      </c>
      <c r="J31" s="434">
        <f t="shared" si="17"/>
        <v>0</v>
      </c>
      <c r="K31" s="314">
        <f t="shared" si="18"/>
        <v>0</v>
      </c>
      <c r="L31" s="434">
        <f t="shared" si="19"/>
        <v>0</v>
      </c>
      <c r="M31" s="314">
        <f t="shared" si="20"/>
        <v>0</v>
      </c>
      <c r="N31" s="434">
        <f t="shared" si="21"/>
        <v>0</v>
      </c>
      <c r="O31" s="314">
        <f t="shared" si="22"/>
        <v>0</v>
      </c>
      <c r="P31" s="434">
        <f t="shared" si="23"/>
        <v>0</v>
      </c>
      <c r="Q31" s="314">
        <f t="shared" si="24"/>
        <v>0</v>
      </c>
      <c r="R31" s="434" t="str">
        <f t="shared" si="25"/>
        <v>N.D.</v>
      </c>
      <c r="S31" s="314">
        <f t="shared" si="26"/>
        <v>0</v>
      </c>
      <c r="T31" s="434" t="str">
        <f t="shared" si="27"/>
        <v>N.D.</v>
      </c>
      <c r="U31" s="314">
        <f t="shared" si="28"/>
        <v>0</v>
      </c>
      <c r="V31" s="434" t="str">
        <f t="shared" si="29"/>
        <v>N.D.</v>
      </c>
      <c r="W31" s="314">
        <f t="shared" si="30"/>
        <v>0</v>
      </c>
      <c r="X31" s="434" t="str">
        <f t="shared" si="31"/>
        <v>N.D.</v>
      </c>
      <c r="Y31" s="314">
        <f t="shared" si="32"/>
        <v>0</v>
      </c>
      <c r="Z31" s="434" t="str">
        <f t="shared" si="33"/>
        <v>N.D.</v>
      </c>
      <c r="AA31" s="314">
        <f t="shared" si="34"/>
        <v>0</v>
      </c>
      <c r="AB31" s="150">
        <f t="shared" si="35"/>
        <v>0</v>
      </c>
    </row>
    <row r="32" spans="2:28" ht="13" x14ac:dyDescent="0.3">
      <c r="B32" s="1" t="s">
        <v>53</v>
      </c>
      <c r="C32" s="381">
        <f>+C28-C30-C31</f>
        <v>-130.16700000000003</v>
      </c>
      <c r="D32" s="411">
        <f t="shared" si="13"/>
        <v>-3.9346168111186255E-2</v>
      </c>
      <c r="E32" s="381">
        <f>+E28-E30-E31</f>
        <v>-75.377999999999801</v>
      </c>
      <c r="F32" s="411">
        <f>IF(E$11=0,"N.D.",E32/E$11)</f>
        <v>-2.359344086193145E-2</v>
      </c>
      <c r="G32" s="381">
        <f t="shared" si="14"/>
        <v>129.08000000000013</v>
      </c>
      <c r="H32" s="411">
        <f t="shared" si="15"/>
        <v>3.4088259224996538E-2</v>
      </c>
      <c r="I32" s="381">
        <f t="shared" si="16"/>
        <v>19.816999999999851</v>
      </c>
      <c r="J32" s="411">
        <f t="shared" si="17"/>
        <v>5.7332395971658847E-3</v>
      </c>
      <c r="K32" s="381">
        <f t="shared" si="18"/>
        <v>-16.152000000000037</v>
      </c>
      <c r="L32" s="411">
        <f t="shared" si="19"/>
        <v>-9.2339513502481645E-3</v>
      </c>
      <c r="M32" s="381">
        <f t="shared" si="20"/>
        <v>-13.495000000000054</v>
      </c>
      <c r="N32" s="411">
        <f t="shared" si="21"/>
        <v>-7.9280221361892941E-3</v>
      </c>
      <c r="O32" s="381">
        <f t="shared" si="22"/>
        <v>25.420429999999961</v>
      </c>
      <c r="P32" s="411">
        <f t="shared" si="23"/>
        <v>1.4933955668873606E-2</v>
      </c>
      <c r="Q32" s="381">
        <f t="shared" si="24"/>
        <v>0</v>
      </c>
      <c r="R32" s="411" t="str">
        <f t="shared" si="25"/>
        <v>N.D.</v>
      </c>
      <c r="S32" s="381">
        <f t="shared" si="26"/>
        <v>0</v>
      </c>
      <c r="T32" s="411" t="str">
        <f t="shared" si="27"/>
        <v>N.D.</v>
      </c>
      <c r="U32" s="381">
        <f t="shared" si="28"/>
        <v>0</v>
      </c>
      <c r="V32" s="411" t="str">
        <f t="shared" si="29"/>
        <v>N.D.</v>
      </c>
      <c r="W32" s="381">
        <f t="shared" si="30"/>
        <v>0</v>
      </c>
      <c r="X32" s="411" t="str">
        <f t="shared" si="31"/>
        <v>N.D.</v>
      </c>
      <c r="Y32" s="381">
        <f t="shared" si="32"/>
        <v>0</v>
      </c>
      <c r="Z32" s="411" t="str">
        <f t="shared" si="33"/>
        <v>N.D.</v>
      </c>
      <c r="AA32" s="381">
        <f t="shared" si="34"/>
        <v>-39.35856999999983</v>
      </c>
      <c r="AB32" s="151">
        <f t="shared" si="35"/>
        <v>-2.0824805487874151E-3</v>
      </c>
    </row>
    <row r="33" spans="2:28" ht="13" x14ac:dyDescent="0.3">
      <c r="B33" s="1" t="s">
        <v>122</v>
      </c>
      <c r="C33" s="381">
        <f>+C20+C18</f>
        <v>-19.394000000000013</v>
      </c>
      <c r="D33" s="411">
        <f t="shared" si="13"/>
        <v>-5.8623121401610743E-3</v>
      </c>
      <c r="E33" s="381">
        <f>+E20+E18</f>
        <v>7.1450000000002021</v>
      </c>
      <c r="F33" s="411">
        <f t="shared" ref="F33:F39" si="36">IF(E$11=0,"N.D.",E33/E$11)</f>
        <v>2.2363970251068673E-3</v>
      </c>
      <c r="G33" s="381">
        <f t="shared" si="14"/>
        <v>211.21300000000014</v>
      </c>
      <c r="H33" s="411">
        <f t="shared" si="15"/>
        <v>5.5778459061738395E-2</v>
      </c>
      <c r="I33" s="381">
        <f t="shared" si="16"/>
        <v>101.55899999999984</v>
      </c>
      <c r="J33" s="411">
        <f t="shared" si="17"/>
        <v>2.9381948844354522E-2</v>
      </c>
      <c r="K33" s="381">
        <f t="shared" si="18"/>
        <v>63.732999999999961</v>
      </c>
      <c r="L33" s="411">
        <f t="shared" si="19"/>
        <v>3.6435575867097857E-2</v>
      </c>
      <c r="M33" s="381">
        <f t="shared" si="20"/>
        <v>69.394999999999953</v>
      </c>
      <c r="N33" s="411">
        <f t="shared" si="21"/>
        <v>4.0768069369459321E-2</v>
      </c>
      <c r="O33" s="381">
        <f t="shared" si="22"/>
        <v>74.439289999999957</v>
      </c>
      <c r="P33" s="411">
        <f t="shared" si="23"/>
        <v>4.3731481209500683E-2</v>
      </c>
      <c r="Q33" s="381">
        <f t="shared" si="24"/>
        <v>0</v>
      </c>
      <c r="R33" s="411" t="str">
        <f t="shared" si="25"/>
        <v>N.D.</v>
      </c>
      <c r="S33" s="381">
        <f t="shared" si="26"/>
        <v>0</v>
      </c>
      <c r="T33" s="411" t="str">
        <f t="shared" si="27"/>
        <v>N.D.</v>
      </c>
      <c r="U33" s="381">
        <f t="shared" si="28"/>
        <v>0</v>
      </c>
      <c r="V33" s="411" t="str">
        <f t="shared" si="29"/>
        <v>N.D.</v>
      </c>
      <c r="W33" s="381">
        <f t="shared" si="30"/>
        <v>0</v>
      </c>
      <c r="X33" s="411" t="str">
        <f t="shared" si="31"/>
        <v>N.D.</v>
      </c>
      <c r="Y33" s="381">
        <f t="shared" si="32"/>
        <v>0</v>
      </c>
      <c r="Z33" s="411" t="str">
        <f t="shared" si="33"/>
        <v>N.D.</v>
      </c>
      <c r="AA33" s="381">
        <f t="shared" si="34"/>
        <v>510.92829000000006</v>
      </c>
      <c r="AB33" s="151">
        <f t="shared" si="35"/>
        <v>2.7033457408392129E-2</v>
      </c>
    </row>
    <row r="34" spans="2:28" s="130" customFormat="1" ht="13" x14ac:dyDescent="0.3">
      <c r="B34" s="1" t="s">
        <v>194</v>
      </c>
      <c r="C34" s="373">
        <f>+C67+C136+C100+C199+C168+C232</f>
        <v>0</v>
      </c>
      <c r="D34" s="407">
        <f t="shared" si="13"/>
        <v>0</v>
      </c>
      <c r="E34" s="373">
        <f>+E67+E136+E100+E199+E168+E232</f>
        <v>0</v>
      </c>
      <c r="F34" s="407">
        <f t="shared" si="36"/>
        <v>0</v>
      </c>
      <c r="G34" s="373">
        <f t="shared" si="14"/>
        <v>0</v>
      </c>
      <c r="H34" s="407">
        <f t="shared" si="15"/>
        <v>0</v>
      </c>
      <c r="I34" s="373">
        <f t="shared" si="16"/>
        <v>0</v>
      </c>
      <c r="J34" s="407">
        <f t="shared" si="17"/>
        <v>0</v>
      </c>
      <c r="K34" s="373">
        <f t="shared" si="18"/>
        <v>0</v>
      </c>
      <c r="L34" s="407">
        <f t="shared" si="19"/>
        <v>0</v>
      </c>
      <c r="M34" s="373">
        <f t="shared" si="20"/>
        <v>0</v>
      </c>
      <c r="N34" s="407">
        <f t="shared" si="21"/>
        <v>0</v>
      </c>
      <c r="O34" s="373">
        <f t="shared" si="22"/>
        <v>0</v>
      </c>
      <c r="P34" s="407">
        <f t="shared" si="23"/>
        <v>0</v>
      </c>
      <c r="Q34" s="373">
        <f t="shared" si="24"/>
        <v>0</v>
      </c>
      <c r="R34" s="407" t="str">
        <f t="shared" si="25"/>
        <v>N.D.</v>
      </c>
      <c r="S34" s="373">
        <f t="shared" si="26"/>
        <v>0</v>
      </c>
      <c r="T34" s="407" t="str">
        <f t="shared" si="27"/>
        <v>N.D.</v>
      </c>
      <c r="U34" s="373">
        <f t="shared" si="28"/>
        <v>0</v>
      </c>
      <c r="V34" s="407" t="str">
        <f t="shared" si="29"/>
        <v>N.D.</v>
      </c>
      <c r="W34" s="373">
        <f t="shared" si="30"/>
        <v>0</v>
      </c>
      <c r="X34" s="407" t="str">
        <f t="shared" si="31"/>
        <v>N.D.</v>
      </c>
      <c r="Y34" s="373">
        <f t="shared" si="32"/>
        <v>0</v>
      </c>
      <c r="Z34" s="407" t="str">
        <f t="shared" si="33"/>
        <v>N.D.</v>
      </c>
      <c r="AA34" s="373">
        <f t="shared" si="34"/>
        <v>0</v>
      </c>
      <c r="AB34" s="360">
        <f t="shared" si="35"/>
        <v>0</v>
      </c>
    </row>
    <row r="35" spans="2:28" s="130" customFormat="1" ht="13" x14ac:dyDescent="0.3">
      <c r="B35" s="1" t="s">
        <v>123</v>
      </c>
      <c r="C35" s="408">
        <f>+C68+C137+C101+C200+C169+C233</f>
        <v>0</v>
      </c>
      <c r="D35" s="409">
        <f t="shared" si="13"/>
        <v>0</v>
      </c>
      <c r="E35" s="408">
        <f>+E68+E137+E101+E200+E169+E233</f>
        <v>0</v>
      </c>
      <c r="F35" s="409">
        <f t="shared" si="36"/>
        <v>0</v>
      </c>
      <c r="G35" s="408">
        <f t="shared" si="14"/>
        <v>0</v>
      </c>
      <c r="H35" s="409">
        <f t="shared" si="15"/>
        <v>0</v>
      </c>
      <c r="I35" s="408">
        <f t="shared" si="16"/>
        <v>0</v>
      </c>
      <c r="J35" s="409">
        <f t="shared" si="17"/>
        <v>0</v>
      </c>
      <c r="K35" s="408">
        <f t="shared" si="18"/>
        <v>0</v>
      </c>
      <c r="L35" s="409">
        <f t="shared" si="19"/>
        <v>0</v>
      </c>
      <c r="M35" s="408">
        <f t="shared" si="20"/>
        <v>0</v>
      </c>
      <c r="N35" s="409">
        <f t="shared" si="21"/>
        <v>0</v>
      </c>
      <c r="O35" s="408">
        <f t="shared" si="22"/>
        <v>0</v>
      </c>
      <c r="P35" s="409">
        <f t="shared" si="23"/>
        <v>0</v>
      </c>
      <c r="Q35" s="408">
        <f t="shared" si="24"/>
        <v>0</v>
      </c>
      <c r="R35" s="409" t="str">
        <f t="shared" si="25"/>
        <v>N.D.</v>
      </c>
      <c r="S35" s="408">
        <f t="shared" si="26"/>
        <v>0</v>
      </c>
      <c r="T35" s="409" t="str">
        <f t="shared" si="27"/>
        <v>N.D.</v>
      </c>
      <c r="U35" s="408">
        <f t="shared" si="28"/>
        <v>0</v>
      </c>
      <c r="V35" s="409" t="str">
        <f t="shared" si="29"/>
        <v>N.D.</v>
      </c>
      <c r="W35" s="408">
        <f t="shared" si="30"/>
        <v>0</v>
      </c>
      <c r="X35" s="409" t="str">
        <f t="shared" si="31"/>
        <v>N.D.</v>
      </c>
      <c r="Y35" s="408">
        <f t="shared" si="32"/>
        <v>0</v>
      </c>
      <c r="Z35" s="409" t="str">
        <f t="shared" si="33"/>
        <v>N.D.</v>
      </c>
      <c r="AA35" s="408">
        <f t="shared" si="34"/>
        <v>0</v>
      </c>
      <c r="AB35" s="361">
        <f t="shared" si="35"/>
        <v>0</v>
      </c>
    </row>
    <row r="36" spans="2:28" s="130" customFormat="1" ht="13" x14ac:dyDescent="0.3">
      <c r="B36" s="7" t="s">
        <v>190</v>
      </c>
      <c r="C36" s="410">
        <f>+C69+C138+C102+C201+C170+C234</f>
        <v>-46.439999999999884</v>
      </c>
      <c r="D36" s="409">
        <f t="shared" si="13"/>
        <v>-1.403762894653395E-2</v>
      </c>
      <c r="E36" s="410">
        <f>+E69+E138+E102+E201+E170+E234</f>
        <v>-13.166999999999874</v>
      </c>
      <c r="F36" s="409">
        <f t="shared" si="36"/>
        <v>-4.1212931601932829E-3</v>
      </c>
      <c r="G36" s="410">
        <f t="shared" si="14"/>
        <v>191.29100000000011</v>
      </c>
      <c r="H36" s="409">
        <f t="shared" si="15"/>
        <v>5.0517331851633179E-2</v>
      </c>
      <c r="I36" s="410">
        <f t="shared" si="16"/>
        <v>82.027999999999864</v>
      </c>
      <c r="J36" s="409">
        <f t="shared" si="17"/>
        <v>2.373145166656537E-2</v>
      </c>
      <c r="K36" s="410">
        <f t="shared" si="18"/>
        <v>31.75199999999996</v>
      </c>
      <c r="L36" s="409">
        <f t="shared" si="19"/>
        <v>1.8152329325970697E-2</v>
      </c>
      <c r="M36" s="410">
        <f t="shared" si="20"/>
        <v>34.408999999999949</v>
      </c>
      <c r="N36" s="409">
        <f t="shared" si="21"/>
        <v>2.0214547142210888E-2</v>
      </c>
      <c r="O36" s="410">
        <f t="shared" si="22"/>
        <v>73.324429999999964</v>
      </c>
      <c r="P36" s="409">
        <f t="shared" si="23"/>
        <v>4.3076524947273792E-2</v>
      </c>
      <c r="Q36" s="410">
        <f t="shared" si="24"/>
        <v>0</v>
      </c>
      <c r="R36" s="409" t="str">
        <f t="shared" si="25"/>
        <v>N.D.</v>
      </c>
      <c r="S36" s="410">
        <f t="shared" si="26"/>
        <v>0</v>
      </c>
      <c r="T36" s="409" t="str">
        <f t="shared" si="27"/>
        <v>N.D.</v>
      </c>
      <c r="U36" s="410">
        <f t="shared" si="28"/>
        <v>0</v>
      </c>
      <c r="V36" s="409" t="str">
        <f t="shared" si="29"/>
        <v>N.D.</v>
      </c>
      <c r="W36" s="410">
        <f t="shared" si="30"/>
        <v>0</v>
      </c>
      <c r="X36" s="409" t="str">
        <f t="shared" si="31"/>
        <v>N.D.</v>
      </c>
      <c r="Y36" s="410">
        <f t="shared" si="32"/>
        <v>0</v>
      </c>
      <c r="Z36" s="409" t="str">
        <f t="shared" si="33"/>
        <v>N.D.</v>
      </c>
      <c r="AA36" s="410">
        <f t="shared" si="34"/>
        <v>0</v>
      </c>
      <c r="AB36" s="361">
        <f t="shared" si="35"/>
        <v>0</v>
      </c>
    </row>
    <row r="37" spans="2:28" s="130" customFormat="1" ht="13" x14ac:dyDescent="0.3">
      <c r="B37" s="7" t="s">
        <v>191</v>
      </c>
      <c r="C37" s="381">
        <f>+C70+C139+C103+C202+C171+C235</f>
        <v>70.915239999999997</v>
      </c>
      <c r="D37" s="411">
        <f t="shared" si="13"/>
        <v>2.1435870494711556E-2</v>
      </c>
      <c r="E37" s="381">
        <f>+E70+E139+E103+E202+E171+E235</f>
        <v>70.915239999999997</v>
      </c>
      <c r="F37" s="411">
        <f t="shared" si="36"/>
        <v>2.2196589471061585E-2</v>
      </c>
      <c r="G37" s="381">
        <f t="shared" si="14"/>
        <v>70.915239999999997</v>
      </c>
      <c r="H37" s="411">
        <f t="shared" si="15"/>
        <v>1.8727743136991333E-2</v>
      </c>
      <c r="I37" s="381">
        <f t="shared" si="16"/>
        <v>42.824060000000003</v>
      </c>
      <c r="J37" s="411">
        <f t="shared" si="17"/>
        <v>1.238939276900689E-2</v>
      </c>
      <c r="K37" s="381">
        <f t="shared" si="18"/>
        <v>40.590000000000003</v>
      </c>
      <c r="L37" s="411">
        <f t="shared" si="19"/>
        <v>2.3204933463755087E-2</v>
      </c>
      <c r="M37" s="381">
        <f t="shared" si="20"/>
        <v>47</v>
      </c>
      <c r="N37" s="411">
        <f t="shared" si="21"/>
        <v>2.7611488729225295E-2</v>
      </c>
      <c r="O37" s="381">
        <f t="shared" si="22"/>
        <v>47</v>
      </c>
      <c r="P37" s="411">
        <f t="shared" si="23"/>
        <v>2.7611488729225295E-2</v>
      </c>
      <c r="Q37" s="381">
        <f t="shared" si="24"/>
        <v>0</v>
      </c>
      <c r="R37" s="411" t="str">
        <f t="shared" si="25"/>
        <v>N.D.</v>
      </c>
      <c r="S37" s="381">
        <f t="shared" si="26"/>
        <v>0</v>
      </c>
      <c r="T37" s="411" t="str">
        <f t="shared" si="27"/>
        <v>N.D.</v>
      </c>
      <c r="U37" s="381">
        <f t="shared" si="28"/>
        <v>0</v>
      </c>
      <c r="V37" s="411" t="str">
        <f t="shared" si="29"/>
        <v>N.D.</v>
      </c>
      <c r="W37" s="381">
        <f t="shared" si="30"/>
        <v>0</v>
      </c>
      <c r="X37" s="411" t="str">
        <f t="shared" si="31"/>
        <v>N.D.</v>
      </c>
      <c r="Y37" s="381">
        <f t="shared" si="32"/>
        <v>0</v>
      </c>
      <c r="Z37" s="411" t="str">
        <f t="shared" si="33"/>
        <v>N.D.</v>
      </c>
      <c r="AA37" s="381">
        <f t="shared" si="34"/>
        <v>0</v>
      </c>
      <c r="AB37" s="151">
        <f t="shared" si="35"/>
        <v>0</v>
      </c>
    </row>
    <row r="38" spans="2:28" s="130" customFormat="1" ht="13" x14ac:dyDescent="0.3">
      <c r="B38" s="7" t="s">
        <v>84</v>
      </c>
      <c r="C38" s="381">
        <f>+C71+C140+C104+C203+C172+C236</f>
        <v>-117.35523999999992</v>
      </c>
      <c r="D38" s="411">
        <f t="shared" si="13"/>
        <v>-3.5473499441245518E-2</v>
      </c>
      <c r="E38" s="381">
        <f>+E71+E140+E104+E203+E172+E236</f>
        <v>-84.082239999999871</v>
      </c>
      <c r="F38" s="411">
        <f t="shared" si="36"/>
        <v>-2.6317882631254869E-2</v>
      </c>
      <c r="G38" s="381">
        <f t="shared" si="14"/>
        <v>120.37576000000013</v>
      </c>
      <c r="H38" s="411">
        <f t="shared" si="15"/>
        <v>3.1789588714641846E-2</v>
      </c>
      <c r="I38" s="381">
        <f t="shared" si="16"/>
        <v>39.203939999999861</v>
      </c>
      <c r="J38" s="411">
        <f t="shared" si="17"/>
        <v>1.1342058897558481E-2</v>
      </c>
      <c r="K38" s="381">
        <f t="shared" si="18"/>
        <v>-8.8380000000000365</v>
      </c>
      <c r="L38" s="411">
        <f t="shared" si="19"/>
        <v>-5.0526041377843877E-3</v>
      </c>
      <c r="M38" s="381">
        <f t="shared" si="20"/>
        <v>-12.591000000000051</v>
      </c>
      <c r="N38" s="411">
        <f t="shared" si="21"/>
        <v>-7.3969415870144065E-3</v>
      </c>
      <c r="O38" s="381">
        <f t="shared" si="22"/>
        <v>26.324429999999968</v>
      </c>
      <c r="P38" s="411">
        <f t="shared" si="23"/>
        <v>1.5465036218048496E-2</v>
      </c>
      <c r="Q38" s="381">
        <f t="shared" si="24"/>
        <v>0</v>
      </c>
      <c r="R38" s="411" t="str">
        <f t="shared" si="25"/>
        <v>N.D.</v>
      </c>
      <c r="S38" s="381">
        <f t="shared" si="26"/>
        <v>0</v>
      </c>
      <c r="T38" s="411" t="str">
        <f t="shared" si="27"/>
        <v>N.D.</v>
      </c>
      <c r="U38" s="381">
        <f t="shared" si="28"/>
        <v>0</v>
      </c>
      <c r="V38" s="411" t="str">
        <f t="shared" si="29"/>
        <v>N.D.</v>
      </c>
      <c r="W38" s="381">
        <f t="shared" si="30"/>
        <v>0</v>
      </c>
      <c r="X38" s="411" t="str">
        <f t="shared" si="31"/>
        <v>N.D.</v>
      </c>
      <c r="Y38" s="381">
        <f t="shared" si="32"/>
        <v>0</v>
      </c>
      <c r="Z38" s="411" t="str">
        <f t="shared" si="33"/>
        <v>N.D.</v>
      </c>
      <c r="AA38" s="381">
        <f t="shared" si="34"/>
        <v>0</v>
      </c>
      <c r="AB38" s="151">
        <f t="shared" si="35"/>
        <v>0</v>
      </c>
    </row>
    <row r="39" spans="2:28" s="130" customFormat="1" ht="13" x14ac:dyDescent="0.3">
      <c r="B39" s="1" t="s">
        <v>193</v>
      </c>
      <c r="C39" s="412">
        <f>IF(C37=0,"N.D.",(C36-C34-C35)/C37)</f>
        <v>-0.65486628826187265</v>
      </c>
      <c r="D39" s="411">
        <f t="shared" si="13"/>
        <v>-1.9794939630090724E-4</v>
      </c>
      <c r="E39" s="412">
        <f>IF(E37=0,"N.D.",(E36-E34-E35)/E37)</f>
        <v>-0.1856723604122312</v>
      </c>
      <c r="F39" s="411">
        <f t="shared" si="36"/>
        <v>-5.8115761297476863E-5</v>
      </c>
      <c r="G39" s="412">
        <f>IF(G37=0,"N.D.",(G36-G34-G35)/G37)</f>
        <v>2.6974596715741233</v>
      </c>
      <c r="H39" s="411">
        <f t="shared" si="15"/>
        <v>7.1236213614496945E-4</v>
      </c>
      <c r="I39" s="412">
        <f>IF(I37=0,"N.D.",(I36-I34-I35)/I37)</f>
        <v>1.9154652781637205</v>
      </c>
      <c r="J39" s="411">
        <f t="shared" si="17"/>
        <v>5.5416164806805729E-4</v>
      </c>
      <c r="K39" s="412">
        <f>IF(K37=0,"N.D.",(K36-K34-K35)/K37)</f>
        <v>0.78226164079822513</v>
      </c>
      <c r="L39" s="411">
        <f t="shared" si="19"/>
        <v>4.4721185824022404E-4</v>
      </c>
      <c r="M39" s="412">
        <f>IF(M37=0,"N.D.",(M36-M34-M35)/M37)</f>
        <v>0.73210638297872233</v>
      </c>
      <c r="N39" s="411">
        <f t="shared" si="21"/>
        <v>4.3009674770661465E-4</v>
      </c>
      <c r="O39" s="412">
        <f>IF(O37=0,"N.D.",(O36-O34-O35)/O37)</f>
        <v>1.5600942553191481</v>
      </c>
      <c r="P39" s="411">
        <f t="shared" si="23"/>
        <v>9.1652180738880404E-4</v>
      </c>
      <c r="Q39" s="412" t="str">
        <f>IF(Q37=0,"N.D.",(Q36-Q34-Q35)/Q37)</f>
        <v>N.D.</v>
      </c>
      <c r="R39" s="411" t="str">
        <f t="shared" si="25"/>
        <v>N.D.</v>
      </c>
      <c r="S39" s="412" t="str">
        <f>IF(S37=0,"N.D.",(S36-S34-S35)/S37)</f>
        <v>N.D.</v>
      </c>
      <c r="T39" s="411" t="str">
        <f t="shared" si="27"/>
        <v>N.D.</v>
      </c>
      <c r="U39" s="412" t="str">
        <f>IF(U37=0,"N.D.",(U36-U34-U35)/U37)</f>
        <v>N.D.</v>
      </c>
      <c r="V39" s="411" t="str">
        <f t="shared" si="29"/>
        <v>N.D.</v>
      </c>
      <c r="W39" s="412" t="str">
        <f>IF(W37=0,"N.D.",(W36-W34-W35)/W37)</f>
        <v>N.D.</v>
      </c>
      <c r="X39" s="411" t="str">
        <f t="shared" si="31"/>
        <v>N.D.</v>
      </c>
      <c r="Y39" s="412" t="str">
        <f>IF(Y37=0,"N.D.",(Y36-Y34-Y35)/Y37)</f>
        <v>N.D.</v>
      </c>
      <c r="Z39" s="411" t="str">
        <f t="shared" si="33"/>
        <v>N.D.</v>
      </c>
      <c r="AA39" s="412" t="str">
        <f>IF(AA37=0,"N.D.",(AA36-AA34-AA35)/AA37)</f>
        <v>N.D.</v>
      </c>
      <c r="AB39" s="151">
        <f>IFERROR(IF(AA$11=0,"N.D.",AA39/AA$11),0)</f>
        <v>0</v>
      </c>
    </row>
    <row r="40" spans="2:28" ht="13" x14ac:dyDescent="0.3">
      <c r="C40" s="394"/>
      <c r="D40" s="438"/>
      <c r="E40" s="394"/>
      <c r="F40" s="438"/>
      <c r="G40" s="394"/>
      <c r="H40" s="438"/>
      <c r="I40" s="394"/>
      <c r="J40" s="438"/>
      <c r="K40" s="394"/>
      <c r="L40" s="438"/>
      <c r="M40" s="394"/>
      <c r="N40" s="438"/>
      <c r="O40" s="394"/>
      <c r="P40" s="438"/>
      <c r="Q40" s="394"/>
      <c r="R40" s="438"/>
      <c r="S40" s="394"/>
      <c r="T40" s="438"/>
      <c r="U40" s="394"/>
      <c r="V40" s="438"/>
      <c r="W40" s="394"/>
      <c r="X40" s="438"/>
      <c r="Y40" s="394"/>
      <c r="Z40" s="438"/>
      <c r="AA40" s="394"/>
      <c r="AB40" s="148"/>
    </row>
    <row r="41" spans="2:28" ht="13" x14ac:dyDescent="0.3">
      <c r="C41" s="394"/>
      <c r="D41" s="438"/>
      <c r="E41" s="394"/>
      <c r="F41" s="438"/>
      <c r="G41" s="394"/>
      <c r="H41" s="438"/>
      <c r="I41" s="394"/>
      <c r="J41" s="438"/>
      <c r="K41" s="394"/>
      <c r="L41" s="438"/>
      <c r="M41" s="394"/>
      <c r="N41" s="438"/>
      <c r="O41" s="394"/>
      <c r="P41" s="438"/>
      <c r="Q41" s="394"/>
      <c r="R41" s="438"/>
      <c r="S41" s="394"/>
      <c r="T41" s="438"/>
      <c r="U41" s="394"/>
      <c r="V41" s="438"/>
      <c r="W41" s="394"/>
      <c r="X41" s="438"/>
      <c r="Y41" s="394"/>
      <c r="Z41" s="438"/>
      <c r="AA41" s="394"/>
      <c r="AB41" s="148"/>
    </row>
    <row r="42" spans="2:28" ht="13" x14ac:dyDescent="0.3">
      <c r="C42" s="394"/>
      <c r="E42" s="394"/>
      <c r="G42" s="394"/>
      <c r="I42" s="394"/>
      <c r="K42" s="394"/>
      <c r="M42" s="394"/>
      <c r="O42" s="394"/>
      <c r="Q42" s="394"/>
      <c r="S42" s="394"/>
      <c r="U42" s="394"/>
      <c r="W42" s="394"/>
      <c r="Y42" s="394"/>
      <c r="AA42" s="394"/>
    </row>
    <row r="43" spans="2:28" ht="13" x14ac:dyDescent="0.3">
      <c r="B43" s="250" t="s">
        <v>343</v>
      </c>
      <c r="C43" s="396" t="s">
        <v>418</v>
      </c>
      <c r="D43" s="397"/>
      <c r="E43" s="396" t="s">
        <v>419</v>
      </c>
      <c r="F43" s="397"/>
      <c r="G43" s="396" t="s">
        <v>417</v>
      </c>
      <c r="H43" s="397"/>
      <c r="I43" s="396" t="s">
        <v>420</v>
      </c>
      <c r="J43" s="397"/>
      <c r="K43" s="396" t="s">
        <v>421</v>
      </c>
      <c r="L43" s="397"/>
      <c r="M43" s="396" t="s">
        <v>422</v>
      </c>
      <c r="N43" s="397"/>
      <c r="O43" s="396" t="s">
        <v>423</v>
      </c>
      <c r="P43" s="397"/>
      <c r="Q43" s="396" t="s">
        <v>428</v>
      </c>
      <c r="R43" s="397"/>
      <c r="S43" s="396" t="s">
        <v>424</v>
      </c>
      <c r="T43" s="397"/>
      <c r="U43" s="396" t="s">
        <v>425</v>
      </c>
      <c r="V43" s="397"/>
      <c r="W43" s="396" t="s">
        <v>426</v>
      </c>
      <c r="X43" s="397"/>
      <c r="Y43" s="396" t="s">
        <v>427</v>
      </c>
      <c r="Z43" s="431"/>
      <c r="AA43" s="396" t="s">
        <v>497</v>
      </c>
      <c r="AB43" s="136"/>
    </row>
    <row r="44" spans="2:28" x14ac:dyDescent="0.25">
      <c r="B44" s="9" t="s">
        <v>38</v>
      </c>
      <c r="C44" s="314">
        <v>1685.348</v>
      </c>
      <c r="D44" s="414">
        <f>IF(C$44=0,"N.D.",C44/C$44)</f>
        <v>1</v>
      </c>
      <c r="E44" s="314">
        <v>1630.4770000000001</v>
      </c>
      <c r="F44" s="414">
        <f>IF(E$44=0,"N.D.",E44/E$44)</f>
        <v>1</v>
      </c>
      <c r="G44" s="314">
        <v>1976.4090000000001</v>
      </c>
      <c r="H44" s="414">
        <f>IF(G$44=0,"N.D.",G44/G$44)</f>
        <v>1</v>
      </c>
      <c r="I44" s="314">
        <v>1801.87</v>
      </c>
      <c r="J44" s="414">
        <f>IF(I$44=0,"N.D.",I44/I$44)</f>
        <v>1</v>
      </c>
      <c r="K44" s="314">
        <v>0</v>
      </c>
      <c r="L44" s="414" t="str">
        <f>IF(K$44=0,"N.D.",K44/K$44)</f>
        <v>N.D.</v>
      </c>
      <c r="M44" s="314">
        <v>0</v>
      </c>
      <c r="N44" s="414" t="str">
        <f>IF(M$44=0,"N.D.",M44/M$44)</f>
        <v>N.D.</v>
      </c>
      <c r="O44" s="314">
        <v>0</v>
      </c>
      <c r="P44" s="414" t="str">
        <f>IF(O$44=0,"N.D.",O44/O$44)</f>
        <v>N.D.</v>
      </c>
      <c r="Q44" s="314"/>
      <c r="R44" s="414" t="str">
        <f>IF(Q$44=0,"N.D.",Q44/Q$44)</f>
        <v>N.D.</v>
      </c>
      <c r="S44" s="314"/>
      <c r="T44" s="414" t="str">
        <f>IF(S$44=0,"N.D.",S44/S$44)</f>
        <v>N.D.</v>
      </c>
      <c r="U44" s="314"/>
      <c r="V44" s="414" t="str">
        <f>IF(U$44=0,"N.D.",U44/U$44)</f>
        <v>N.D.</v>
      </c>
      <c r="W44" s="314"/>
      <c r="X44" s="414" t="str">
        <f>IF(W$44=0,"N.D.",W44/W$44)</f>
        <v>N.D.</v>
      </c>
      <c r="Y44" s="314"/>
      <c r="Z44" s="414" t="str">
        <f>IF(Y$44=0,"N.D.",Y44/Y$44)</f>
        <v>N.D.</v>
      </c>
      <c r="AA44" s="314">
        <f>+Y44+W44+U44+S44+Q44+O44+M44+K44+I44+G44+E44+C44</f>
        <v>7094.1040000000003</v>
      </c>
      <c r="AB44" s="176">
        <f>IF(AA$44=0,"N.D.",AA44/AA$44)</f>
        <v>1</v>
      </c>
    </row>
    <row r="45" spans="2:28" x14ac:dyDescent="0.25">
      <c r="B45" s="9" t="s">
        <v>39</v>
      </c>
      <c r="C45" s="314">
        <v>637.06200000000001</v>
      </c>
      <c r="D45" s="414">
        <f>IF(C$44=0,"N.D.",C45/C$44)</f>
        <v>0.37800027056726565</v>
      </c>
      <c r="E45" s="314">
        <v>616.32000000000005</v>
      </c>
      <c r="F45" s="414">
        <f>IF(E$44=0,"N.D.",E45/E$44)</f>
        <v>0.37799981232485952</v>
      </c>
      <c r="G45" s="314">
        <v>747.08199999999999</v>
      </c>
      <c r="H45" s="414">
        <f>IF(G$44=0,"N.D.",G45/G$44)</f>
        <v>0.37799969540717532</v>
      </c>
      <c r="I45" s="314">
        <v>681.10699999999997</v>
      </c>
      <c r="J45" s="414">
        <f>IF(I$44=0,"N.D.",I45/I$44)</f>
        <v>0.37800007769705918</v>
      </c>
      <c r="K45" s="314">
        <v>0</v>
      </c>
      <c r="L45" s="414" t="str">
        <f>IF(K$44=0,"N.D.",K45/K$44)</f>
        <v>N.D.</v>
      </c>
      <c r="M45" s="314">
        <v>0</v>
      </c>
      <c r="N45" s="414" t="str">
        <f>IF(M$44=0,"N.D.",M45/M$44)</f>
        <v>N.D.</v>
      </c>
      <c r="O45" s="314">
        <v>0</v>
      </c>
      <c r="P45" s="414" t="str">
        <f>IF(O$44=0,"N.D.",O45/O$44)</f>
        <v>N.D.</v>
      </c>
      <c r="Q45" s="314"/>
      <c r="R45" s="414" t="str">
        <f>IF(Q$44=0,"N.D.",Q45/Q$44)</f>
        <v>N.D.</v>
      </c>
      <c r="S45" s="314"/>
      <c r="T45" s="414" t="str">
        <f>IF(S$44=0,"N.D.",S45/S$44)</f>
        <v>N.D.</v>
      </c>
      <c r="U45" s="314"/>
      <c r="V45" s="414" t="str">
        <f>IF(U$44=0,"N.D.",U45/U$44)</f>
        <v>N.D.</v>
      </c>
      <c r="W45" s="314"/>
      <c r="X45" s="414" t="str">
        <f>IF(W$44=0,"N.D.",W45/W$44)</f>
        <v>N.D.</v>
      </c>
      <c r="Y45" s="314"/>
      <c r="Z45" s="414" t="str">
        <f>IF(Y$44=0,"N.D.",Y45/Y$44)</f>
        <v>N.D.</v>
      </c>
      <c r="AA45" s="314">
        <f t="shared" ref="AA45:AA66" si="37">+Y45+W45+U45+S45+Q45+O45+M45+K45+I45+G45+E45+C45</f>
        <v>2681.5709999999999</v>
      </c>
      <c r="AB45" s="176">
        <f>IF(AA$44=0,"N.D.",AA45/AA$44)</f>
        <v>0.37799995601981584</v>
      </c>
    </row>
    <row r="46" spans="2:28" hidden="1" x14ac:dyDescent="0.25">
      <c r="B46" s="9" t="s">
        <v>219</v>
      </c>
      <c r="C46" s="314">
        <v>0</v>
      </c>
      <c r="D46" s="414">
        <f>IF(C$44=0,"N.D.",C46/C$44)</f>
        <v>0</v>
      </c>
      <c r="E46" s="314">
        <v>0</v>
      </c>
      <c r="F46" s="414">
        <f>IF(E$44=0,"N.D.",E46/E$44)</f>
        <v>0</v>
      </c>
      <c r="G46" s="314">
        <v>0</v>
      </c>
      <c r="H46" s="414">
        <f>IF(G$44=0,"N.D.",G46/G$44)</f>
        <v>0</v>
      </c>
      <c r="I46" s="314">
        <v>0</v>
      </c>
      <c r="J46" s="414">
        <f>IF(I$44=0,"N.D.",I46/I$44)</f>
        <v>0</v>
      </c>
      <c r="K46" s="314">
        <v>0</v>
      </c>
      <c r="L46" s="414" t="str">
        <f>IF(K$44=0,"N.D.",K46/K$44)</f>
        <v>N.D.</v>
      </c>
      <c r="M46" s="314">
        <v>0</v>
      </c>
      <c r="N46" s="414" t="str">
        <f>IF(M$44=0,"N.D.",M46/M$44)</f>
        <v>N.D.</v>
      </c>
      <c r="O46" s="314">
        <v>0</v>
      </c>
      <c r="P46" s="414" t="str">
        <f>IF(O$44=0,"N.D.",O46/O$44)</f>
        <v>N.D.</v>
      </c>
      <c r="Q46" s="314"/>
      <c r="R46" s="414" t="str">
        <f>IF(Q$44=0,"N.D.",Q46/Q$44)</f>
        <v>N.D.</v>
      </c>
      <c r="S46" s="314"/>
      <c r="T46" s="414" t="str">
        <f>IF(S$44=0,"N.D.",S46/S$44)</f>
        <v>N.D.</v>
      </c>
      <c r="U46" s="314"/>
      <c r="V46" s="414" t="str">
        <f>IF(U$44=0,"N.D.",U46/U$44)</f>
        <v>N.D.</v>
      </c>
      <c r="W46" s="314"/>
      <c r="X46" s="414" t="str">
        <f>IF(W$44=0,"N.D.",W46/W$44)</f>
        <v>N.D.</v>
      </c>
      <c r="Y46" s="314"/>
      <c r="Z46" s="414" t="str">
        <f>IF(Y$44=0,"N.D.",Y46/Y$44)</f>
        <v>N.D.</v>
      </c>
      <c r="AA46" s="314"/>
      <c r="AB46" s="176">
        <f>IF(AA$44=0,"N.D.",AA46/AA$44)</f>
        <v>0</v>
      </c>
    </row>
    <row r="47" spans="2:28" ht="13" x14ac:dyDescent="0.3">
      <c r="B47" s="9" t="s">
        <v>40</v>
      </c>
      <c r="C47" s="381">
        <v>1048.2860000000001</v>
      </c>
      <c r="D47" s="415">
        <f>IF(C$44=0,"N.D.",C47/C$44)</f>
        <v>0.62199972943273441</v>
      </c>
      <c r="E47" s="381">
        <v>1014.157</v>
      </c>
      <c r="F47" s="415">
        <f>IF(E$44=0,"N.D.",E47/E$44)</f>
        <v>0.62200018767514043</v>
      </c>
      <c r="G47" s="381">
        <v>1229.3270000000002</v>
      </c>
      <c r="H47" s="415">
        <f>IF(G$44=0,"N.D.",G47/G$44)</f>
        <v>0.62200030459282474</v>
      </c>
      <c r="I47" s="381">
        <v>1120.7629999999999</v>
      </c>
      <c r="J47" s="415">
        <f>IF(I$44=0,"N.D.",I47/I$44)</f>
        <v>0.62199992230294088</v>
      </c>
      <c r="K47" s="381">
        <v>0</v>
      </c>
      <c r="L47" s="415" t="str">
        <f>IF(K$44=0,"N.D.",K47/K$44)</f>
        <v>N.D.</v>
      </c>
      <c r="M47" s="381">
        <v>0</v>
      </c>
      <c r="N47" s="415" t="str">
        <f>IF(M$44=0,"N.D.",M47/M$44)</f>
        <v>N.D.</v>
      </c>
      <c r="O47" s="381">
        <v>0</v>
      </c>
      <c r="P47" s="415" t="str">
        <f>IF(O$44=0,"N.D.",O47/O$44)</f>
        <v>N.D.</v>
      </c>
      <c r="Q47" s="381"/>
      <c r="R47" s="415" t="str">
        <f>IF(Q$44=0,"N.D.",Q47/Q$44)</f>
        <v>N.D.</v>
      </c>
      <c r="S47" s="381"/>
      <c r="T47" s="415" t="str">
        <f>IF(S$44=0,"N.D.",S47/S$44)</f>
        <v>N.D.</v>
      </c>
      <c r="U47" s="381"/>
      <c r="V47" s="415" t="str">
        <f>IF(U$44=0,"N.D.",U47/U$44)</f>
        <v>N.D.</v>
      </c>
      <c r="W47" s="381"/>
      <c r="X47" s="415" t="str">
        <f>IF(W$44=0,"N.D.",W47/W$44)</f>
        <v>N.D.</v>
      </c>
      <c r="Y47" s="381"/>
      <c r="Z47" s="415" t="str">
        <f>IF(Y$44=0,"N.D.",Y47/Y$44)</f>
        <v>N.D.</v>
      </c>
      <c r="AA47" s="381">
        <f t="shared" si="37"/>
        <v>4412.5330000000004</v>
      </c>
      <c r="AB47" s="178">
        <f>IF(AA$44=0,"N.D.",AA47/AA$44)</f>
        <v>0.62200004398018416</v>
      </c>
    </row>
    <row r="48" spans="2:28" x14ac:dyDescent="0.25">
      <c r="B48" s="9"/>
      <c r="C48" s="419"/>
      <c r="D48" s="416"/>
      <c r="E48" s="419"/>
      <c r="F48" s="416"/>
      <c r="G48" s="419"/>
      <c r="H48" s="416"/>
      <c r="I48" s="419"/>
      <c r="J48" s="416"/>
      <c r="K48" s="419"/>
      <c r="L48" s="416"/>
      <c r="M48" s="419"/>
      <c r="N48" s="416"/>
      <c r="O48" s="419"/>
      <c r="P48" s="416"/>
      <c r="Q48" s="419"/>
      <c r="R48" s="416"/>
      <c r="S48" s="419"/>
      <c r="T48" s="416"/>
      <c r="U48" s="419"/>
      <c r="V48" s="416"/>
      <c r="W48" s="419"/>
      <c r="X48" s="416"/>
      <c r="Y48" s="419"/>
      <c r="Z48" s="416"/>
      <c r="AA48" s="419"/>
      <c r="AB48" s="180"/>
    </row>
    <row r="49" spans="2:28" x14ac:dyDescent="0.25">
      <c r="B49" s="9" t="s">
        <v>41</v>
      </c>
      <c r="C49" s="418">
        <v>973.84199999999998</v>
      </c>
      <c r="D49" s="417">
        <f>IF(C$44=0,"N.D.",C49/C$44)</f>
        <v>0.57782843661961802</v>
      </c>
      <c r="E49" s="418">
        <v>929.81200000000001</v>
      </c>
      <c r="F49" s="417">
        <f>IF(E$44=0,"N.D.",E49/E$44)</f>
        <v>0.57026992714401981</v>
      </c>
      <c r="G49" s="418">
        <v>1031.51</v>
      </c>
      <c r="H49" s="417">
        <f>IF(G$44=0,"N.D.",G49/G$44)</f>
        <v>0.52191120360208842</v>
      </c>
      <c r="I49" s="418">
        <v>974.77300000000002</v>
      </c>
      <c r="J49" s="417">
        <f>IF(I$44=0,"N.D.",I49/I$44)</f>
        <v>0.5409785389623003</v>
      </c>
      <c r="K49" s="418">
        <v>3.254</v>
      </c>
      <c r="L49" s="417" t="str">
        <f>IF(K$44=0,"N.D.",K49/K$44)</f>
        <v>N.D.</v>
      </c>
      <c r="M49" s="418">
        <v>0.36699999999999999</v>
      </c>
      <c r="N49" s="417" t="str">
        <f>IF(M$44=0,"N.D.",M49/M$44)</f>
        <v>N.D.</v>
      </c>
      <c r="O49" s="418">
        <v>0.36657000000000001</v>
      </c>
      <c r="P49" s="417" t="str">
        <f>IF(O$44=0,"N.D.",O49/O$44)</f>
        <v>N.D.</v>
      </c>
      <c r="Q49" s="418"/>
      <c r="R49" s="417" t="str">
        <f>IF(Q$44=0,"N.D.",Q49/Q$44)</f>
        <v>N.D.</v>
      </c>
      <c r="S49" s="418"/>
      <c r="T49" s="417" t="str">
        <f>IF(S$44=0,"N.D.",S49/S$44)</f>
        <v>N.D.</v>
      </c>
      <c r="U49" s="418"/>
      <c r="V49" s="417" t="str">
        <f>IF(U$44=0,"N.D.",U49/U$44)</f>
        <v>N.D.</v>
      </c>
      <c r="W49" s="418"/>
      <c r="X49" s="417" t="str">
        <f>IF(W$44=0,"N.D.",W49/W$44)</f>
        <v>N.D.</v>
      </c>
      <c r="Y49" s="418"/>
      <c r="Z49" s="417" t="str">
        <f>IF(Y$44=0,"N.D.",Y49/Y$44)</f>
        <v>N.D.</v>
      </c>
      <c r="AA49" s="418">
        <f t="shared" si="37"/>
        <v>3913.9245700000001</v>
      </c>
      <c r="AB49" s="182">
        <f>IF(AA$44=0,"N.D.",AA49/AA$44)</f>
        <v>0.55171513837406383</v>
      </c>
    </row>
    <row r="50" spans="2:28" x14ac:dyDescent="0.25">
      <c r="B50" s="9" t="s">
        <v>42</v>
      </c>
      <c r="C50" s="314">
        <v>124.111</v>
      </c>
      <c r="D50" s="414">
        <f>IF(C$44=0,"N.D.",C50/C$44)</f>
        <v>7.3641170844241072E-2</v>
      </c>
      <c r="E50" s="314">
        <v>105.161</v>
      </c>
      <c r="F50" s="414">
        <f>IF(E$44=0,"N.D.",E50/E$44)</f>
        <v>6.4497076622362662E-2</v>
      </c>
      <c r="G50" s="314">
        <v>110.70099999999999</v>
      </c>
      <c r="H50" s="414">
        <f>IF(G$44=0,"N.D.",G50/G$44)</f>
        <v>5.6011179872182321E-2</v>
      </c>
      <c r="I50" s="314">
        <v>100.408</v>
      </c>
      <c r="J50" s="414">
        <f>IF(I$44=0,"N.D.",I50/I$44)</f>
        <v>5.5724330834077934E-2</v>
      </c>
      <c r="K50" s="314">
        <v>17.725000000000001</v>
      </c>
      <c r="L50" s="414" t="str">
        <f>IF(K$44=0,"N.D.",K50/K$44)</f>
        <v>N.D.</v>
      </c>
      <c r="M50" s="314">
        <v>8.5839999999999996</v>
      </c>
      <c r="N50" s="414" t="str">
        <f>IF(M$44=0,"N.D.",M50/M$44)</f>
        <v>N.D.</v>
      </c>
      <c r="O50" s="314">
        <v>8.5841399999999997</v>
      </c>
      <c r="P50" s="414" t="str">
        <f>IF(O$44=0,"N.D.",O50/O$44)</f>
        <v>N.D.</v>
      </c>
      <c r="Q50" s="314"/>
      <c r="R50" s="414" t="str">
        <f>IF(Q$44=0,"N.D.",Q50/Q$44)</f>
        <v>N.D.</v>
      </c>
      <c r="S50" s="314"/>
      <c r="T50" s="414" t="str">
        <f>IF(S$44=0,"N.D.",S50/S$44)</f>
        <v>N.D.</v>
      </c>
      <c r="U50" s="314"/>
      <c r="V50" s="414" t="str">
        <f>IF(U$44=0,"N.D.",U50/U$44)</f>
        <v>N.D.</v>
      </c>
      <c r="W50" s="314"/>
      <c r="X50" s="414" t="str">
        <f>IF(W$44=0,"N.D.",W50/W$44)</f>
        <v>N.D.</v>
      </c>
      <c r="Y50" s="314"/>
      <c r="Z50" s="414" t="str">
        <f>IF(Y$44=0,"N.D.",Y50/Y$44)</f>
        <v>N.D.</v>
      </c>
      <c r="AA50" s="314">
        <f t="shared" si="37"/>
        <v>475.27413999999999</v>
      </c>
      <c r="AB50" s="176">
        <f>IF(AA$44=0,"N.D.",AA50/AA$44)</f>
        <v>6.6995654419501033E-2</v>
      </c>
    </row>
    <row r="51" spans="2:28" x14ac:dyDescent="0.25">
      <c r="B51" s="9" t="s">
        <v>43</v>
      </c>
      <c r="C51" s="314">
        <v>14.307</v>
      </c>
      <c r="D51" s="414">
        <f>IF(C$44=0,"N.D.",C51/C$44)</f>
        <v>8.4890479592345316E-3</v>
      </c>
      <c r="E51" s="314">
        <v>14.307</v>
      </c>
      <c r="F51" s="414">
        <f>IF(E$44=0,"N.D.",E51/E$44)</f>
        <v>8.774732792918882E-3</v>
      </c>
      <c r="G51" s="314">
        <v>14.307</v>
      </c>
      <c r="H51" s="414">
        <f>IF(G$44=0,"N.D.",G51/G$44)</f>
        <v>7.2388862831529299E-3</v>
      </c>
      <c r="I51" s="314">
        <v>14.307</v>
      </c>
      <c r="J51" s="414">
        <f>IF(I$44=0,"N.D.",I51/I$44)</f>
        <v>7.9400844678028937E-3</v>
      </c>
      <c r="K51" s="314">
        <v>0</v>
      </c>
      <c r="L51" s="414" t="str">
        <f>IF(K$44=0,"N.D.",K51/K$44)</f>
        <v>N.D.</v>
      </c>
      <c r="M51" s="314">
        <v>0</v>
      </c>
      <c r="N51" s="414" t="str">
        <f>IF(M$44=0,"N.D.",M51/M$44)</f>
        <v>N.D.</v>
      </c>
      <c r="O51" s="314">
        <v>0</v>
      </c>
      <c r="P51" s="414" t="str">
        <f>IF(O$44=0,"N.D.",O51/O$44)</f>
        <v>N.D.</v>
      </c>
      <c r="Q51" s="314"/>
      <c r="R51" s="414" t="str">
        <f>IF(Q$44=0,"N.D.",Q51/Q$44)</f>
        <v>N.D.</v>
      </c>
      <c r="S51" s="314"/>
      <c r="T51" s="414" t="str">
        <f>IF(S$44=0,"N.D.",S51/S$44)</f>
        <v>N.D.</v>
      </c>
      <c r="U51" s="314"/>
      <c r="V51" s="414" t="str">
        <f>IF(U$44=0,"N.D.",U51/U$44)</f>
        <v>N.D.</v>
      </c>
      <c r="W51" s="314"/>
      <c r="X51" s="414" t="str">
        <f>IF(W$44=0,"N.D.",W51/W$44)</f>
        <v>N.D.</v>
      </c>
      <c r="Y51" s="314"/>
      <c r="Z51" s="414" t="str">
        <f>IF(Y$44=0,"N.D.",Y51/Y$44)</f>
        <v>N.D.</v>
      </c>
      <c r="AA51" s="314">
        <f t="shared" si="37"/>
        <v>57.228000000000002</v>
      </c>
      <c r="AB51" s="176">
        <f>IF(AA$44=0,"N.D.",AA51/AA$44)</f>
        <v>8.0669806926991772E-3</v>
      </c>
    </row>
    <row r="52" spans="2:28" ht="13" x14ac:dyDescent="0.3">
      <c r="B52" s="9" t="s">
        <v>44</v>
      </c>
      <c r="C52" s="381">
        <v>1112.26</v>
      </c>
      <c r="D52" s="415">
        <f>IF(C$44=0,"N.D.",C52/C$44)</f>
        <v>0.65995865542309362</v>
      </c>
      <c r="E52" s="381">
        <v>1049.28</v>
      </c>
      <c r="F52" s="415">
        <f>IF(E$44=0,"N.D.",E52/E$44)</f>
        <v>0.64354173655930136</v>
      </c>
      <c r="G52" s="381">
        <v>1156.518</v>
      </c>
      <c r="H52" s="415">
        <f>IF(G$44=0,"N.D.",G52/G$44)</f>
        <v>0.58516126975742366</v>
      </c>
      <c r="I52" s="381">
        <v>1089.4880000000001</v>
      </c>
      <c r="J52" s="415">
        <f>IF(I$44=0,"N.D.",I52/I$44)</f>
        <v>0.60464295426418113</v>
      </c>
      <c r="K52" s="381">
        <v>20.979000000000003</v>
      </c>
      <c r="L52" s="415" t="str">
        <f>IF(K$44=0,"N.D.",K52/K$44)</f>
        <v>N.D.</v>
      </c>
      <c r="M52" s="381">
        <v>8.9510000000000005</v>
      </c>
      <c r="N52" s="415" t="str">
        <f>IF(M$44=0,"N.D.",M52/M$44)</f>
        <v>N.D.</v>
      </c>
      <c r="O52" s="381">
        <v>8.9507099999999991</v>
      </c>
      <c r="P52" s="415" t="str">
        <f>IF(O$44=0,"N.D.",O52/O$44)</f>
        <v>N.D.</v>
      </c>
      <c r="Q52" s="381"/>
      <c r="R52" s="415" t="str">
        <f>IF(Q$44=0,"N.D.",Q52/Q$44)</f>
        <v>N.D.</v>
      </c>
      <c r="S52" s="381"/>
      <c r="T52" s="415" t="str">
        <f>IF(S$44=0,"N.D.",S52/S$44)</f>
        <v>N.D.</v>
      </c>
      <c r="U52" s="381"/>
      <c r="V52" s="415" t="str">
        <f>IF(U$44=0,"N.D.",U52/U$44)</f>
        <v>N.D.</v>
      </c>
      <c r="W52" s="381"/>
      <c r="X52" s="415" t="str">
        <f>IF(W$44=0,"N.D.",W52/W$44)</f>
        <v>N.D.</v>
      </c>
      <c r="Y52" s="381"/>
      <c r="Z52" s="415" t="str">
        <f>IF(Y$44=0,"N.D.",Y52/Y$44)</f>
        <v>N.D.</v>
      </c>
      <c r="AA52" s="381">
        <f t="shared" si="37"/>
        <v>4446.4267099999997</v>
      </c>
      <c r="AB52" s="178">
        <f>IF(AA$44=0,"N.D.",AA52/AA$44)</f>
        <v>0.62677777348626407</v>
      </c>
    </row>
    <row r="53" spans="2:28" ht="13" x14ac:dyDescent="0.3">
      <c r="B53" s="9" t="s">
        <v>45</v>
      </c>
      <c r="C53" s="381">
        <v>-63.973999999999933</v>
      </c>
      <c r="D53" s="415">
        <f>IF(C$44=0,"N.D.",C53/C$44)</f>
        <v>-3.7958925990359223E-2</v>
      </c>
      <c r="E53" s="381">
        <v>-35.122999999999934</v>
      </c>
      <c r="F53" s="415">
        <f>IF(E$44=0,"N.D.",E53/E$44)</f>
        <v>-2.1541548884160849E-2</v>
      </c>
      <c r="G53" s="381">
        <v>72.809000000000196</v>
      </c>
      <c r="H53" s="415">
        <f>IF(G$44=0,"N.D.",G53/G$44)</f>
        <v>3.6839034835401067E-2</v>
      </c>
      <c r="I53" s="381">
        <v>31.274999999999864</v>
      </c>
      <c r="J53" s="415">
        <f>IF(I$44=0,"N.D.",I53/I$44)</f>
        <v>1.7356968038759659E-2</v>
      </c>
      <c r="K53" s="381">
        <v>-20.979000000000003</v>
      </c>
      <c r="L53" s="415" t="str">
        <f>IF(K$44=0,"N.D.",K53/K$44)</f>
        <v>N.D.</v>
      </c>
      <c r="M53" s="381">
        <v>-8.9510000000000005</v>
      </c>
      <c r="N53" s="415" t="str">
        <f>IF(M$44=0,"N.D.",M53/M$44)</f>
        <v>N.D.</v>
      </c>
      <c r="O53" s="381">
        <v>-8.9507099999999991</v>
      </c>
      <c r="P53" s="415" t="str">
        <f>IF(O$44=0,"N.D.",O53/O$44)</f>
        <v>N.D.</v>
      </c>
      <c r="Q53" s="381"/>
      <c r="R53" s="415" t="str">
        <f>IF(Q$44=0,"N.D.",Q53/Q$44)</f>
        <v>N.D.</v>
      </c>
      <c r="S53" s="381"/>
      <c r="T53" s="415" t="str">
        <f>IF(S$44=0,"N.D.",S53/S$44)</f>
        <v>N.D.</v>
      </c>
      <c r="U53" s="381"/>
      <c r="V53" s="415" t="str">
        <f>IF(U$44=0,"N.D.",U53/U$44)</f>
        <v>N.D.</v>
      </c>
      <c r="W53" s="381"/>
      <c r="X53" s="415" t="str">
        <f>IF(W$44=0,"N.D.",W53/W$44)</f>
        <v>N.D.</v>
      </c>
      <c r="Y53" s="381"/>
      <c r="Z53" s="415" t="str">
        <f>IF(Y$44=0,"N.D.",Y53/Y$44)</f>
        <v>N.D.</v>
      </c>
      <c r="AA53" s="381">
        <f t="shared" si="37"/>
        <v>-33.893709999999814</v>
      </c>
      <c r="AB53" s="178">
        <f>IF(AA$44=0,"N.D.",AA53/AA$44)</f>
        <v>-4.7777295060799519E-3</v>
      </c>
    </row>
    <row r="54" spans="2:28" x14ac:dyDescent="0.25">
      <c r="C54" s="419"/>
      <c r="D54" s="416"/>
      <c r="E54" s="419"/>
      <c r="F54" s="416"/>
      <c r="G54" s="419"/>
      <c r="H54" s="416"/>
      <c r="I54" s="419"/>
      <c r="J54" s="416"/>
      <c r="K54" s="419"/>
      <c r="L54" s="416"/>
      <c r="M54" s="419"/>
      <c r="N54" s="416"/>
      <c r="O54" s="419"/>
      <c r="P54" s="416"/>
      <c r="Q54" s="419"/>
      <c r="R54" s="416"/>
      <c r="S54" s="419"/>
      <c r="T54" s="416"/>
      <c r="U54" s="419"/>
      <c r="V54" s="416"/>
      <c r="W54" s="419"/>
      <c r="X54" s="416"/>
      <c r="Y54" s="419"/>
      <c r="Z54" s="416"/>
      <c r="AA54" s="419"/>
      <c r="AB54" s="180"/>
    </row>
    <row r="55" spans="2:28" x14ac:dyDescent="0.25">
      <c r="B55" s="9"/>
      <c r="C55" s="418">
        <v>0</v>
      </c>
      <c r="D55" s="417">
        <f>IF(C$44=0,"N.D.",C55/C$44)</f>
        <v>0</v>
      </c>
      <c r="E55" s="418">
        <v>0</v>
      </c>
      <c r="F55" s="417">
        <f>IF(E$44=0,"N.D.",E55/E$44)</f>
        <v>0</v>
      </c>
      <c r="G55" s="418">
        <v>0</v>
      </c>
      <c r="H55" s="417">
        <f>IF(G$44=0,"N.D.",G55/G$44)</f>
        <v>0</v>
      </c>
      <c r="I55" s="418">
        <v>0</v>
      </c>
      <c r="J55" s="417">
        <f>IF(I$44=0,"N.D.",I55/I$44)</f>
        <v>0</v>
      </c>
      <c r="K55" s="418">
        <v>0</v>
      </c>
      <c r="L55" s="417" t="str">
        <f>IF(K$44=0,"N.D.",K55/K$44)</f>
        <v>N.D.</v>
      </c>
      <c r="M55" s="418">
        <v>0</v>
      </c>
      <c r="N55" s="417" t="str">
        <f>IF(M$44=0,"N.D.",M55/M$44)</f>
        <v>N.D.</v>
      </c>
      <c r="O55" s="418">
        <v>0</v>
      </c>
      <c r="P55" s="417" t="str">
        <f>IF(O$44=0,"N.D.",O55/O$44)</f>
        <v>N.D.</v>
      </c>
      <c r="Q55" s="418"/>
      <c r="R55" s="417" t="str">
        <f>IF(Q$44=0,"N.D.",Q55/Q$44)</f>
        <v>N.D.</v>
      </c>
      <c r="S55" s="418"/>
      <c r="T55" s="417" t="str">
        <f>IF(S$44=0,"N.D.",S55/S$44)</f>
        <v>N.D.</v>
      </c>
      <c r="U55" s="418"/>
      <c r="V55" s="417" t="str">
        <f>IF(U$44=0,"N.D.",U55/U$44)</f>
        <v>N.D.</v>
      </c>
      <c r="W55" s="418"/>
      <c r="X55" s="417" t="str">
        <f>IF(W$44=0,"N.D.",W55/W$44)</f>
        <v>N.D.</v>
      </c>
      <c r="Y55" s="418"/>
      <c r="Z55" s="417" t="str">
        <f>IF(Y$44=0,"N.D.",Y55/Y$44)</f>
        <v>N.D.</v>
      </c>
      <c r="AA55" s="418">
        <f t="shared" si="37"/>
        <v>0</v>
      </c>
      <c r="AB55" s="182">
        <f>IF(AA$44=0,"N.D.",AA55/AA$44)</f>
        <v>0</v>
      </c>
    </row>
    <row r="56" spans="2:28" x14ac:dyDescent="0.25">
      <c r="B56" s="9" t="s">
        <v>52</v>
      </c>
      <c r="C56" s="314">
        <v>-30</v>
      </c>
      <c r="D56" s="414">
        <f>IF(C$44=0,"N.D.",C56/C$44)</f>
        <v>-1.7800478002169287E-2</v>
      </c>
      <c r="E56" s="314">
        <v>-51.38</v>
      </c>
      <c r="F56" s="414">
        <f>IF(E$44=0,"N.D.",E56/E$44)</f>
        <v>-3.1512250709454966E-2</v>
      </c>
      <c r="G56" s="314">
        <v>-51.38</v>
      </c>
      <c r="H56" s="414">
        <f>IF(G$44=0,"N.D.",G56/G$44)</f>
        <v>-2.5996643407310935E-2</v>
      </c>
      <c r="I56" s="314">
        <v>-51.38</v>
      </c>
      <c r="J56" s="414">
        <f>IF(I$44=0,"N.D.",I56/I$44)</f>
        <v>-2.8514820714035976E-2</v>
      </c>
      <c r="K56" s="314">
        <v>-7.5359999999999996</v>
      </c>
      <c r="L56" s="414" t="str">
        <f>IF(K$44=0,"N.D.",K56/K$44)</f>
        <v>N.D.</v>
      </c>
      <c r="M56" s="314">
        <v>-4.2789999999999999</v>
      </c>
      <c r="N56" s="414" t="str">
        <f>IF(M$44=0,"N.D.",M56/M$44)</f>
        <v>N.D.</v>
      </c>
      <c r="O56" s="314">
        <v>-4.2791399999999999</v>
      </c>
      <c r="P56" s="414" t="str">
        <f>IF(O$44=0,"N.D.",O56/O$44)</f>
        <v>N.D.</v>
      </c>
      <c r="Q56" s="314"/>
      <c r="R56" s="414" t="str">
        <f>IF(Q$44=0,"N.D.",Q56/Q$44)</f>
        <v>N.D.</v>
      </c>
      <c r="S56" s="314"/>
      <c r="T56" s="414" t="str">
        <f>IF(S$44=0,"N.D.",S56/S$44)</f>
        <v>N.D.</v>
      </c>
      <c r="U56" s="314"/>
      <c r="V56" s="414" t="str">
        <f>IF(U$44=0,"N.D.",U56/U$44)</f>
        <v>N.D.</v>
      </c>
      <c r="W56" s="314"/>
      <c r="X56" s="414" t="str">
        <f>IF(W$44=0,"N.D.",W56/W$44)</f>
        <v>N.D.</v>
      </c>
      <c r="Y56" s="314"/>
      <c r="Z56" s="414" t="str">
        <f>IF(Y$44=0,"N.D.",Y56/Y$44)</f>
        <v>N.D.</v>
      </c>
      <c r="AA56" s="314">
        <f t="shared" si="37"/>
        <v>-200.23414</v>
      </c>
      <c r="AB56" s="176">
        <f>IF(AA$44=0,"N.D.",AA56/AA$44)</f>
        <v>-2.8225430582917869E-2</v>
      </c>
    </row>
    <row r="57" spans="2:28" x14ac:dyDescent="0.25">
      <c r="B57" s="9" t="s">
        <v>184</v>
      </c>
      <c r="C57" s="314">
        <v>31</v>
      </c>
      <c r="D57" s="414">
        <f>IF(C$44=0,"N.D.",C57/C$44)</f>
        <v>1.8393827268908262E-2</v>
      </c>
      <c r="E57" s="314">
        <v>31.422000000000001</v>
      </c>
      <c r="F57" s="414">
        <f>IF(E$44=0,"N.D.",E57/E$44)</f>
        <v>1.9271660992458035E-2</v>
      </c>
      <c r="G57" s="314">
        <v>31.282</v>
      </c>
      <c r="H57" s="414">
        <f>IF(G$44=0,"N.D.",G57/G$44)</f>
        <v>1.5827695583252251E-2</v>
      </c>
      <c r="I57" s="314">
        <v>31.141999999999999</v>
      </c>
      <c r="J57" s="414">
        <f>IF(I$44=0,"N.D.",I57/I$44)</f>
        <v>1.7283155832551737E-2</v>
      </c>
      <c r="K57" s="314">
        <v>0</v>
      </c>
      <c r="L57" s="414" t="str">
        <f>IF(K$44=0,"N.D.",K57/K$44)</f>
        <v>N.D.</v>
      </c>
      <c r="M57" s="314">
        <v>0</v>
      </c>
      <c r="N57" s="414" t="str">
        <f>IF(M$44=0,"N.D.",M57/M$44)</f>
        <v>N.D.</v>
      </c>
      <c r="O57" s="314">
        <v>0</v>
      </c>
      <c r="P57" s="414" t="str">
        <f>IF(O$44=0,"N.D.",O57/O$44)</f>
        <v>N.D.</v>
      </c>
      <c r="Q57" s="314"/>
      <c r="R57" s="414" t="str">
        <f>IF(Q$44=0,"N.D.",Q57/Q$44)</f>
        <v>N.D.</v>
      </c>
      <c r="S57" s="314"/>
      <c r="T57" s="414" t="str">
        <f>IF(S$44=0,"N.D.",S57/S$44)</f>
        <v>N.D.</v>
      </c>
      <c r="U57" s="314"/>
      <c r="V57" s="414" t="str">
        <f>IF(U$44=0,"N.D.",U57/U$44)</f>
        <v>N.D.</v>
      </c>
      <c r="W57" s="314"/>
      <c r="X57" s="414" t="str">
        <f>IF(W$44=0,"N.D.",W57/W$44)</f>
        <v>N.D.</v>
      </c>
      <c r="Y57" s="314"/>
      <c r="Z57" s="414" t="str">
        <f>IF(Y$44=0,"N.D.",Y57/Y$44)</f>
        <v>N.D.</v>
      </c>
      <c r="AA57" s="314">
        <f t="shared" si="37"/>
        <v>124.846</v>
      </c>
      <c r="AB57" s="176">
        <f>IF(AA$44=0,"N.D.",AA57/AA$44)</f>
        <v>1.7598557901040073E-2</v>
      </c>
    </row>
    <row r="58" spans="2:28" x14ac:dyDescent="0.25">
      <c r="B58" s="9" t="s">
        <v>47</v>
      </c>
      <c r="C58" s="314">
        <v>0</v>
      </c>
      <c r="D58" s="414">
        <f>IF(C$44=0,"N.D.",C58/C$44)</f>
        <v>0</v>
      </c>
      <c r="E58" s="314">
        <v>0</v>
      </c>
      <c r="F58" s="414">
        <f>IF(E$44=0,"N.D.",E58/E$44)</f>
        <v>0</v>
      </c>
      <c r="G58" s="314">
        <v>0</v>
      </c>
      <c r="H58" s="414">
        <f>IF(G$44=0,"N.D.",G58/G$44)</f>
        <v>0</v>
      </c>
      <c r="I58" s="314">
        <v>0</v>
      </c>
      <c r="J58" s="414">
        <f>IF(I$44=0,"N.D.",I58/I$44)</f>
        <v>0</v>
      </c>
      <c r="K58" s="314">
        <v>0</v>
      </c>
      <c r="L58" s="414" t="str">
        <f>IF(K$44=0,"N.D.",K58/K$44)</f>
        <v>N.D.</v>
      </c>
      <c r="M58" s="314">
        <v>0</v>
      </c>
      <c r="N58" s="414" t="str">
        <f>IF(M$44=0,"N.D.",M58/M$44)</f>
        <v>N.D.</v>
      </c>
      <c r="O58" s="314">
        <v>0</v>
      </c>
      <c r="P58" s="414" t="str">
        <f>IF(O$44=0,"N.D.",O58/O$44)</f>
        <v>N.D.</v>
      </c>
      <c r="Q58" s="314"/>
      <c r="R58" s="414" t="str">
        <f>IF(Q$44=0,"N.D.",Q58/Q$44)</f>
        <v>N.D.</v>
      </c>
      <c r="S58" s="314"/>
      <c r="T58" s="414" t="str">
        <f>IF(S$44=0,"N.D.",S58/S$44)</f>
        <v>N.D.</v>
      </c>
      <c r="U58" s="314"/>
      <c r="V58" s="414" t="str">
        <f>IF(U$44=0,"N.D.",U58/U$44)</f>
        <v>N.D.</v>
      </c>
      <c r="W58" s="314"/>
      <c r="X58" s="414" t="str">
        <f>IF(W$44=0,"N.D.",W58/W$44)</f>
        <v>N.D.</v>
      </c>
      <c r="Y58" s="314"/>
      <c r="Z58" s="414" t="str">
        <f>IF(Y$44=0,"N.D.",Y58/Y$44)</f>
        <v>N.D.</v>
      </c>
      <c r="AA58" s="314">
        <f t="shared" si="37"/>
        <v>0</v>
      </c>
      <c r="AB58" s="176">
        <f>IF(AA$44=0,"N.D.",AA58/AA$44)</f>
        <v>0</v>
      </c>
    </row>
    <row r="59" spans="2:28" x14ac:dyDescent="0.25">
      <c r="C59" s="314"/>
      <c r="D59" s="414"/>
      <c r="E59" s="314"/>
      <c r="F59" s="414"/>
      <c r="G59" s="314"/>
      <c r="H59" s="414"/>
      <c r="I59" s="314"/>
      <c r="J59" s="414"/>
      <c r="K59" s="314"/>
      <c r="L59" s="414"/>
      <c r="M59" s="314"/>
      <c r="N59" s="414"/>
      <c r="O59" s="314"/>
      <c r="P59" s="414"/>
      <c r="Q59" s="314"/>
      <c r="R59" s="414"/>
      <c r="S59" s="314"/>
      <c r="T59" s="414"/>
      <c r="U59" s="314"/>
      <c r="V59" s="414"/>
      <c r="W59" s="314"/>
      <c r="X59" s="414"/>
      <c r="Y59" s="314"/>
      <c r="Z59" s="414"/>
      <c r="AA59" s="314">
        <f t="shared" si="37"/>
        <v>0</v>
      </c>
      <c r="AB59" s="176"/>
    </row>
    <row r="60" spans="2:28" ht="13" x14ac:dyDescent="0.3">
      <c r="B60" s="9" t="s">
        <v>48</v>
      </c>
      <c r="C60" s="381">
        <v>1</v>
      </c>
      <c r="D60" s="415">
        <f>IF(C$44=0,"N.D.",C60/C$44)</f>
        <v>5.9334926673897614E-4</v>
      </c>
      <c r="E60" s="381">
        <v>-19.958000000000002</v>
      </c>
      <c r="F60" s="415">
        <f>IF(E$44=0,"N.D.",E60/E$44)</f>
        <v>-1.2240589716996928E-2</v>
      </c>
      <c r="G60" s="381">
        <v>-20.098000000000003</v>
      </c>
      <c r="H60" s="415">
        <f>IF(G$44=0,"N.D.",G60/G$44)</f>
        <v>-1.0168947824058685E-2</v>
      </c>
      <c r="I60" s="381">
        <v>-20.238000000000003</v>
      </c>
      <c r="J60" s="415">
        <f>IF(I$44=0,"N.D.",I60/I$44)</f>
        <v>-1.1231664881484239E-2</v>
      </c>
      <c r="K60" s="381">
        <v>-7.5359999999999996</v>
      </c>
      <c r="L60" s="415" t="str">
        <f>IF(K$44=0,"N.D.",K60/K$44)</f>
        <v>N.D.</v>
      </c>
      <c r="M60" s="381">
        <v>-4.2789999999999999</v>
      </c>
      <c r="N60" s="415" t="str">
        <f>IF(M$44=0,"N.D.",M60/M$44)</f>
        <v>N.D.</v>
      </c>
      <c r="O60" s="381">
        <v>-4.2791399999999999</v>
      </c>
      <c r="P60" s="415" t="str">
        <f>IF(O$44=0,"N.D.",O60/O$44)</f>
        <v>N.D.</v>
      </c>
      <c r="Q60" s="381"/>
      <c r="R60" s="415" t="str">
        <f>IF(Q$44=0,"N.D.",Q60/Q$44)</f>
        <v>N.D.</v>
      </c>
      <c r="S60" s="381"/>
      <c r="T60" s="415" t="str">
        <f>IF(S$44=0,"N.D.",S60/S$44)</f>
        <v>N.D.</v>
      </c>
      <c r="U60" s="381"/>
      <c r="V60" s="415" t="str">
        <f>IF(U$44=0,"N.D.",U60/U$44)</f>
        <v>N.D.</v>
      </c>
      <c r="W60" s="381"/>
      <c r="X60" s="415" t="str">
        <f>IF(W$44=0,"N.D.",W60/W$44)</f>
        <v>N.D.</v>
      </c>
      <c r="Y60" s="381"/>
      <c r="Z60" s="415" t="str">
        <f>IF(Y$44=0,"N.D.",Y60/Y$44)</f>
        <v>N.D.</v>
      </c>
      <c r="AA60" s="381">
        <f t="shared" si="37"/>
        <v>-75.388140000000007</v>
      </c>
      <c r="AB60" s="178">
        <f>IF(AA$44=0,"N.D.",AA60/AA$44)</f>
        <v>-1.0626872681877796E-2</v>
      </c>
    </row>
    <row r="61" spans="2:28" ht="13" x14ac:dyDescent="0.3">
      <c r="B61" s="9" t="s">
        <v>49</v>
      </c>
      <c r="C61" s="381">
        <v>-64.973999999999933</v>
      </c>
      <c r="D61" s="415">
        <f>IF(C$44=0,"N.D.",C61/C$44)</f>
        <v>-3.8552275257098201E-2</v>
      </c>
      <c r="E61" s="381">
        <v>-15.164999999999932</v>
      </c>
      <c r="F61" s="415">
        <f>IF(E$44=0,"N.D.",E61/E$44)</f>
        <v>-9.3009591671639226E-3</v>
      </c>
      <c r="G61" s="381">
        <v>92.907000000000195</v>
      </c>
      <c r="H61" s="415">
        <f>IF(G$44=0,"N.D.",G61/G$44)</f>
        <v>4.7007982659459754E-2</v>
      </c>
      <c r="I61" s="381">
        <v>51.512999999999863</v>
      </c>
      <c r="J61" s="415">
        <f>IF(I$44=0,"N.D.",I61/I$44)</f>
        <v>2.8588632920243894E-2</v>
      </c>
      <c r="K61" s="381">
        <v>-13.443000000000003</v>
      </c>
      <c r="L61" s="415" t="str">
        <f>IF(K$44=0,"N.D.",K61/K$44)</f>
        <v>N.D.</v>
      </c>
      <c r="M61" s="381">
        <v>-4.6720000000000006</v>
      </c>
      <c r="N61" s="415" t="str">
        <f>IF(M$44=0,"N.D.",M61/M$44)</f>
        <v>N.D.</v>
      </c>
      <c r="O61" s="381">
        <v>-4.6715699999999991</v>
      </c>
      <c r="P61" s="415" t="str">
        <f>IF(O$44=0,"N.D.",O61/O$44)</f>
        <v>N.D.</v>
      </c>
      <c r="Q61" s="381"/>
      <c r="R61" s="415" t="str">
        <f>IF(Q$44=0,"N.D.",Q61/Q$44)</f>
        <v>N.D.</v>
      </c>
      <c r="S61" s="381"/>
      <c r="T61" s="415" t="str">
        <f>IF(S$44=0,"N.D.",S61/S$44)</f>
        <v>N.D.</v>
      </c>
      <c r="U61" s="381"/>
      <c r="V61" s="415" t="str">
        <f>IF(U$44=0,"N.D.",U61/U$44)</f>
        <v>N.D.</v>
      </c>
      <c r="W61" s="381"/>
      <c r="X61" s="415" t="str">
        <f>IF(W$44=0,"N.D.",W61/W$44)</f>
        <v>N.D.</v>
      </c>
      <c r="Y61" s="381"/>
      <c r="Z61" s="415" t="str">
        <f>IF(Y$44=0,"N.D.",Y61/Y$44)</f>
        <v>N.D.</v>
      </c>
      <c r="AA61" s="381">
        <f t="shared" si="37"/>
        <v>41.494430000000193</v>
      </c>
      <c r="AB61" s="178">
        <f>IF(AA$44=0,"N.D.",AA61/AA$44)</f>
        <v>5.8491431757978444E-3</v>
      </c>
    </row>
    <row r="62" spans="2:28" x14ac:dyDescent="0.25">
      <c r="C62" s="419"/>
      <c r="D62" s="416"/>
      <c r="E62" s="419"/>
      <c r="F62" s="416"/>
      <c r="G62" s="419"/>
      <c r="H62" s="416"/>
      <c r="I62" s="419"/>
      <c r="J62" s="416"/>
      <c r="K62" s="419"/>
      <c r="L62" s="416"/>
      <c r="M62" s="419"/>
      <c r="N62" s="416"/>
      <c r="O62" s="419"/>
      <c r="P62" s="416"/>
      <c r="Q62" s="419"/>
      <c r="R62" s="416"/>
      <c r="S62" s="419"/>
      <c r="T62" s="416"/>
      <c r="U62" s="419"/>
      <c r="V62" s="416"/>
      <c r="W62" s="419"/>
      <c r="X62" s="416"/>
      <c r="Y62" s="419"/>
      <c r="Z62" s="416"/>
      <c r="AA62" s="419"/>
      <c r="AB62" s="180"/>
    </row>
    <row r="63" spans="2:28" x14ac:dyDescent="0.25">
      <c r="B63" s="9" t="s">
        <v>50</v>
      </c>
      <c r="C63" s="418">
        <v>0</v>
      </c>
      <c r="D63" s="417">
        <f>IF(C$44=0,"N.D.",C63/C$44)</f>
        <v>0</v>
      </c>
      <c r="E63" s="418">
        <v>0</v>
      </c>
      <c r="F63" s="417">
        <f>IF(E$44=0,"N.D.",E63/E$44)</f>
        <v>0</v>
      </c>
      <c r="G63" s="418">
        <v>0</v>
      </c>
      <c r="H63" s="417">
        <f>IF(G$44=0,"N.D.",G63/G$44)</f>
        <v>0</v>
      </c>
      <c r="I63" s="418">
        <v>0</v>
      </c>
      <c r="J63" s="417">
        <f>IF(I$44=0,"N.D.",I63/I$44)</f>
        <v>0</v>
      </c>
      <c r="K63" s="418">
        <v>0</v>
      </c>
      <c r="L63" s="417" t="str">
        <f>IF(K$44=0,"N.D.",K63/K$44)</f>
        <v>N.D.</v>
      </c>
      <c r="M63" s="418">
        <v>0</v>
      </c>
      <c r="N63" s="417" t="str">
        <f>IF(M$44=0,"N.D.",M63/M$44)</f>
        <v>N.D.</v>
      </c>
      <c r="O63" s="418">
        <v>0</v>
      </c>
      <c r="P63" s="417" t="str">
        <f>IF(O$44=0,"N.D.",O63/O$44)</f>
        <v>N.D.</v>
      </c>
      <c r="Q63" s="418"/>
      <c r="R63" s="417" t="s">
        <v>181</v>
      </c>
      <c r="S63" s="418"/>
      <c r="T63" s="417" t="str">
        <f>IF(S$44=0,"N.D.",S63/S$44)</f>
        <v>N.D.</v>
      </c>
      <c r="U63" s="418"/>
      <c r="V63" s="417" t="str">
        <f>IF(U$44=0,"N.D.",U63/U$44)</f>
        <v>N.D.</v>
      </c>
      <c r="W63" s="418"/>
      <c r="X63" s="417" t="str">
        <f>IF(W$44=0,"N.D.",W63/W$44)</f>
        <v>N.D.</v>
      </c>
      <c r="Y63" s="418"/>
      <c r="Z63" s="417" t="str">
        <f>IF(Y$44=0,"N.D.",Y63/Y$44)</f>
        <v>N.D.</v>
      </c>
      <c r="AA63" s="418">
        <f t="shared" si="37"/>
        <v>0</v>
      </c>
      <c r="AB63" s="182">
        <f>IF(AA$44=0,"N.D.",AA63/AA$44)</f>
        <v>0</v>
      </c>
    </row>
    <row r="64" spans="2:28" x14ac:dyDescent="0.25">
      <c r="B64" s="9" t="s">
        <v>51</v>
      </c>
      <c r="C64" s="314">
        <v>0</v>
      </c>
      <c r="D64" s="414">
        <f>IF(C$44=0,"N.D.",C64/C$44)</f>
        <v>0</v>
      </c>
      <c r="E64" s="314">
        <v>0</v>
      </c>
      <c r="F64" s="414">
        <f>IF(E$44=0,"N.D.",E64/E$44)</f>
        <v>0</v>
      </c>
      <c r="G64" s="314">
        <v>0</v>
      </c>
      <c r="H64" s="414">
        <f>IF(G$44=0,"N.D.",G64/G$44)</f>
        <v>0</v>
      </c>
      <c r="I64" s="314">
        <v>0</v>
      </c>
      <c r="J64" s="414">
        <f>IF(I$44=0,"N.D.",I64/I$44)</f>
        <v>0</v>
      </c>
      <c r="K64" s="314">
        <v>0</v>
      </c>
      <c r="L64" s="414" t="str">
        <f>IF(K$44=0,"N.D.",K64/K$44)</f>
        <v>N.D.</v>
      </c>
      <c r="M64" s="314">
        <v>0</v>
      </c>
      <c r="N64" s="414" t="str">
        <f>IF(M$44=0,"N.D.",M64/M$44)</f>
        <v>N.D.</v>
      </c>
      <c r="O64" s="314">
        <v>0</v>
      </c>
      <c r="P64" s="414" t="str">
        <f>IF(O$44=0,"N.D.",O64/O$44)</f>
        <v>N.D.</v>
      </c>
      <c r="Q64" s="314"/>
      <c r="R64" s="414" t="str">
        <f>IF(Q$44=0,"N.D.",Q64/Q$44)</f>
        <v>N.D.</v>
      </c>
      <c r="S64" s="314"/>
      <c r="T64" s="414" t="str">
        <f>IF(S$44=0,"N.D.",S64/S$44)</f>
        <v>N.D.</v>
      </c>
      <c r="U64" s="314"/>
      <c r="V64" s="414" t="str">
        <f>IF(U$44=0,"N.D.",U64/U$44)</f>
        <v>N.D.</v>
      </c>
      <c r="W64" s="314"/>
      <c r="X64" s="414" t="str">
        <f>IF(W$44=0,"N.D.",W64/W$44)</f>
        <v>N.D.</v>
      </c>
      <c r="Y64" s="314"/>
      <c r="Z64" s="414" t="str">
        <f>IF(Y$44=0,"N.D.",Y64/Y$44)</f>
        <v>N.D.</v>
      </c>
      <c r="AA64" s="314">
        <f t="shared" si="37"/>
        <v>0</v>
      </c>
      <c r="AB64" s="176">
        <f>IF(AA$44=0,"N.D.",AA64/AA$44)</f>
        <v>0</v>
      </c>
    </row>
    <row r="65" spans="2:28" ht="13" x14ac:dyDescent="0.3">
      <c r="B65" s="1" t="s">
        <v>53</v>
      </c>
      <c r="C65" s="381">
        <v>-64.973999999999933</v>
      </c>
      <c r="D65" s="415">
        <v>0.02</v>
      </c>
      <c r="E65" s="381">
        <v>-15.164999999999932</v>
      </c>
      <c r="F65" s="415">
        <v>0.02</v>
      </c>
      <c r="G65" s="381">
        <v>92.907000000000195</v>
      </c>
      <c r="H65" s="415">
        <v>0.02</v>
      </c>
      <c r="I65" s="381">
        <v>51.512999999999863</v>
      </c>
      <c r="J65" s="415">
        <v>0.02</v>
      </c>
      <c r="K65" s="381">
        <v>-13.443000000000003</v>
      </c>
      <c r="L65" s="415">
        <v>0.02</v>
      </c>
      <c r="M65" s="381">
        <v>-4.6720000000000006</v>
      </c>
      <c r="N65" s="415">
        <v>0.02</v>
      </c>
      <c r="O65" s="381">
        <v>-4.6715699999999991</v>
      </c>
      <c r="P65" s="415">
        <v>0.02</v>
      </c>
      <c r="Q65" s="381"/>
      <c r="R65" s="415">
        <v>0.02</v>
      </c>
      <c r="S65" s="381"/>
      <c r="T65" s="415">
        <v>0.02</v>
      </c>
      <c r="U65" s="381"/>
      <c r="V65" s="415">
        <v>0.02</v>
      </c>
      <c r="W65" s="381"/>
      <c r="X65" s="415">
        <v>0.02</v>
      </c>
      <c r="Y65" s="381"/>
      <c r="Z65" s="415">
        <v>0.02</v>
      </c>
      <c r="AA65" s="381">
        <f t="shared" si="37"/>
        <v>41.494430000000193</v>
      </c>
      <c r="AB65" s="178">
        <v>0.02</v>
      </c>
    </row>
    <row r="66" spans="2:28" ht="13" x14ac:dyDescent="0.3">
      <c r="B66" s="1" t="s">
        <v>122</v>
      </c>
      <c r="C66" s="381">
        <v>-49.666999999999931</v>
      </c>
      <c r="D66" s="415">
        <v>0.02</v>
      </c>
      <c r="E66" s="381">
        <v>-20.815999999999931</v>
      </c>
      <c r="F66" s="415">
        <v>0.02</v>
      </c>
      <c r="G66" s="381">
        <v>87.116000000000199</v>
      </c>
      <c r="H66" s="415">
        <v>0.02</v>
      </c>
      <c r="I66" s="381">
        <v>45.581999999999866</v>
      </c>
      <c r="J66" s="415">
        <v>0.02</v>
      </c>
      <c r="K66" s="381">
        <v>-20.979000000000003</v>
      </c>
      <c r="L66" s="415">
        <v>0.02</v>
      </c>
      <c r="M66" s="381">
        <v>-8.9510000000000005</v>
      </c>
      <c r="N66" s="415">
        <v>0.02</v>
      </c>
      <c r="O66" s="381">
        <v>-8.9507099999999991</v>
      </c>
      <c r="P66" s="415">
        <v>0.02</v>
      </c>
      <c r="Q66" s="381"/>
      <c r="R66" s="415">
        <v>0.02</v>
      </c>
      <c r="S66" s="381"/>
      <c r="T66" s="415">
        <v>0.02</v>
      </c>
      <c r="U66" s="381"/>
      <c r="V66" s="415">
        <v>0.02</v>
      </c>
      <c r="W66" s="381"/>
      <c r="X66" s="415">
        <v>0.02</v>
      </c>
      <c r="Y66" s="381"/>
      <c r="Z66" s="415">
        <v>0.02</v>
      </c>
      <c r="AA66" s="381">
        <f t="shared" si="37"/>
        <v>23.334290000000195</v>
      </c>
      <c r="AB66" s="178">
        <v>0.02</v>
      </c>
    </row>
    <row r="67" spans="2:28" s="130" customFormat="1" ht="13" x14ac:dyDescent="0.3">
      <c r="B67" s="1" t="s">
        <v>194</v>
      </c>
      <c r="C67" s="373"/>
      <c r="D67" s="407">
        <v>0.02</v>
      </c>
      <c r="E67" s="373"/>
      <c r="F67" s="407">
        <v>0.02</v>
      </c>
      <c r="G67" s="373">
        <v>0</v>
      </c>
      <c r="H67" s="407">
        <v>0.02</v>
      </c>
      <c r="I67" s="373">
        <v>0</v>
      </c>
      <c r="J67" s="407">
        <v>0.02</v>
      </c>
      <c r="K67" s="373">
        <v>0</v>
      </c>
      <c r="L67" s="407">
        <v>0.02</v>
      </c>
      <c r="M67" s="373">
        <v>0</v>
      </c>
      <c r="N67" s="407">
        <v>0.02</v>
      </c>
      <c r="O67" s="373">
        <v>0</v>
      </c>
      <c r="P67" s="407">
        <v>0.02</v>
      </c>
      <c r="Q67" s="373"/>
      <c r="R67" s="407">
        <v>0.02</v>
      </c>
      <c r="S67" s="373"/>
      <c r="T67" s="407">
        <v>0.02</v>
      </c>
      <c r="U67" s="373"/>
      <c r="V67" s="407">
        <v>0.02</v>
      </c>
      <c r="W67" s="373"/>
      <c r="X67" s="407">
        <v>0.02</v>
      </c>
      <c r="Y67" s="373"/>
      <c r="Z67" s="407">
        <v>0.02</v>
      </c>
      <c r="AA67" s="373"/>
      <c r="AB67" s="360">
        <v>0.02</v>
      </c>
    </row>
    <row r="68" spans="2:28" s="130" customFormat="1" ht="13" x14ac:dyDescent="0.3">
      <c r="B68" s="1" t="s">
        <v>123</v>
      </c>
      <c r="C68" s="408"/>
      <c r="D68" s="409">
        <v>0.02</v>
      </c>
      <c r="E68" s="408"/>
      <c r="F68" s="409">
        <v>0.02</v>
      </c>
      <c r="G68" s="408"/>
      <c r="H68" s="409">
        <v>0.02</v>
      </c>
      <c r="I68" s="408"/>
      <c r="J68" s="409">
        <v>0.02</v>
      </c>
      <c r="K68" s="408"/>
      <c r="L68" s="409">
        <v>0.02</v>
      </c>
      <c r="M68" s="408"/>
      <c r="N68" s="409">
        <v>0.02</v>
      </c>
      <c r="O68" s="408"/>
      <c r="P68" s="409">
        <v>0.02</v>
      </c>
      <c r="Q68" s="408"/>
      <c r="R68" s="409">
        <v>0.02</v>
      </c>
      <c r="S68" s="408"/>
      <c r="T68" s="409">
        <v>0.02</v>
      </c>
      <c r="U68" s="408"/>
      <c r="V68" s="409">
        <v>0.02</v>
      </c>
      <c r="W68" s="408"/>
      <c r="X68" s="409">
        <v>0.02</v>
      </c>
      <c r="Y68" s="408"/>
      <c r="Z68" s="409">
        <v>0.02</v>
      </c>
      <c r="AA68" s="408"/>
      <c r="AB68" s="361">
        <v>0.02</v>
      </c>
    </row>
    <row r="69" spans="2:28" s="130" customFormat="1" ht="13" x14ac:dyDescent="0.3">
      <c r="B69" s="7" t="s">
        <v>190</v>
      </c>
      <c r="C69" s="410">
        <f>+C65+C67+C68+C51</f>
        <v>-50.666999999999931</v>
      </c>
      <c r="D69" s="409">
        <f t="shared" ref="D69:F72" si="38">IF(C$44=0,"N.D.",C69/C$44)</f>
        <v>-3.0063227297863666E-2</v>
      </c>
      <c r="E69" s="410">
        <f>+E65+E67+E68+E51</f>
        <v>-0.85799999999993126</v>
      </c>
      <c r="F69" s="409">
        <f t="shared" si="38"/>
        <v>-5.2622637424504075E-4</v>
      </c>
      <c r="G69" s="410">
        <v>107.2140000000002</v>
      </c>
      <c r="H69" s="409">
        <f>IF(G$44=0,"N.D.",G69/G$44)</f>
        <v>5.4246868942612686E-2</v>
      </c>
      <c r="I69" s="410">
        <v>65.819999999999865</v>
      </c>
      <c r="J69" s="409">
        <f>IF(I$44=0,"N.D.",I69/I$44)</f>
        <v>3.6528717388046791E-2</v>
      </c>
      <c r="K69" s="410">
        <v>-13.443000000000003</v>
      </c>
      <c r="L69" s="409" t="str">
        <f>IF(K$44=0,"N.D.",K69/K$44)</f>
        <v>N.D.</v>
      </c>
      <c r="M69" s="410">
        <v>-4.6720000000000006</v>
      </c>
      <c r="N69" s="409" t="str">
        <f>IF(M$44=0,"N.D.",M69/M$44)</f>
        <v>N.D.</v>
      </c>
      <c r="O69" s="410">
        <v>-4.6715699999999991</v>
      </c>
      <c r="P69" s="409" t="str">
        <f>IF(O$44=0,"N.D.",O69/O$44)</f>
        <v>N.D.</v>
      </c>
      <c r="Q69" s="410"/>
      <c r="R69" s="409" t="str">
        <f>IF(Q$44=0,"N.D.",Q69/Q$44)</f>
        <v>N.D.</v>
      </c>
      <c r="S69" s="410"/>
      <c r="T69" s="409" t="str">
        <f>IF(S$44=0,"N.D.",S69/S$44)</f>
        <v>N.D.</v>
      </c>
      <c r="U69" s="410"/>
      <c r="V69" s="409" t="str">
        <f>IF(U$44=0,"N.D.",U69/U$44)</f>
        <v>N.D.</v>
      </c>
      <c r="W69" s="410"/>
      <c r="X69" s="409" t="str">
        <f>IF(W$44=0,"N.D.",W69/W$44)</f>
        <v>N.D.</v>
      </c>
      <c r="Y69" s="410"/>
      <c r="Z69" s="409" t="str">
        <f>IF(Y$44=0,"N.D.",Y69/Y$44)</f>
        <v>N.D.</v>
      </c>
      <c r="AA69" s="410"/>
      <c r="AB69" s="361">
        <f>IF(AA$44=0,"N.D.",AA69/AA$44)</f>
        <v>0</v>
      </c>
    </row>
    <row r="70" spans="2:28" s="130" customFormat="1" ht="13" x14ac:dyDescent="0.3">
      <c r="B70" s="7" t="s">
        <v>191</v>
      </c>
      <c r="C70" s="516">
        <v>27.396509999999999</v>
      </c>
      <c r="D70" s="411">
        <f t="shared" si="38"/>
        <v>1.6255699119707027E-2</v>
      </c>
      <c r="E70" s="516">
        <v>27.396509999999999</v>
      </c>
      <c r="F70" s="411">
        <f t="shared" si="38"/>
        <v>1.680275772059342E-2</v>
      </c>
      <c r="G70" s="516">
        <v>27.396509999999999</v>
      </c>
      <c r="H70" s="411">
        <f>IF(G$44=0,"N.D.",G70/G$44)</f>
        <v>1.3861761406672403E-2</v>
      </c>
      <c r="I70" s="516">
        <v>0</v>
      </c>
      <c r="J70" s="411">
        <f>IF(I$44=0,"N.D.",I70/I$44)</f>
        <v>0</v>
      </c>
      <c r="K70" s="516">
        <v>0</v>
      </c>
      <c r="L70" s="411" t="str">
        <f>IF(K$44=0,"N.D.",K70/K$44)</f>
        <v>N.D.</v>
      </c>
      <c r="M70" s="516">
        <v>0</v>
      </c>
      <c r="N70" s="411" t="str">
        <f>IF(M$44=0,"N.D.",M70/M$44)</f>
        <v>N.D.</v>
      </c>
      <c r="O70" s="516">
        <v>0</v>
      </c>
      <c r="P70" s="411" t="str">
        <f>IF(O$44=0,"N.D.",O70/O$44)</f>
        <v>N.D.</v>
      </c>
      <c r="Q70" s="516"/>
      <c r="R70" s="411" t="str">
        <f>IF(Q$44=0,"N.D.",Q70/Q$44)</f>
        <v>N.D.</v>
      </c>
      <c r="S70" s="516"/>
      <c r="T70" s="411" t="str">
        <f>IF(S$44=0,"N.D.",S70/S$44)</f>
        <v>N.D.</v>
      </c>
      <c r="U70" s="516"/>
      <c r="V70" s="411" t="str">
        <f>IF(U$44=0,"N.D.",U70/U$44)</f>
        <v>N.D.</v>
      </c>
      <c r="W70" s="516"/>
      <c r="X70" s="411" t="str">
        <f>IF(W$44=0,"N.D.",W70/W$44)</f>
        <v>N.D.</v>
      </c>
      <c r="Y70" s="516"/>
      <c r="Z70" s="411" t="str">
        <f>IF(Y$44=0,"N.D.",Y70/Y$44)</f>
        <v>N.D.</v>
      </c>
      <c r="AA70" s="516"/>
      <c r="AB70" s="151">
        <f>IF(AA$44=0,"N.D.",AA70/AA$44)</f>
        <v>0</v>
      </c>
    </row>
    <row r="71" spans="2:28" s="130" customFormat="1" ht="13" x14ac:dyDescent="0.3">
      <c r="B71" s="7" t="s">
        <v>84</v>
      </c>
      <c r="C71" s="381">
        <f>+C69-C70</f>
        <v>-78.063509999999923</v>
      </c>
      <c r="D71" s="411">
        <f t="shared" si="38"/>
        <v>-4.631892641757069E-2</v>
      </c>
      <c r="E71" s="381">
        <f>+E69-E70</f>
        <v>-28.254509999999932</v>
      </c>
      <c r="F71" s="411">
        <f t="shared" si="38"/>
        <v>-1.7328984094838462E-2</v>
      </c>
      <c r="G71" s="381">
        <v>79.817490000000191</v>
      </c>
      <c r="H71" s="411">
        <f>IF(G$44=0,"N.D.",G71/G$44)</f>
        <v>4.0385107535940275E-2</v>
      </c>
      <c r="I71" s="381">
        <v>65.819999999999865</v>
      </c>
      <c r="J71" s="411">
        <f>IF(I$44=0,"N.D.",I71/I$44)</f>
        <v>3.6528717388046791E-2</v>
      </c>
      <c r="K71" s="381">
        <v>-13.443000000000003</v>
      </c>
      <c r="L71" s="411" t="str">
        <f>IF(K$44=0,"N.D.",K71/K$44)</f>
        <v>N.D.</v>
      </c>
      <c r="M71" s="381">
        <v>-4.6720000000000006</v>
      </c>
      <c r="N71" s="411" t="str">
        <f>IF(M$44=0,"N.D.",M71/M$44)</f>
        <v>N.D.</v>
      </c>
      <c r="O71" s="381">
        <v>-4.6715699999999991</v>
      </c>
      <c r="P71" s="411" t="str">
        <f>IF(O$44=0,"N.D.",O71/O$44)</f>
        <v>N.D.</v>
      </c>
      <c r="Q71" s="381"/>
      <c r="R71" s="411" t="str">
        <f>IF(Q$44=0,"N.D.",Q71/Q$44)</f>
        <v>N.D.</v>
      </c>
      <c r="S71" s="381"/>
      <c r="T71" s="411" t="str">
        <f>IF(S$44=0,"N.D.",S71/S$44)</f>
        <v>N.D.</v>
      </c>
      <c r="U71" s="381"/>
      <c r="V71" s="411" t="str">
        <f>IF(U$44=0,"N.D.",U71/U$44)</f>
        <v>N.D.</v>
      </c>
      <c r="W71" s="381"/>
      <c r="X71" s="411" t="str">
        <f>IF(W$44=0,"N.D.",W71/W$44)</f>
        <v>N.D.</v>
      </c>
      <c r="Y71" s="381"/>
      <c r="Z71" s="411" t="str">
        <f>IF(Y$44=0,"N.D.",Y71/Y$44)</f>
        <v>N.D.</v>
      </c>
      <c r="AA71" s="381"/>
      <c r="AB71" s="151">
        <f>IF(AA$44=0,"N.D.",AA71/AA$44)</f>
        <v>0</v>
      </c>
    </row>
    <row r="72" spans="2:28" s="130" customFormat="1" ht="13" x14ac:dyDescent="0.3">
      <c r="B72" s="1" t="s">
        <v>193</v>
      </c>
      <c r="C72" s="412"/>
      <c r="D72" s="411">
        <f t="shared" si="38"/>
        <v>0</v>
      </c>
      <c r="E72" s="412"/>
      <c r="F72" s="411">
        <f t="shared" si="38"/>
        <v>0</v>
      </c>
      <c r="G72" s="412">
        <v>3.9134181689565644</v>
      </c>
      <c r="H72" s="411">
        <f>IF(G$44=0,"N.D.",G72/G$44)</f>
        <v>1.9800649404837583E-3</v>
      </c>
      <c r="I72" s="412" t="s">
        <v>451</v>
      </c>
      <c r="J72" s="411" t="e">
        <f>IF(I$44=0,"N.D.",I72/I$44)</f>
        <v>#VALUE!</v>
      </c>
      <c r="K72" s="412" t="s">
        <v>451</v>
      </c>
      <c r="L72" s="411" t="str">
        <f>IF(K$44=0,"N.D.",K72/K$44)</f>
        <v>N.D.</v>
      </c>
      <c r="M72" s="412" t="s">
        <v>451</v>
      </c>
      <c r="N72" s="411" t="str">
        <f>IF(M$44=0,"N.D.",M72/M$44)</f>
        <v>N.D.</v>
      </c>
      <c r="O72" s="412" t="s">
        <v>451</v>
      </c>
      <c r="P72" s="411" t="str">
        <f>IF(O$44=0,"N.D.",O72/O$44)</f>
        <v>N.D.</v>
      </c>
      <c r="Q72" s="412"/>
      <c r="R72" s="411" t="str">
        <f>IF(Q$44=0,"N.D.",Q72/Q$44)</f>
        <v>N.D.</v>
      </c>
      <c r="S72" s="412"/>
      <c r="T72" s="411" t="str">
        <f>IF(S$44=0,"N.D.",S72/S$44)</f>
        <v>N.D.</v>
      </c>
      <c r="U72" s="412"/>
      <c r="V72" s="411" t="str">
        <f>IF(U$44=0,"N.D.",U72/U$44)</f>
        <v>N.D.</v>
      </c>
      <c r="W72" s="412"/>
      <c r="X72" s="411" t="str">
        <f>IF(W$44=0,"N.D.",W72/W$44)</f>
        <v>N.D.</v>
      </c>
      <c r="Y72" s="412"/>
      <c r="Z72" s="411" t="str">
        <f>IF(Y$44=0,"N.D.",Y72/Y$44)</f>
        <v>N.D.</v>
      </c>
      <c r="AA72" s="412"/>
      <c r="AB72" s="151">
        <f>IF(AA$44=0,"N.D.",AA72/AA$44)</f>
        <v>0</v>
      </c>
    </row>
    <row r="73" spans="2:28" x14ac:dyDescent="0.25">
      <c r="D73" s="429"/>
      <c r="F73" s="429"/>
      <c r="H73" s="429"/>
      <c r="J73" s="429"/>
      <c r="L73" s="429"/>
      <c r="N73" s="429"/>
      <c r="P73" s="429"/>
      <c r="R73" s="429"/>
      <c r="T73" s="429"/>
      <c r="V73" s="429"/>
      <c r="X73" s="429"/>
      <c r="Z73" s="429"/>
      <c r="AB73" s="130"/>
    </row>
    <row r="74" spans="2:28" x14ac:dyDescent="0.25">
      <c r="D74" s="429"/>
      <c r="F74" s="429"/>
      <c r="H74" s="429"/>
      <c r="J74" s="429"/>
      <c r="L74" s="429"/>
      <c r="N74" s="429"/>
      <c r="P74" s="429"/>
      <c r="R74" s="429"/>
      <c r="T74" s="429"/>
      <c r="V74" s="429"/>
      <c r="X74" s="429"/>
      <c r="Z74" s="429"/>
      <c r="AB74" s="130"/>
    </row>
    <row r="75" spans="2:28" ht="13" x14ac:dyDescent="0.3">
      <c r="D75" s="430"/>
      <c r="F75" s="430"/>
      <c r="H75" s="430"/>
      <c r="J75" s="430"/>
      <c r="L75" s="430"/>
      <c r="N75" s="430"/>
      <c r="P75" s="430"/>
      <c r="R75" s="430"/>
      <c r="T75" s="430"/>
      <c r="V75" s="430"/>
      <c r="X75" s="430"/>
      <c r="Z75" s="430"/>
      <c r="AB75" s="135"/>
    </row>
    <row r="76" spans="2:28" ht="13" x14ac:dyDescent="0.3">
      <c r="B76" s="251" t="s">
        <v>341</v>
      </c>
      <c r="C76" s="396" t="s">
        <v>418</v>
      </c>
      <c r="D76" s="397"/>
      <c r="E76" s="396" t="s">
        <v>419</v>
      </c>
      <c r="F76" s="397"/>
      <c r="G76" s="396" t="s">
        <v>417</v>
      </c>
      <c r="H76" s="397"/>
      <c r="I76" s="396" t="s">
        <v>420</v>
      </c>
      <c r="J76" s="397"/>
      <c r="K76" s="396" t="s">
        <v>421</v>
      </c>
      <c r="L76" s="397"/>
      <c r="M76" s="396" t="s">
        <v>422</v>
      </c>
      <c r="N76" s="397"/>
      <c r="O76" s="396" t="s">
        <v>423</v>
      </c>
      <c r="P76" s="397"/>
      <c r="Q76" s="396" t="s">
        <v>428</v>
      </c>
      <c r="R76" s="397"/>
      <c r="S76" s="396" t="s">
        <v>424</v>
      </c>
      <c r="T76" s="397"/>
      <c r="U76" s="396" t="s">
        <v>425</v>
      </c>
      <c r="V76" s="397"/>
      <c r="W76" s="396" t="s">
        <v>426</v>
      </c>
      <c r="X76" s="397"/>
      <c r="Y76" s="396" t="s">
        <v>427</v>
      </c>
      <c r="Z76" s="431"/>
      <c r="AA76" s="396" t="s">
        <v>497</v>
      </c>
      <c r="AB76" s="136"/>
    </row>
    <row r="77" spans="2:28" x14ac:dyDescent="0.25">
      <c r="B77" s="9" t="s">
        <v>38</v>
      </c>
      <c r="C77" s="314">
        <v>285.48500000000001</v>
      </c>
      <c r="D77" s="414">
        <f>IF(C$77=0,"N.D.",C77/C$77)</f>
        <v>1</v>
      </c>
      <c r="E77" s="314">
        <v>288.41399999999999</v>
      </c>
      <c r="F77" s="414">
        <f>IF(E$77=0,"N.D.",E77/E$77)</f>
        <v>1</v>
      </c>
      <c r="G77" s="314">
        <v>334.673</v>
      </c>
      <c r="H77" s="414">
        <f>IF(G$77=0,"N.D.",G77/G$77)</f>
        <v>1</v>
      </c>
      <c r="I77" s="314">
        <v>305.74599999999998</v>
      </c>
      <c r="J77" s="414">
        <f>IF(I$77=0,"N.D.",I77/I$77)</f>
        <v>1</v>
      </c>
      <c r="K77" s="314">
        <v>321.726</v>
      </c>
      <c r="L77" s="414">
        <f>IF(K$77=0,"N.D.",K77/K$77)</f>
        <v>1</v>
      </c>
      <c r="M77" s="314">
        <v>300.29399999999998</v>
      </c>
      <c r="N77" s="414">
        <f>IF(M$77=0,"N.D.",M77/M$77)</f>
        <v>1</v>
      </c>
      <c r="O77" s="314">
        <v>300.29399999999998</v>
      </c>
      <c r="P77" s="414">
        <f>IF(O$77=0,"N.D.",O77/O$77)</f>
        <v>1</v>
      </c>
      <c r="Q77" s="314"/>
      <c r="R77" s="414" t="str">
        <f>IF(Q$77=0,"N.D.",Q77/Q$77)</f>
        <v>N.D.</v>
      </c>
      <c r="S77" s="314"/>
      <c r="T77" s="414" t="str">
        <f>IF(S$77=0,"N.D.",S77/S$77)</f>
        <v>N.D.</v>
      </c>
      <c r="U77" s="314"/>
      <c r="V77" s="414" t="str">
        <f>IF(U$77=0,"N.D.",U77/U$77)</f>
        <v>N.D.</v>
      </c>
      <c r="W77" s="314"/>
      <c r="X77" s="414" t="str">
        <f>IF(W$77=0,"N.D.",W77/W$77)</f>
        <v>N.D.</v>
      </c>
      <c r="Y77" s="314"/>
      <c r="Z77" s="414" t="str">
        <f>IF(Y$77=0,"N.D.",Y77/Y$77)</f>
        <v>N.D.</v>
      </c>
      <c r="AA77" s="314">
        <f>+Y77+W77+U77+S77+Q77+O77+M77+K77+I77+G77+E77+C77</f>
        <v>2136.6320000000001</v>
      </c>
      <c r="AB77" s="176">
        <f>IF(AA$77=0,"N.D.",AA77/AA$77)</f>
        <v>1</v>
      </c>
    </row>
    <row r="78" spans="2:28" x14ac:dyDescent="0.25">
      <c r="B78" s="9" t="s">
        <v>39</v>
      </c>
      <c r="C78" s="314">
        <v>101.49</v>
      </c>
      <c r="D78" s="414">
        <f>IF(C$77=0,"N.D.",C78/C$77)</f>
        <v>0.35550028898190794</v>
      </c>
      <c r="E78" s="314">
        <v>102.53100000000001</v>
      </c>
      <c r="F78" s="414">
        <f>IF(E$77=0,"N.D.",E78/E$77)</f>
        <v>0.35549938629886207</v>
      </c>
      <c r="G78" s="314">
        <v>118.976</v>
      </c>
      <c r="H78" s="414">
        <f>IF(G$77=0,"N.D.",G78/G$77)</f>
        <v>0.35549924852019732</v>
      </c>
      <c r="I78" s="314">
        <v>108.693</v>
      </c>
      <c r="J78" s="414">
        <f>IF(I$77=0,"N.D.",I78/I$77)</f>
        <v>0.35550097139455628</v>
      </c>
      <c r="K78" s="314">
        <v>114.373</v>
      </c>
      <c r="L78" s="414">
        <f>IF(K$77=0,"N.D.",K78/K$77)</f>
        <v>0.35549815681667007</v>
      </c>
      <c r="M78" s="314">
        <v>106.755</v>
      </c>
      <c r="N78" s="414">
        <f>IF(M$77=0,"N.D.",M78/M$77)</f>
        <v>0.35550160842374473</v>
      </c>
      <c r="O78" s="314">
        <v>106.755</v>
      </c>
      <c r="P78" s="414">
        <f>IF(O$77=0,"N.D.",O78/O$77)</f>
        <v>0.35550160842374473</v>
      </c>
      <c r="Q78" s="314"/>
      <c r="R78" s="414" t="str">
        <f>IF(Q$77=0,"N.D.",Q78/Q$77)</f>
        <v>N.D.</v>
      </c>
      <c r="S78" s="314"/>
      <c r="T78" s="414" t="str">
        <f>IF(S$77=0,"N.D.",S78/S$77)</f>
        <v>N.D.</v>
      </c>
      <c r="U78" s="314"/>
      <c r="V78" s="414" t="str">
        <f>IF(U$77=0,"N.D.",U78/U$77)</f>
        <v>N.D.</v>
      </c>
      <c r="W78" s="314"/>
      <c r="X78" s="414" t="str">
        <f>IF(W$77=0,"N.D.",W78/W$77)</f>
        <v>N.D.</v>
      </c>
      <c r="Y78" s="314"/>
      <c r="Z78" s="414" t="str">
        <f>IF(Y$77=0,"N.D.",Y78/Y$77)</f>
        <v>N.D.</v>
      </c>
      <c r="AA78" s="314">
        <f t="shared" ref="AA78:AA99" si="39">+Y78+W78+U78+S78+Q78+O78+M78+K78+I78+G78+E78+C78</f>
        <v>759.57299999999987</v>
      </c>
      <c r="AB78" s="176">
        <f>IF(AA$77=0,"N.D.",AA78/AA$77)</f>
        <v>0.35550015164052579</v>
      </c>
    </row>
    <row r="79" spans="2:28" hidden="1" x14ac:dyDescent="0.25">
      <c r="B79" s="9" t="s">
        <v>219</v>
      </c>
      <c r="C79" s="314">
        <v>0</v>
      </c>
      <c r="D79" s="414">
        <f>IF(C$77=0,"N.D.",C79/C$77)</f>
        <v>0</v>
      </c>
      <c r="E79" s="314">
        <v>0</v>
      </c>
      <c r="F79" s="414">
        <f>IF(E$77=0,"N.D.",E79/E$77)</f>
        <v>0</v>
      </c>
      <c r="G79" s="314">
        <v>0</v>
      </c>
      <c r="H79" s="414">
        <f>IF(G$77=0,"N.D.",G79/G$77)</f>
        <v>0</v>
      </c>
      <c r="I79" s="314">
        <v>0</v>
      </c>
      <c r="J79" s="414">
        <f>IF(I$77=0,"N.D.",I79/I$77)</f>
        <v>0</v>
      </c>
      <c r="K79" s="314">
        <v>0</v>
      </c>
      <c r="L79" s="414">
        <f>IF(K$77=0,"N.D.",K79/K$77)</f>
        <v>0</v>
      </c>
      <c r="M79" s="314">
        <v>0</v>
      </c>
      <c r="N79" s="414">
        <f>IF(M$77=0,"N.D.",M79/M$77)</f>
        <v>0</v>
      </c>
      <c r="O79" s="314">
        <v>0</v>
      </c>
      <c r="P79" s="414">
        <f>IF(O$77=0,"N.D.",O79/O$77)</f>
        <v>0</v>
      </c>
      <c r="Q79" s="314"/>
      <c r="R79" s="414" t="str">
        <f>IF(Q$77=0,"N.D.",Q79/Q$77)</f>
        <v>N.D.</v>
      </c>
      <c r="S79" s="314"/>
      <c r="T79" s="414" t="str">
        <f>IF(S$77=0,"N.D.",S79/S$77)</f>
        <v>N.D.</v>
      </c>
      <c r="U79" s="314"/>
      <c r="V79" s="414" t="str">
        <f>IF(U$77=0,"N.D.",U79/U$77)</f>
        <v>N.D.</v>
      </c>
      <c r="W79" s="314"/>
      <c r="X79" s="414" t="str">
        <f>IF(W$77=0,"N.D.",W79/W$77)</f>
        <v>N.D.</v>
      </c>
      <c r="Y79" s="314"/>
      <c r="Z79" s="414" t="str">
        <f>IF(Y$77=0,"N.D.",Y79/Y$77)</f>
        <v>N.D.</v>
      </c>
      <c r="AA79" s="314"/>
      <c r="AB79" s="176">
        <f>IF(AA$77=0,"N.D.",AA79/AA$77)</f>
        <v>0</v>
      </c>
    </row>
    <row r="80" spans="2:28" ht="13" x14ac:dyDescent="0.3">
      <c r="B80" s="9" t="s">
        <v>40</v>
      </c>
      <c r="C80" s="381">
        <v>183.995</v>
      </c>
      <c r="D80" s="415">
        <f>IF(C$77=0,"N.D.",C80/C$77)</f>
        <v>0.644499711018092</v>
      </c>
      <c r="E80" s="381">
        <v>185.88299999999998</v>
      </c>
      <c r="F80" s="415">
        <f>IF(E$77=0,"N.D.",E80/E$77)</f>
        <v>0.64450061370113787</v>
      </c>
      <c r="G80" s="381">
        <v>215.697</v>
      </c>
      <c r="H80" s="415">
        <f>IF(G$77=0,"N.D.",G80/G$77)</f>
        <v>0.64450075147980268</v>
      </c>
      <c r="I80" s="381">
        <v>197.053</v>
      </c>
      <c r="J80" s="415">
        <f>IF(I$77=0,"N.D.",I80/I$77)</f>
        <v>0.64449902860544372</v>
      </c>
      <c r="K80" s="381">
        <v>207.35300000000001</v>
      </c>
      <c r="L80" s="415">
        <f>IF(K$77=0,"N.D.",K80/K$77)</f>
        <v>0.64450184318332993</v>
      </c>
      <c r="M80" s="381">
        <v>193.53899999999999</v>
      </c>
      <c r="N80" s="415">
        <f>IF(M$77=0,"N.D.",M80/M$77)</f>
        <v>0.64449839157625521</v>
      </c>
      <c r="O80" s="381">
        <v>193.53899999999999</v>
      </c>
      <c r="P80" s="415">
        <f>IF(O$77=0,"N.D.",O80/O$77)</f>
        <v>0.64449839157625521</v>
      </c>
      <c r="Q80" s="381"/>
      <c r="R80" s="415" t="str">
        <f>IF(Q$77=0,"N.D.",Q80/Q$77)</f>
        <v>N.D.</v>
      </c>
      <c r="S80" s="381"/>
      <c r="T80" s="415" t="str">
        <f>IF(S$77=0,"N.D.",S80/S$77)</f>
        <v>N.D.</v>
      </c>
      <c r="U80" s="381"/>
      <c r="V80" s="415" t="str">
        <f>IF(U$77=0,"N.D.",U80/U$77)</f>
        <v>N.D.</v>
      </c>
      <c r="W80" s="381"/>
      <c r="X80" s="415" t="str">
        <f>IF(W$77=0,"N.D.",W80/W$77)</f>
        <v>N.D.</v>
      </c>
      <c r="Y80" s="381"/>
      <c r="Z80" s="415" t="str">
        <f>IF(Y$77=0,"N.D.",Y80/Y$77)</f>
        <v>N.D.</v>
      </c>
      <c r="AA80" s="381">
        <f t="shared" si="39"/>
        <v>1377.0590000000002</v>
      </c>
      <c r="AB80" s="178">
        <f>IF(AA$77=0,"N.D.",AA80/AA$77)</f>
        <v>0.64449984835947427</v>
      </c>
    </row>
    <row r="81" spans="2:28" x14ac:dyDescent="0.25">
      <c r="B81" s="9"/>
      <c r="C81" s="419"/>
      <c r="D81" s="416"/>
      <c r="E81" s="419"/>
      <c r="F81" s="416"/>
      <c r="G81" s="419"/>
      <c r="H81" s="416"/>
      <c r="I81" s="419"/>
      <c r="J81" s="416"/>
      <c r="K81" s="419"/>
      <c r="L81" s="416"/>
      <c r="M81" s="419"/>
      <c r="N81" s="416"/>
      <c r="O81" s="419"/>
      <c r="P81" s="416"/>
      <c r="Q81" s="419"/>
      <c r="R81" s="416"/>
      <c r="S81" s="419"/>
      <c r="T81" s="416"/>
      <c r="U81" s="419"/>
      <c r="V81" s="416"/>
      <c r="W81" s="419"/>
      <c r="X81" s="416"/>
      <c r="Y81" s="419"/>
      <c r="Z81" s="416"/>
      <c r="AA81" s="419"/>
      <c r="AB81" s="180"/>
    </row>
    <row r="82" spans="2:28" x14ac:dyDescent="0.25">
      <c r="B82" s="9" t="s">
        <v>41</v>
      </c>
      <c r="C82" s="418">
        <v>199.34100000000001</v>
      </c>
      <c r="D82" s="417">
        <f>IF(C$77=0,"N.D.",C82/C$77)</f>
        <v>0.69825384871359264</v>
      </c>
      <c r="E82" s="418">
        <v>197.09200000000001</v>
      </c>
      <c r="F82" s="417">
        <f>IF(E$77=0,"N.D.",E82/E$77)</f>
        <v>0.6833648851997477</v>
      </c>
      <c r="G82" s="418">
        <v>207.965</v>
      </c>
      <c r="H82" s="417">
        <f>IF(G$77=0,"N.D.",G82/G$77)</f>
        <v>0.62139760303340874</v>
      </c>
      <c r="I82" s="418">
        <v>207.35499999999999</v>
      </c>
      <c r="J82" s="417">
        <f>IF(I$77=0,"N.D.",I82/I$77)</f>
        <v>0.67819366402176973</v>
      </c>
      <c r="K82" s="418">
        <v>209.90700000000001</v>
      </c>
      <c r="L82" s="417">
        <f>IF(K$77=0,"N.D.",K82/K$77)</f>
        <v>0.65244027526528792</v>
      </c>
      <c r="M82" s="418">
        <v>202.387</v>
      </c>
      <c r="N82" s="417">
        <f>IF(M$77=0,"N.D.",M82/M$77)</f>
        <v>0.67396284974058762</v>
      </c>
      <c r="O82" s="418">
        <v>202.387</v>
      </c>
      <c r="P82" s="417">
        <f>IF(O$77=0,"N.D.",O82/O$77)</f>
        <v>0.67396284974058762</v>
      </c>
      <c r="Q82" s="418"/>
      <c r="R82" s="417" t="str">
        <f>IF(Q$77=0,"N.D.",Q82/Q$77)</f>
        <v>N.D.</v>
      </c>
      <c r="S82" s="418"/>
      <c r="T82" s="417" t="str">
        <f>IF(S$77=0,"N.D.",S82/S$77)</f>
        <v>N.D.</v>
      </c>
      <c r="U82" s="418"/>
      <c r="V82" s="417" t="str">
        <f>IF(U$77=0,"N.D.",U82/U$77)</f>
        <v>N.D.</v>
      </c>
      <c r="W82" s="418"/>
      <c r="X82" s="417" t="str">
        <f>IF(W$77=0,"N.D.",W82/W$77)</f>
        <v>N.D.</v>
      </c>
      <c r="Y82" s="418"/>
      <c r="Z82" s="417" t="str">
        <f>IF(Y$77=0,"N.D.",Y82/Y$77)</f>
        <v>N.D.</v>
      </c>
      <c r="AA82" s="418">
        <f t="shared" si="39"/>
        <v>1426.4340000000002</v>
      </c>
      <c r="AB82" s="182">
        <f>IF(AA$77=0,"N.D.",AA82/AA$77)</f>
        <v>0.66760864762860439</v>
      </c>
    </row>
    <row r="83" spans="2:28" x14ac:dyDescent="0.25">
      <c r="B83" s="9" t="s">
        <v>42</v>
      </c>
      <c r="C83" s="314">
        <v>15.169</v>
      </c>
      <c r="D83" s="414">
        <f>IF(C$77=0,"N.D.",C83/C$77)</f>
        <v>5.3134140147468339E-2</v>
      </c>
      <c r="E83" s="314">
        <v>14.765000000000001</v>
      </c>
      <c r="F83" s="414">
        <f>IF(E$77=0,"N.D.",E83/E$77)</f>
        <v>5.1193770066640318E-2</v>
      </c>
      <c r="G83" s="314">
        <v>13.525</v>
      </c>
      <c r="H83" s="414">
        <f>IF(G$77=0,"N.D.",G83/G$77)</f>
        <v>4.0412581833610718E-2</v>
      </c>
      <c r="I83" s="314">
        <v>14.233000000000001</v>
      </c>
      <c r="J83" s="414">
        <f>IF(I$77=0,"N.D.",I83/I$77)</f>
        <v>4.6551712859693999E-2</v>
      </c>
      <c r="K83" s="314">
        <v>14.722</v>
      </c>
      <c r="L83" s="414">
        <f>IF(K$77=0,"N.D.",K83/K$77)</f>
        <v>4.5759435047214088E-2</v>
      </c>
      <c r="M83" s="314">
        <v>15.256</v>
      </c>
      <c r="N83" s="414">
        <f>IF(M$77=0,"N.D.",M83/M$77)</f>
        <v>5.0803545858392113E-2</v>
      </c>
      <c r="O83" s="314">
        <v>13.423</v>
      </c>
      <c r="P83" s="414">
        <f>IF(O$77=0,"N.D.",O83/O$77)</f>
        <v>4.4699527796093166E-2</v>
      </c>
      <c r="Q83" s="314"/>
      <c r="R83" s="414" t="str">
        <f>IF(Q$77=0,"N.D.",Q83/Q$77)</f>
        <v>N.D.</v>
      </c>
      <c r="S83" s="314"/>
      <c r="T83" s="414" t="str">
        <f>IF(S$77=0,"N.D.",S83/S$77)</f>
        <v>N.D.</v>
      </c>
      <c r="U83" s="314"/>
      <c r="V83" s="414" t="str">
        <f>IF(U$77=0,"N.D.",U83/U$77)</f>
        <v>N.D.</v>
      </c>
      <c r="W83" s="314"/>
      <c r="X83" s="414" t="str">
        <f>IF(W$77=0,"N.D.",W83/W$77)</f>
        <v>N.D.</v>
      </c>
      <c r="Y83" s="314"/>
      <c r="Z83" s="414" t="str">
        <f>IF(Y$77=0,"N.D.",Y83/Y$77)</f>
        <v>N.D.</v>
      </c>
      <c r="AA83" s="314">
        <f t="shared" si="39"/>
        <v>101.093</v>
      </c>
      <c r="AB83" s="176">
        <f>IF(AA$77=0,"N.D.",AA83/AA$77)</f>
        <v>4.7314184192692052E-2</v>
      </c>
    </row>
    <row r="84" spans="2:28" x14ac:dyDescent="0.25">
      <c r="B84" s="9" t="s">
        <v>43</v>
      </c>
      <c r="C84" s="314">
        <v>0</v>
      </c>
      <c r="D84" s="414">
        <f>IF(C$77=0,"N.D.",C84/C$77)</f>
        <v>0</v>
      </c>
      <c r="E84" s="314">
        <v>0</v>
      </c>
      <c r="F84" s="414">
        <f>IF(E$77=0,"N.D.",E84/E$77)</f>
        <v>0</v>
      </c>
      <c r="G84" s="314">
        <v>0</v>
      </c>
      <c r="H84" s="414">
        <f>IF(G$77=0,"N.D.",G84/G$77)</f>
        <v>0</v>
      </c>
      <c r="I84" s="314">
        <v>0</v>
      </c>
      <c r="J84" s="414">
        <f>IF(I$77=0,"N.D.",I84/I$77)</f>
        <v>0</v>
      </c>
      <c r="K84" s="314">
        <v>0</v>
      </c>
      <c r="L84" s="414">
        <f>IF(K$77=0,"N.D.",K84/K$77)</f>
        <v>0</v>
      </c>
      <c r="M84" s="314">
        <v>0</v>
      </c>
      <c r="N84" s="414">
        <f>IF(M$77=0,"N.D.",M84/M$77)</f>
        <v>0</v>
      </c>
      <c r="O84" s="314">
        <v>0</v>
      </c>
      <c r="P84" s="414">
        <f>IF(O$77=0,"N.D.",O84/O$77)</f>
        <v>0</v>
      </c>
      <c r="Q84" s="314"/>
      <c r="R84" s="414" t="str">
        <f>IF(Q$77=0,"N.D.",Q84/Q$77)</f>
        <v>N.D.</v>
      </c>
      <c r="S84" s="314"/>
      <c r="T84" s="414" t="str">
        <f>IF(S$77=0,"N.D.",S84/S$77)</f>
        <v>N.D.</v>
      </c>
      <c r="U84" s="314"/>
      <c r="V84" s="414" t="str">
        <f>IF(U$77=0,"N.D.",U84/U$77)</f>
        <v>N.D.</v>
      </c>
      <c r="W84" s="314"/>
      <c r="X84" s="414" t="str">
        <f>IF(W$77=0,"N.D.",W84/W$77)</f>
        <v>N.D.</v>
      </c>
      <c r="Y84" s="314"/>
      <c r="Z84" s="414" t="str">
        <f>IF(Y$77=0,"N.D.",Y84/Y$77)</f>
        <v>N.D.</v>
      </c>
      <c r="AA84" s="314">
        <f t="shared" si="39"/>
        <v>0</v>
      </c>
      <c r="AB84" s="176">
        <f>IF(AA$77=0,"N.D.",AA84/AA$77)</f>
        <v>0</v>
      </c>
    </row>
    <row r="85" spans="2:28" ht="13" x14ac:dyDescent="0.3">
      <c r="B85" s="9" t="s">
        <v>44</v>
      </c>
      <c r="C85" s="381">
        <v>214.51000000000002</v>
      </c>
      <c r="D85" s="415">
        <f>IF(C$77=0,"N.D.",C85/C$77)</f>
        <v>0.75138798886106106</v>
      </c>
      <c r="E85" s="381">
        <v>211.85700000000003</v>
      </c>
      <c r="F85" s="415">
        <f>IF(E$77=0,"N.D.",E85/E$77)</f>
        <v>0.73455865526638808</v>
      </c>
      <c r="G85" s="381">
        <v>221.49</v>
      </c>
      <c r="H85" s="415">
        <f>IF(G$77=0,"N.D.",G85/G$77)</f>
        <v>0.66181018486701948</v>
      </c>
      <c r="I85" s="381">
        <v>221.58799999999999</v>
      </c>
      <c r="J85" s="415">
        <f>IF(I$77=0,"N.D.",I85/I$77)</f>
        <v>0.72474537688146368</v>
      </c>
      <c r="K85" s="381">
        <v>224.62900000000002</v>
      </c>
      <c r="L85" s="415">
        <f>IF(K$77=0,"N.D.",K85/K$77)</f>
        <v>0.69819971031250205</v>
      </c>
      <c r="M85" s="381">
        <v>217.643</v>
      </c>
      <c r="N85" s="415">
        <f>IF(M$77=0,"N.D.",M85/M$77)</f>
        <v>0.72476639559897971</v>
      </c>
      <c r="O85" s="381">
        <v>215.81</v>
      </c>
      <c r="P85" s="415">
        <f>IF(O$77=0,"N.D.",O85/O$77)</f>
        <v>0.71866237753668072</v>
      </c>
      <c r="Q85" s="381"/>
      <c r="R85" s="415" t="str">
        <f>IF(Q$77=0,"N.D.",Q85/Q$77)</f>
        <v>N.D.</v>
      </c>
      <c r="S85" s="381"/>
      <c r="T85" s="415" t="str">
        <f>IF(S$77=0,"N.D.",S85/S$77)</f>
        <v>N.D.</v>
      </c>
      <c r="U85" s="381"/>
      <c r="V85" s="415" t="str">
        <f>IF(U$77=0,"N.D.",U85/U$77)</f>
        <v>N.D.</v>
      </c>
      <c r="W85" s="381"/>
      <c r="X85" s="415" t="str">
        <f>IF(W$77=0,"N.D.",W85/W$77)</f>
        <v>N.D.</v>
      </c>
      <c r="Y85" s="381"/>
      <c r="Z85" s="415" t="str">
        <f>IF(Y$77=0,"N.D.",Y85/Y$77)</f>
        <v>N.D.</v>
      </c>
      <c r="AA85" s="381">
        <f t="shared" si="39"/>
        <v>1527.5269999999998</v>
      </c>
      <c r="AB85" s="178">
        <f>IF(AA$77=0,"N.D.",AA85/AA$77)</f>
        <v>0.71492283182129623</v>
      </c>
    </row>
    <row r="86" spans="2:28" ht="13" x14ac:dyDescent="0.3">
      <c r="B86" s="9" t="s">
        <v>45</v>
      </c>
      <c r="C86" s="381">
        <v>-30.515000000000015</v>
      </c>
      <c r="D86" s="415">
        <f>IF(C$77=0,"N.D.",C86/C$77)</f>
        <v>-0.10688827784296903</v>
      </c>
      <c r="E86" s="381">
        <v>-25.974000000000046</v>
      </c>
      <c r="F86" s="415">
        <f>IF(E$77=0,"N.D.",E86/E$77)</f>
        <v>-9.0058041565250116E-2</v>
      </c>
      <c r="G86" s="381">
        <v>-5.7930000000000064</v>
      </c>
      <c r="H86" s="415">
        <f>IF(G$77=0,"N.D.",G86/G$77)</f>
        <v>-1.7309433387216796E-2</v>
      </c>
      <c r="I86" s="381">
        <v>-24.534999999999997</v>
      </c>
      <c r="J86" s="415">
        <f>IF(I$77=0,"N.D.",I86/I$77)</f>
        <v>-8.0246348276019952E-2</v>
      </c>
      <c r="K86" s="381">
        <v>-17.27600000000001</v>
      </c>
      <c r="L86" s="415">
        <f>IF(K$77=0,"N.D.",K86/K$77)</f>
        <v>-5.3697867129172058E-2</v>
      </c>
      <c r="M86" s="381">
        <v>-24.104000000000013</v>
      </c>
      <c r="N86" s="415">
        <f>IF(M$77=0,"N.D.",M86/M$77)</f>
        <v>-8.0268004022724451E-2</v>
      </c>
      <c r="O86" s="381">
        <v>-22.271000000000015</v>
      </c>
      <c r="P86" s="415">
        <f>IF(O$77=0,"N.D.",O86/O$77)</f>
        <v>-7.4163985960425505E-2</v>
      </c>
      <c r="Q86" s="381"/>
      <c r="R86" s="415" t="str">
        <f>IF(Q$77=0,"N.D.",Q86/Q$77)</f>
        <v>N.D.</v>
      </c>
      <c r="S86" s="381"/>
      <c r="T86" s="415" t="str">
        <f>IF(S$77=0,"N.D.",S86/S$77)</f>
        <v>N.D.</v>
      </c>
      <c r="U86" s="381"/>
      <c r="V86" s="415" t="str">
        <f>IF(U$77=0,"N.D.",U86/U$77)</f>
        <v>N.D.</v>
      </c>
      <c r="W86" s="381"/>
      <c r="X86" s="415" t="str">
        <f>IF(W$77=0,"N.D.",W86/W$77)</f>
        <v>N.D.</v>
      </c>
      <c r="Y86" s="381"/>
      <c r="Z86" s="415" t="str">
        <f>IF(Y$77=0,"N.D.",Y86/Y$77)</f>
        <v>N.D.</v>
      </c>
      <c r="AA86" s="381">
        <f t="shared" si="39"/>
        <v>-150.4680000000001</v>
      </c>
      <c r="AB86" s="178">
        <f>IF(AA$77=0,"N.D.",AA86/AA$77)</f>
        <v>-7.04229834618222E-2</v>
      </c>
    </row>
    <row r="87" spans="2:28" x14ac:dyDescent="0.25">
      <c r="C87" s="419"/>
      <c r="D87" s="416"/>
      <c r="E87" s="419"/>
      <c r="F87" s="416"/>
      <c r="G87" s="419"/>
      <c r="H87" s="416"/>
      <c r="I87" s="419"/>
      <c r="J87" s="416"/>
      <c r="K87" s="419"/>
      <c r="L87" s="416"/>
      <c r="M87" s="419"/>
      <c r="N87" s="416"/>
      <c r="O87" s="419"/>
      <c r="P87" s="416"/>
      <c r="Q87" s="419"/>
      <c r="R87" s="416"/>
      <c r="S87" s="419"/>
      <c r="T87" s="416"/>
      <c r="U87" s="419"/>
      <c r="V87" s="416"/>
      <c r="W87" s="419"/>
      <c r="X87" s="416"/>
      <c r="Y87" s="419"/>
      <c r="Z87" s="416"/>
      <c r="AA87" s="419"/>
      <c r="AB87" s="180"/>
    </row>
    <row r="88" spans="2:28" x14ac:dyDescent="0.25">
      <c r="B88" s="9"/>
      <c r="C88" s="418">
        <v>0</v>
      </c>
      <c r="D88" s="417">
        <f>IF(C$77=0,"N.D.",C88/C$77)</f>
        <v>0</v>
      </c>
      <c r="E88" s="418">
        <v>0</v>
      </c>
      <c r="F88" s="417">
        <f>IF(E$77=0,"N.D.",E88/E$77)</f>
        <v>0</v>
      </c>
      <c r="G88" s="418">
        <v>0</v>
      </c>
      <c r="H88" s="417">
        <f>IF(G$77=0,"N.D.",G88/G$77)</f>
        <v>0</v>
      </c>
      <c r="I88" s="418">
        <v>0</v>
      </c>
      <c r="J88" s="417">
        <f>IF(I$77=0,"N.D.",I88/I$77)</f>
        <v>0</v>
      </c>
      <c r="K88" s="418">
        <v>0</v>
      </c>
      <c r="L88" s="417">
        <f>IF(K$77=0,"N.D.",K88/K$77)</f>
        <v>0</v>
      </c>
      <c r="M88" s="418">
        <v>0</v>
      </c>
      <c r="N88" s="417">
        <f>IF(M$77=0,"N.D.",M88/M$77)</f>
        <v>0</v>
      </c>
      <c r="O88" s="418">
        <v>0</v>
      </c>
      <c r="P88" s="417">
        <f>IF(O$77=0,"N.D.",O88/O$77)</f>
        <v>0</v>
      </c>
      <c r="Q88" s="418"/>
      <c r="R88" s="417" t="str">
        <f>IF(Q$77=0,"N.D.",Q88/Q$77)</f>
        <v>N.D.</v>
      </c>
      <c r="S88" s="418"/>
      <c r="T88" s="417" t="str">
        <f>IF(S$77=0,"N.D.",S88/S$77)</f>
        <v>N.D.</v>
      </c>
      <c r="U88" s="418"/>
      <c r="V88" s="417" t="str">
        <f>IF(U$77=0,"N.D.",U88/U$77)</f>
        <v>N.D.</v>
      </c>
      <c r="W88" s="418"/>
      <c r="X88" s="417" t="str">
        <f>IF(W$77=0,"N.D.",W88/W$77)</f>
        <v>N.D.</v>
      </c>
      <c r="Y88" s="418"/>
      <c r="Z88" s="417" t="str">
        <f>IF(Y$77=0,"N.D.",Y88/Y$77)</f>
        <v>N.D.</v>
      </c>
      <c r="AA88" s="418">
        <f t="shared" si="39"/>
        <v>0</v>
      </c>
      <c r="AB88" s="182">
        <f>IF(AA$77=0,"N.D.",AA88/AA$77)</f>
        <v>0</v>
      </c>
    </row>
    <row r="89" spans="2:28" x14ac:dyDescent="0.25">
      <c r="B89" s="9" t="s">
        <v>52</v>
      </c>
      <c r="C89" s="314">
        <v>0</v>
      </c>
      <c r="D89" s="414">
        <f>IF(C$77=0,"N.D.",C89/C$77)</f>
        <v>0</v>
      </c>
      <c r="E89" s="314">
        <v>-1.55</v>
      </c>
      <c r="F89" s="414">
        <f>IF(E$77=0,"N.D.",E89/E$77)</f>
        <v>-5.3742190046252962E-3</v>
      </c>
      <c r="G89" s="314">
        <v>-1.55</v>
      </c>
      <c r="H89" s="414">
        <f>IF(G$77=0,"N.D.",G89/G$77)</f>
        <v>-4.6313864578259971E-3</v>
      </c>
      <c r="I89" s="314">
        <v>-1.55</v>
      </c>
      <c r="J89" s="414">
        <f>IF(I$77=0,"N.D.",I89/I$77)</f>
        <v>-5.0695675495345816E-3</v>
      </c>
      <c r="K89" s="314">
        <v>-1.55</v>
      </c>
      <c r="L89" s="414">
        <f>IF(K$77=0,"N.D.",K89/K$77)</f>
        <v>-4.8177641844302293E-3</v>
      </c>
      <c r="M89" s="314">
        <v>-1.55</v>
      </c>
      <c r="N89" s="414">
        <f>IF(M$77=0,"N.D.",M89/M$77)</f>
        <v>-5.1616082905419358E-3</v>
      </c>
      <c r="O89" s="314">
        <v>-1.55</v>
      </c>
      <c r="P89" s="414">
        <f>IF(O$77=0,"N.D.",O89/O$77)</f>
        <v>-5.1616082905419358E-3</v>
      </c>
      <c r="Q89" s="314"/>
      <c r="R89" s="414" t="str">
        <f>IF(Q$77=0,"N.D.",Q89/Q$77)</f>
        <v>N.D.</v>
      </c>
      <c r="S89" s="314"/>
      <c r="T89" s="414" t="str">
        <f>IF(S$77=0,"N.D.",S89/S$77)</f>
        <v>N.D.</v>
      </c>
      <c r="U89" s="314"/>
      <c r="V89" s="414" t="str">
        <f>IF(U$77=0,"N.D.",U89/U$77)</f>
        <v>N.D.</v>
      </c>
      <c r="W89" s="314"/>
      <c r="X89" s="414" t="str">
        <f>IF(W$77=0,"N.D.",W89/W$77)</f>
        <v>N.D.</v>
      </c>
      <c r="Y89" s="314"/>
      <c r="Z89" s="414" t="str">
        <f>IF(Y$77=0,"N.D.",Y89/Y$77)</f>
        <v>N.D.</v>
      </c>
      <c r="AA89" s="314">
        <f t="shared" si="39"/>
        <v>-9.3000000000000007</v>
      </c>
      <c r="AB89" s="176">
        <f>IF(AA$77=0,"N.D.",AA89/AA$77)</f>
        <v>-4.3526447230969115E-3</v>
      </c>
    </row>
    <row r="90" spans="2:28" x14ac:dyDescent="0.25">
      <c r="B90" s="9" t="s">
        <v>184</v>
      </c>
      <c r="C90" s="314">
        <v>1</v>
      </c>
      <c r="D90" s="414">
        <f>IF(C$77=0,"N.D.",C90/C$77)</f>
        <v>3.50281100583218E-3</v>
      </c>
      <c r="E90" s="314">
        <v>0.88400000000000001</v>
      </c>
      <c r="F90" s="414">
        <f>IF(E$77=0,"N.D.",E90/E$77)</f>
        <v>3.0650384516701687E-3</v>
      </c>
      <c r="G90" s="314">
        <v>0.88100000000000001</v>
      </c>
      <c r="H90" s="414">
        <f>IF(G$77=0,"N.D.",G90/G$77)</f>
        <v>2.6324203028030347E-3</v>
      </c>
      <c r="I90" s="314">
        <v>0.878</v>
      </c>
      <c r="J90" s="414">
        <f>IF(I$77=0,"N.D.",I90/I$77)</f>
        <v>2.8716647151557175E-3</v>
      </c>
      <c r="K90" s="314">
        <v>0.874</v>
      </c>
      <c r="L90" s="414">
        <f>IF(K$77=0,"N.D.",K90/K$77)</f>
        <v>2.71659735302711E-3</v>
      </c>
      <c r="M90" s="314">
        <v>0.871</v>
      </c>
      <c r="N90" s="414">
        <f>IF(M$77=0,"N.D.",M90/M$77)</f>
        <v>2.9004908522980814E-3</v>
      </c>
      <c r="O90" s="314">
        <v>0</v>
      </c>
      <c r="P90" s="414">
        <f>IF(O$77=0,"N.D.",O90/O$77)</f>
        <v>0</v>
      </c>
      <c r="Q90" s="314"/>
      <c r="R90" s="414" t="str">
        <f>IF(Q$77=0,"N.D.",Q90/Q$77)</f>
        <v>N.D.</v>
      </c>
      <c r="S90" s="314"/>
      <c r="T90" s="414" t="str">
        <f>IF(S$77=0,"N.D.",S90/S$77)</f>
        <v>N.D.</v>
      </c>
      <c r="U90" s="314"/>
      <c r="V90" s="414" t="str">
        <f>IF(U$77=0,"N.D.",U90/U$77)</f>
        <v>N.D.</v>
      </c>
      <c r="W90" s="314"/>
      <c r="X90" s="414" t="str">
        <f>IF(W$77=0,"N.D.",W90/W$77)</f>
        <v>N.D.</v>
      </c>
      <c r="Y90" s="314"/>
      <c r="Z90" s="414" t="str">
        <f>IF(Y$77=0,"N.D.",Y90/Y$77)</f>
        <v>N.D.</v>
      </c>
      <c r="AA90" s="314">
        <f t="shared" si="39"/>
        <v>5.3880000000000008</v>
      </c>
      <c r="AB90" s="176">
        <f>IF(AA$77=0,"N.D.",AA90/AA$77)</f>
        <v>2.5217257815103398E-3</v>
      </c>
    </row>
    <row r="91" spans="2:28" x14ac:dyDescent="0.25">
      <c r="B91" s="9" t="s">
        <v>47</v>
      </c>
      <c r="C91" s="314">
        <v>0</v>
      </c>
      <c r="D91" s="414">
        <f>IF(C$77=0,"N.D.",C91/C$77)</f>
        <v>0</v>
      </c>
      <c r="E91" s="314">
        <v>0</v>
      </c>
      <c r="F91" s="414">
        <f>IF(E$77=0,"N.D.",E91/E$77)</f>
        <v>0</v>
      </c>
      <c r="G91" s="314">
        <v>0</v>
      </c>
      <c r="H91" s="414">
        <f>IF(G$77=0,"N.D.",G91/G$77)</f>
        <v>0</v>
      </c>
      <c r="I91" s="314">
        <v>0</v>
      </c>
      <c r="J91" s="414">
        <f>IF(I$77=0,"N.D.",I91/I$77)</f>
        <v>0</v>
      </c>
      <c r="K91" s="314">
        <v>0</v>
      </c>
      <c r="L91" s="414">
        <f>IF(K$77=0,"N.D.",K91/K$77)</f>
        <v>0</v>
      </c>
      <c r="M91" s="314">
        <v>0</v>
      </c>
      <c r="N91" s="414">
        <f>IF(M$77=0,"N.D.",M91/M$77)</f>
        <v>0</v>
      </c>
      <c r="O91" s="314">
        <v>0</v>
      </c>
      <c r="P91" s="414">
        <f>IF(O$77=0,"N.D.",O91/O$77)</f>
        <v>0</v>
      </c>
      <c r="Q91" s="314"/>
      <c r="R91" s="414" t="str">
        <f>IF(Q$77=0,"N.D.",Q91/Q$77)</f>
        <v>N.D.</v>
      </c>
      <c r="S91" s="314"/>
      <c r="T91" s="414" t="str">
        <f>IF(S$77=0,"N.D.",S91/S$77)</f>
        <v>N.D.</v>
      </c>
      <c r="U91" s="314"/>
      <c r="V91" s="414" t="str">
        <f>IF(U$77=0,"N.D.",U91/U$77)</f>
        <v>N.D.</v>
      </c>
      <c r="W91" s="314"/>
      <c r="X91" s="414" t="str">
        <f>IF(W$77=0,"N.D.",W91/W$77)</f>
        <v>N.D.</v>
      </c>
      <c r="Y91" s="314"/>
      <c r="Z91" s="414" t="str">
        <f>IF(Y$77=0,"N.D.",Y91/Y$77)</f>
        <v>N.D.</v>
      </c>
      <c r="AA91" s="314">
        <f t="shared" si="39"/>
        <v>0</v>
      </c>
      <c r="AB91" s="176">
        <f>IF(AA$77=0,"N.D.",AA91/AA$77)</f>
        <v>0</v>
      </c>
    </row>
    <row r="92" spans="2:28" x14ac:dyDescent="0.25">
      <c r="C92" s="314"/>
      <c r="D92" s="414"/>
      <c r="E92" s="314"/>
      <c r="F92" s="414"/>
      <c r="G92" s="314"/>
      <c r="H92" s="414"/>
      <c r="I92" s="314"/>
      <c r="J92" s="414"/>
      <c r="K92" s="314"/>
      <c r="L92" s="414"/>
      <c r="M92" s="314"/>
      <c r="N92" s="414"/>
      <c r="O92" s="314"/>
      <c r="P92" s="414"/>
      <c r="Q92" s="314"/>
      <c r="R92" s="414"/>
      <c r="S92" s="314"/>
      <c r="T92" s="414"/>
      <c r="U92" s="314"/>
      <c r="V92" s="414"/>
      <c r="W92" s="314"/>
      <c r="X92" s="414"/>
      <c r="Y92" s="314"/>
      <c r="Z92" s="414"/>
      <c r="AA92" s="314">
        <f t="shared" si="39"/>
        <v>0</v>
      </c>
      <c r="AB92" s="176"/>
    </row>
    <row r="93" spans="2:28" ht="13" x14ac:dyDescent="0.3">
      <c r="B93" s="9" t="s">
        <v>48</v>
      </c>
      <c r="C93" s="381">
        <v>1</v>
      </c>
      <c r="D93" s="415">
        <f>IF(C$77=0,"N.D.",C93/C$77)</f>
        <v>3.50281100583218E-3</v>
      </c>
      <c r="E93" s="381">
        <v>-0.66600000000000004</v>
      </c>
      <c r="F93" s="415">
        <f>IF(E$77=0,"N.D.",E93/E$77)</f>
        <v>-2.3091805529551271E-3</v>
      </c>
      <c r="G93" s="381">
        <v>-0.66900000000000004</v>
      </c>
      <c r="H93" s="415">
        <f>IF(G$77=0,"N.D.",G93/G$77)</f>
        <v>-1.9989661550229628E-3</v>
      </c>
      <c r="I93" s="381">
        <v>-0.67200000000000004</v>
      </c>
      <c r="J93" s="415">
        <f>IF(I$77=0,"N.D.",I93/I$77)</f>
        <v>-2.1979028343788636E-3</v>
      </c>
      <c r="K93" s="381">
        <v>-0.67600000000000005</v>
      </c>
      <c r="L93" s="415">
        <f>IF(K$77=0,"N.D.",K93/K$77)</f>
        <v>-2.1011668314031198E-3</v>
      </c>
      <c r="M93" s="381">
        <v>-0.67900000000000005</v>
      </c>
      <c r="N93" s="415">
        <f>IF(M$77=0,"N.D.",M93/M$77)</f>
        <v>-2.2611174382438548E-3</v>
      </c>
      <c r="O93" s="381">
        <v>-1.55</v>
      </c>
      <c r="P93" s="415">
        <f>IF(O$77=0,"N.D.",O93/O$77)</f>
        <v>-5.1616082905419358E-3</v>
      </c>
      <c r="Q93" s="381"/>
      <c r="R93" s="415" t="str">
        <f>IF(Q$77=0,"N.D.",Q93/Q$77)</f>
        <v>N.D.</v>
      </c>
      <c r="S93" s="381"/>
      <c r="T93" s="415" t="str">
        <f>IF(S$77=0,"N.D.",S93/S$77)</f>
        <v>N.D.</v>
      </c>
      <c r="U93" s="381"/>
      <c r="V93" s="415" t="str">
        <f>IF(U$77=0,"N.D.",U93/U$77)</f>
        <v>N.D.</v>
      </c>
      <c r="W93" s="381"/>
      <c r="X93" s="415" t="str">
        <f>IF(W$77=0,"N.D.",W93/W$77)</f>
        <v>N.D.</v>
      </c>
      <c r="Y93" s="381"/>
      <c r="Z93" s="415" t="str">
        <f>IF(Y$77=0,"N.D.",Y93/Y$77)</f>
        <v>N.D.</v>
      </c>
      <c r="AA93" s="381">
        <f t="shared" si="39"/>
        <v>-3.9120000000000008</v>
      </c>
      <c r="AB93" s="178">
        <f>IF(AA$77=0,"N.D.",AA93/AA$77)</f>
        <v>-1.8309189415865721E-3</v>
      </c>
    </row>
    <row r="94" spans="2:28" ht="13" x14ac:dyDescent="0.3">
      <c r="B94" s="9" t="s">
        <v>49</v>
      </c>
      <c r="C94" s="381">
        <v>-31.515000000000015</v>
      </c>
      <c r="D94" s="415">
        <f>IF(C$77=0,"N.D.",C94/C$77)</f>
        <v>-0.11039108884880121</v>
      </c>
      <c r="E94" s="381">
        <v>-25.308000000000046</v>
      </c>
      <c r="F94" s="415">
        <f>IF(E$77=0,"N.D.",E94/E$77)</f>
        <v>-8.7748861012294996E-2</v>
      </c>
      <c r="G94" s="381">
        <v>-5.1240000000000059</v>
      </c>
      <c r="H94" s="415">
        <f>IF(G$77=0,"N.D.",G94/G$77)</f>
        <v>-1.5310467232193831E-2</v>
      </c>
      <c r="I94" s="381">
        <v>-23.862999999999996</v>
      </c>
      <c r="J94" s="415">
        <f>IF(I$77=0,"N.D.",I94/I$77)</f>
        <v>-7.8048445441641093E-2</v>
      </c>
      <c r="K94" s="381">
        <v>-16.600000000000012</v>
      </c>
      <c r="L94" s="415">
        <f>IF(K$77=0,"N.D.",K94/K$77)</f>
        <v>-5.1596700297768944E-2</v>
      </c>
      <c r="M94" s="381">
        <v>-23.425000000000015</v>
      </c>
      <c r="N94" s="415">
        <f>IF(M$77=0,"N.D.",M94/M$77)</f>
        <v>-7.80068865844806E-2</v>
      </c>
      <c r="O94" s="381">
        <v>-20.721000000000014</v>
      </c>
      <c r="P94" s="415">
        <f>IF(O$77=0,"N.D.",O94/O$77)</f>
        <v>-6.9002377669883569E-2</v>
      </c>
      <c r="Q94" s="381"/>
      <c r="R94" s="415" t="str">
        <f>IF(Q$77=0,"N.D.",Q94/Q$77)</f>
        <v>N.D.</v>
      </c>
      <c r="S94" s="381"/>
      <c r="T94" s="415" t="str">
        <f>IF(S$77=0,"N.D.",S94/S$77)</f>
        <v>N.D.</v>
      </c>
      <c r="U94" s="381"/>
      <c r="V94" s="415" t="str">
        <f>IF(U$77=0,"N.D.",U94/U$77)</f>
        <v>N.D.</v>
      </c>
      <c r="W94" s="381"/>
      <c r="X94" s="415" t="str">
        <f>IF(W$77=0,"N.D.",W94/W$77)</f>
        <v>N.D.</v>
      </c>
      <c r="Y94" s="381"/>
      <c r="Z94" s="415" t="str">
        <f>IF(Y$77=0,"N.D.",Y94/Y$77)</f>
        <v>N.D.</v>
      </c>
      <c r="AA94" s="381">
        <f t="shared" si="39"/>
        <v>-146.5560000000001</v>
      </c>
      <c r="AB94" s="178">
        <f>IF(AA$77=0,"N.D.",AA94/AA$77)</f>
        <v>-6.8592064520235627E-2</v>
      </c>
    </row>
    <row r="95" spans="2:28" x14ac:dyDescent="0.25">
      <c r="C95" s="419"/>
      <c r="D95" s="416"/>
      <c r="E95" s="419"/>
      <c r="F95" s="416"/>
      <c r="G95" s="419"/>
      <c r="H95" s="416"/>
      <c r="I95" s="419"/>
      <c r="J95" s="416"/>
      <c r="K95" s="419"/>
      <c r="L95" s="416"/>
      <c r="M95" s="419"/>
      <c r="N95" s="416"/>
      <c r="O95" s="419"/>
      <c r="P95" s="416"/>
      <c r="Q95" s="419"/>
      <c r="R95" s="416"/>
      <c r="S95" s="419"/>
      <c r="T95" s="416"/>
      <c r="U95" s="419"/>
      <c r="V95" s="416"/>
      <c r="W95" s="419"/>
      <c r="X95" s="416"/>
      <c r="Y95" s="419"/>
      <c r="Z95" s="416"/>
      <c r="AA95" s="419"/>
      <c r="AB95" s="180"/>
    </row>
    <row r="96" spans="2:28" x14ac:dyDescent="0.25">
      <c r="B96" s="9" t="s">
        <v>50</v>
      </c>
      <c r="C96" s="418">
        <v>0</v>
      </c>
      <c r="D96" s="417">
        <f t="shared" ref="D96:D105" si="40">IF(C$77=0,"N.D.",C96/C$77)</f>
        <v>0</v>
      </c>
      <c r="E96" s="418">
        <v>0</v>
      </c>
      <c r="F96" s="417">
        <f t="shared" ref="F96:F105" si="41">IF(E$77=0,"N.D.",E96/E$77)</f>
        <v>0</v>
      </c>
      <c r="G96" s="418">
        <v>0</v>
      </c>
      <c r="H96" s="417">
        <f t="shared" ref="H96:H105" si="42">IF(G$77=0,"N.D.",G96/G$77)</f>
        <v>0</v>
      </c>
      <c r="I96" s="418">
        <v>0</v>
      </c>
      <c r="J96" s="417">
        <f t="shared" ref="J96:J105" si="43">IF(I$77=0,"N.D.",I96/I$77)</f>
        <v>0</v>
      </c>
      <c r="K96" s="418">
        <v>0</v>
      </c>
      <c r="L96" s="417">
        <f t="shared" ref="L96:L105" si="44">IF(K$77=0,"N.D.",K96/K$77)</f>
        <v>0</v>
      </c>
      <c r="M96" s="418">
        <v>0</v>
      </c>
      <c r="N96" s="417">
        <f t="shared" ref="N96:N105" si="45">IF(M$77=0,"N.D.",M96/M$77)</f>
        <v>0</v>
      </c>
      <c r="O96" s="418">
        <v>0</v>
      </c>
      <c r="P96" s="417">
        <f t="shared" ref="P96:P105" si="46">IF(O$77=0,"N.D.",O96/O$77)</f>
        <v>0</v>
      </c>
      <c r="Q96" s="418"/>
      <c r="R96" s="417" t="str">
        <f t="shared" ref="R96:R105" si="47">IF(Q$77=0,"N.D.",Q96/Q$77)</f>
        <v>N.D.</v>
      </c>
      <c r="S96" s="418"/>
      <c r="T96" s="417" t="str">
        <f t="shared" ref="T96:T105" si="48">IF(S$77=0,"N.D.",S96/S$77)</f>
        <v>N.D.</v>
      </c>
      <c r="U96" s="418"/>
      <c r="V96" s="417" t="str">
        <f t="shared" ref="V96:V105" si="49">IF(U$77=0,"N.D.",U96/U$77)</f>
        <v>N.D.</v>
      </c>
      <c r="W96" s="418"/>
      <c r="X96" s="417" t="str">
        <f t="shared" ref="X96:X105" si="50">IF(W$77=0,"N.D.",W96/W$77)</f>
        <v>N.D.</v>
      </c>
      <c r="Y96" s="418"/>
      <c r="Z96" s="417" t="str">
        <f t="shared" ref="Z96:Z105" si="51">IF(Y$77=0,"N.D.",Y96/Y$77)</f>
        <v>N.D.</v>
      </c>
      <c r="AA96" s="418">
        <f t="shared" si="39"/>
        <v>0</v>
      </c>
      <c r="AB96" s="182">
        <f t="shared" ref="AB96:AB105" si="52">IF(AA$77=0,"N.D.",AA96/AA$77)</f>
        <v>0</v>
      </c>
    </row>
    <row r="97" spans="2:28" x14ac:dyDescent="0.25">
      <c r="B97" s="9" t="s">
        <v>51</v>
      </c>
      <c r="C97" s="314">
        <v>0</v>
      </c>
      <c r="D97" s="414">
        <f t="shared" si="40"/>
        <v>0</v>
      </c>
      <c r="E97" s="314">
        <v>0</v>
      </c>
      <c r="F97" s="414">
        <f t="shared" si="41"/>
        <v>0</v>
      </c>
      <c r="G97" s="314">
        <v>0</v>
      </c>
      <c r="H97" s="414">
        <f t="shared" si="42"/>
        <v>0</v>
      </c>
      <c r="I97" s="314">
        <v>0</v>
      </c>
      <c r="J97" s="414">
        <f t="shared" si="43"/>
        <v>0</v>
      </c>
      <c r="K97" s="314">
        <v>0</v>
      </c>
      <c r="L97" s="414">
        <f t="shared" si="44"/>
        <v>0</v>
      </c>
      <c r="M97" s="314">
        <v>0</v>
      </c>
      <c r="N97" s="414">
        <f t="shared" si="45"/>
        <v>0</v>
      </c>
      <c r="O97" s="314">
        <v>0</v>
      </c>
      <c r="P97" s="414">
        <f t="shared" si="46"/>
        <v>0</v>
      </c>
      <c r="Q97" s="314"/>
      <c r="R97" s="414" t="str">
        <f t="shared" si="47"/>
        <v>N.D.</v>
      </c>
      <c r="S97" s="314"/>
      <c r="T97" s="414" t="str">
        <f t="shared" si="48"/>
        <v>N.D.</v>
      </c>
      <c r="U97" s="314"/>
      <c r="V97" s="414" t="str">
        <f t="shared" si="49"/>
        <v>N.D.</v>
      </c>
      <c r="W97" s="314"/>
      <c r="X97" s="414" t="str">
        <f t="shared" si="50"/>
        <v>N.D.</v>
      </c>
      <c r="Y97" s="314"/>
      <c r="Z97" s="414" t="str">
        <f t="shared" si="51"/>
        <v>N.D.</v>
      </c>
      <c r="AA97" s="314">
        <f t="shared" si="39"/>
        <v>0</v>
      </c>
      <c r="AB97" s="176">
        <f t="shared" si="52"/>
        <v>0</v>
      </c>
    </row>
    <row r="98" spans="2:28" ht="13" x14ac:dyDescent="0.3">
      <c r="B98" s="1" t="s">
        <v>53</v>
      </c>
      <c r="C98" s="381">
        <v>-31.515000000000015</v>
      </c>
      <c r="D98" s="415">
        <f t="shared" si="40"/>
        <v>-0.11039108884880121</v>
      </c>
      <c r="E98" s="381">
        <v>-25.308000000000046</v>
      </c>
      <c r="F98" s="415">
        <f t="shared" si="41"/>
        <v>-8.7748861012294996E-2</v>
      </c>
      <c r="G98" s="381">
        <v>-5.1240000000000059</v>
      </c>
      <c r="H98" s="415">
        <f t="shared" si="42"/>
        <v>-1.5310467232193831E-2</v>
      </c>
      <c r="I98" s="381">
        <v>-23.862999999999996</v>
      </c>
      <c r="J98" s="415">
        <f t="shared" si="43"/>
        <v>-7.8048445441641093E-2</v>
      </c>
      <c r="K98" s="381">
        <v>-16.600000000000012</v>
      </c>
      <c r="L98" s="415">
        <f t="shared" si="44"/>
        <v>-5.1596700297768944E-2</v>
      </c>
      <c r="M98" s="381">
        <v>-23.425000000000015</v>
      </c>
      <c r="N98" s="415">
        <f t="shared" si="45"/>
        <v>-7.80068865844806E-2</v>
      </c>
      <c r="O98" s="381">
        <v>-20.721000000000014</v>
      </c>
      <c r="P98" s="415">
        <f t="shared" si="46"/>
        <v>-6.9002377669883569E-2</v>
      </c>
      <c r="Q98" s="381"/>
      <c r="R98" s="415" t="str">
        <f t="shared" si="47"/>
        <v>N.D.</v>
      </c>
      <c r="S98" s="381"/>
      <c r="T98" s="415" t="str">
        <f t="shared" si="48"/>
        <v>N.D.</v>
      </c>
      <c r="U98" s="381"/>
      <c r="V98" s="415" t="str">
        <f t="shared" si="49"/>
        <v>N.D.</v>
      </c>
      <c r="W98" s="381"/>
      <c r="X98" s="415" t="str">
        <f t="shared" si="50"/>
        <v>N.D.</v>
      </c>
      <c r="Y98" s="381"/>
      <c r="Z98" s="415" t="str">
        <f t="shared" si="51"/>
        <v>N.D.</v>
      </c>
      <c r="AA98" s="381">
        <f t="shared" si="39"/>
        <v>-146.5560000000001</v>
      </c>
      <c r="AB98" s="178">
        <f t="shared" si="52"/>
        <v>-6.8592064520235627E-2</v>
      </c>
    </row>
    <row r="99" spans="2:28" ht="13" x14ac:dyDescent="0.3">
      <c r="B99" s="1" t="s">
        <v>122</v>
      </c>
      <c r="C99" s="381">
        <v>-30.515000000000015</v>
      </c>
      <c r="D99" s="415">
        <f t="shared" si="40"/>
        <v>-0.10688827784296903</v>
      </c>
      <c r="E99" s="381">
        <v>-25.974000000000046</v>
      </c>
      <c r="F99" s="415">
        <f t="shared" si="41"/>
        <v>-9.0058041565250116E-2</v>
      </c>
      <c r="G99" s="381">
        <v>-5.7930000000000064</v>
      </c>
      <c r="H99" s="415">
        <f t="shared" si="42"/>
        <v>-1.7309433387216796E-2</v>
      </c>
      <c r="I99" s="381">
        <v>-24.534999999999997</v>
      </c>
      <c r="J99" s="415">
        <f t="shared" si="43"/>
        <v>-8.0246348276019952E-2</v>
      </c>
      <c r="K99" s="381">
        <v>-17.27600000000001</v>
      </c>
      <c r="L99" s="415">
        <f t="shared" si="44"/>
        <v>-5.3697867129172058E-2</v>
      </c>
      <c r="M99" s="381">
        <v>-24.104000000000013</v>
      </c>
      <c r="N99" s="415">
        <f t="shared" si="45"/>
        <v>-8.0268004022724451E-2</v>
      </c>
      <c r="O99" s="381">
        <v>-22.271000000000015</v>
      </c>
      <c r="P99" s="415">
        <f t="shared" si="46"/>
        <v>-7.4163985960425505E-2</v>
      </c>
      <c r="Q99" s="381"/>
      <c r="R99" s="415" t="str">
        <f t="shared" si="47"/>
        <v>N.D.</v>
      </c>
      <c r="S99" s="381"/>
      <c r="T99" s="415" t="str">
        <f t="shared" si="48"/>
        <v>N.D.</v>
      </c>
      <c r="U99" s="381"/>
      <c r="V99" s="415" t="str">
        <f t="shared" si="49"/>
        <v>N.D.</v>
      </c>
      <c r="W99" s="381"/>
      <c r="X99" s="415" t="str">
        <f t="shared" si="50"/>
        <v>N.D.</v>
      </c>
      <c r="Y99" s="381"/>
      <c r="Z99" s="415" t="str">
        <f t="shared" si="51"/>
        <v>N.D.</v>
      </c>
      <c r="AA99" s="381">
        <f t="shared" si="39"/>
        <v>-150.4680000000001</v>
      </c>
      <c r="AB99" s="178">
        <f t="shared" si="52"/>
        <v>-7.04229834618222E-2</v>
      </c>
    </row>
    <row r="100" spans="2:28" s="130" customFormat="1" ht="13" x14ac:dyDescent="0.3">
      <c r="B100" s="1" t="s">
        <v>194</v>
      </c>
      <c r="C100" s="373"/>
      <c r="D100" s="407">
        <f t="shared" si="40"/>
        <v>0</v>
      </c>
      <c r="E100" s="373"/>
      <c r="F100" s="407">
        <f t="shared" si="41"/>
        <v>0</v>
      </c>
      <c r="G100" s="373">
        <v>0</v>
      </c>
      <c r="H100" s="407">
        <f t="shared" si="42"/>
        <v>0</v>
      </c>
      <c r="I100" s="373">
        <v>0</v>
      </c>
      <c r="J100" s="407">
        <f t="shared" si="43"/>
        <v>0</v>
      </c>
      <c r="K100" s="373">
        <v>0</v>
      </c>
      <c r="L100" s="407">
        <f t="shared" si="44"/>
        <v>0</v>
      </c>
      <c r="M100" s="373">
        <v>0</v>
      </c>
      <c r="N100" s="407">
        <f t="shared" si="45"/>
        <v>0</v>
      </c>
      <c r="O100" s="373">
        <v>0</v>
      </c>
      <c r="P100" s="407">
        <f t="shared" si="46"/>
        <v>0</v>
      </c>
      <c r="Q100" s="373"/>
      <c r="R100" s="407" t="str">
        <f t="shared" si="47"/>
        <v>N.D.</v>
      </c>
      <c r="S100" s="373"/>
      <c r="T100" s="407" t="str">
        <f t="shared" si="48"/>
        <v>N.D.</v>
      </c>
      <c r="U100" s="373"/>
      <c r="V100" s="407" t="str">
        <f t="shared" si="49"/>
        <v>N.D.</v>
      </c>
      <c r="W100" s="373"/>
      <c r="X100" s="407" t="str">
        <f t="shared" si="50"/>
        <v>N.D.</v>
      </c>
      <c r="Y100" s="373"/>
      <c r="Z100" s="407" t="str">
        <f t="shared" si="51"/>
        <v>N.D.</v>
      </c>
      <c r="AA100" s="373"/>
      <c r="AB100" s="360">
        <f t="shared" si="52"/>
        <v>0</v>
      </c>
    </row>
    <row r="101" spans="2:28" s="130" customFormat="1" ht="13" x14ac:dyDescent="0.3">
      <c r="B101" s="1" t="s">
        <v>123</v>
      </c>
      <c r="C101" s="408"/>
      <c r="D101" s="409">
        <f t="shared" si="40"/>
        <v>0</v>
      </c>
      <c r="E101" s="408"/>
      <c r="F101" s="409">
        <f t="shared" si="41"/>
        <v>0</v>
      </c>
      <c r="G101" s="408"/>
      <c r="H101" s="409">
        <f t="shared" si="42"/>
        <v>0</v>
      </c>
      <c r="I101" s="408"/>
      <c r="J101" s="409">
        <f t="shared" si="43"/>
        <v>0</v>
      </c>
      <c r="K101" s="408"/>
      <c r="L101" s="409">
        <f t="shared" si="44"/>
        <v>0</v>
      </c>
      <c r="M101" s="408"/>
      <c r="N101" s="409">
        <f t="shared" si="45"/>
        <v>0</v>
      </c>
      <c r="O101" s="408"/>
      <c r="P101" s="409">
        <f t="shared" si="46"/>
        <v>0</v>
      </c>
      <c r="Q101" s="408"/>
      <c r="R101" s="409" t="str">
        <f t="shared" si="47"/>
        <v>N.D.</v>
      </c>
      <c r="S101" s="408"/>
      <c r="T101" s="409" t="str">
        <f t="shared" si="48"/>
        <v>N.D.</v>
      </c>
      <c r="U101" s="408"/>
      <c r="V101" s="409" t="str">
        <f t="shared" si="49"/>
        <v>N.D.</v>
      </c>
      <c r="W101" s="408"/>
      <c r="X101" s="409" t="str">
        <f t="shared" si="50"/>
        <v>N.D.</v>
      </c>
      <c r="Y101" s="408"/>
      <c r="Z101" s="409" t="str">
        <f t="shared" si="51"/>
        <v>N.D.</v>
      </c>
      <c r="AA101" s="408"/>
      <c r="AB101" s="361">
        <f t="shared" si="52"/>
        <v>0</v>
      </c>
    </row>
    <row r="102" spans="2:28" s="130" customFormat="1" ht="13" x14ac:dyDescent="0.3">
      <c r="B102" s="7" t="s">
        <v>190</v>
      </c>
      <c r="C102" s="410">
        <f>+C98+C100+C101+C84</f>
        <v>-31.515000000000015</v>
      </c>
      <c r="D102" s="409">
        <f t="shared" si="40"/>
        <v>-0.11039108884880121</v>
      </c>
      <c r="E102" s="410">
        <f>+E98+E100+E101+E84</f>
        <v>-25.308000000000046</v>
      </c>
      <c r="F102" s="409">
        <f t="shared" si="41"/>
        <v>-8.7748861012294996E-2</v>
      </c>
      <c r="G102" s="410">
        <v>-5.1240000000000059</v>
      </c>
      <c r="H102" s="409">
        <f t="shared" si="42"/>
        <v>-1.5310467232193831E-2</v>
      </c>
      <c r="I102" s="410">
        <v>-23.862999999999996</v>
      </c>
      <c r="J102" s="409">
        <f t="shared" si="43"/>
        <v>-7.8048445441641093E-2</v>
      </c>
      <c r="K102" s="410">
        <v>-16.600000000000012</v>
      </c>
      <c r="L102" s="409">
        <f t="shared" si="44"/>
        <v>-5.1596700297768944E-2</v>
      </c>
      <c r="M102" s="410">
        <v>-23.425000000000015</v>
      </c>
      <c r="N102" s="409">
        <f t="shared" si="45"/>
        <v>-7.80068865844806E-2</v>
      </c>
      <c r="O102" s="410">
        <v>-20.721000000000014</v>
      </c>
      <c r="P102" s="409">
        <f t="shared" si="46"/>
        <v>-6.9002377669883569E-2</v>
      </c>
      <c r="Q102" s="410"/>
      <c r="R102" s="409" t="str">
        <f t="shared" si="47"/>
        <v>N.D.</v>
      </c>
      <c r="S102" s="410"/>
      <c r="T102" s="409" t="str">
        <f t="shared" si="48"/>
        <v>N.D.</v>
      </c>
      <c r="U102" s="410"/>
      <c r="V102" s="409" t="str">
        <f t="shared" si="49"/>
        <v>N.D.</v>
      </c>
      <c r="W102" s="410"/>
      <c r="X102" s="409" t="str">
        <f t="shared" si="50"/>
        <v>N.D.</v>
      </c>
      <c r="Y102" s="410"/>
      <c r="Z102" s="409" t="str">
        <f t="shared" si="51"/>
        <v>N.D.</v>
      </c>
      <c r="AA102" s="410"/>
      <c r="AB102" s="361">
        <f t="shared" si="52"/>
        <v>0</v>
      </c>
    </row>
    <row r="103" spans="2:28" s="130" customFormat="1" ht="13" x14ac:dyDescent="0.3">
      <c r="B103" s="7" t="s">
        <v>191</v>
      </c>
      <c r="C103" s="516">
        <v>0.6184400000000001</v>
      </c>
      <c r="D103" s="411">
        <f t="shared" si="40"/>
        <v>2.1662784384468537E-3</v>
      </c>
      <c r="E103" s="516">
        <v>0.6184400000000001</v>
      </c>
      <c r="F103" s="411">
        <f t="shared" si="41"/>
        <v>2.1442787104648184E-3</v>
      </c>
      <c r="G103" s="516">
        <v>0.6184400000000001</v>
      </c>
      <c r="H103" s="411">
        <f t="shared" si="42"/>
        <v>1.847893316759942E-3</v>
      </c>
      <c r="I103" s="516">
        <v>0.59232000000000007</v>
      </c>
      <c r="J103" s="411">
        <f t="shared" si="43"/>
        <v>1.93729435544537E-3</v>
      </c>
      <c r="K103" s="516">
        <v>0.59</v>
      </c>
      <c r="L103" s="411">
        <f t="shared" si="44"/>
        <v>1.833858625041184E-3</v>
      </c>
      <c r="M103" s="516">
        <v>0</v>
      </c>
      <c r="N103" s="411">
        <f t="shared" si="45"/>
        <v>0</v>
      </c>
      <c r="O103" s="516">
        <v>0</v>
      </c>
      <c r="P103" s="411">
        <f t="shared" si="46"/>
        <v>0</v>
      </c>
      <c r="Q103" s="516"/>
      <c r="R103" s="411" t="str">
        <f t="shared" si="47"/>
        <v>N.D.</v>
      </c>
      <c r="S103" s="516"/>
      <c r="T103" s="411" t="str">
        <f t="shared" si="48"/>
        <v>N.D.</v>
      </c>
      <c r="U103" s="516"/>
      <c r="V103" s="411" t="str">
        <f t="shared" si="49"/>
        <v>N.D.</v>
      </c>
      <c r="W103" s="516"/>
      <c r="X103" s="411" t="str">
        <f t="shared" si="50"/>
        <v>N.D.</v>
      </c>
      <c r="Y103" s="516"/>
      <c r="Z103" s="411" t="str">
        <f t="shared" si="51"/>
        <v>N.D.</v>
      </c>
      <c r="AA103" s="516"/>
      <c r="AB103" s="151">
        <f t="shared" si="52"/>
        <v>0</v>
      </c>
    </row>
    <row r="104" spans="2:28" s="130" customFormat="1" ht="13" x14ac:dyDescent="0.3">
      <c r="B104" s="7" t="s">
        <v>84</v>
      </c>
      <c r="C104" s="381">
        <f>+C102-C103</f>
        <v>-32.133440000000014</v>
      </c>
      <c r="D104" s="411">
        <f t="shared" si="40"/>
        <v>-0.11255736728724806</v>
      </c>
      <c r="E104" s="381">
        <f>+E102-E103</f>
        <v>-25.926440000000046</v>
      </c>
      <c r="F104" s="411">
        <f t="shared" si="41"/>
        <v>-8.9893139722759807E-2</v>
      </c>
      <c r="G104" s="381">
        <v>-5.7424400000000055</v>
      </c>
      <c r="H104" s="411">
        <f t="shared" si="42"/>
        <v>-1.7158360548953772E-2</v>
      </c>
      <c r="I104" s="381">
        <v>-24.455319999999997</v>
      </c>
      <c r="J104" s="411">
        <f t="shared" si="43"/>
        <v>-7.9985739797086466E-2</v>
      </c>
      <c r="K104" s="381">
        <v>-17.190000000000012</v>
      </c>
      <c r="L104" s="411">
        <f t="shared" si="44"/>
        <v>-5.343055892281013E-2</v>
      </c>
      <c r="M104" s="381">
        <v>-23.425000000000015</v>
      </c>
      <c r="N104" s="411">
        <f t="shared" si="45"/>
        <v>-7.80068865844806E-2</v>
      </c>
      <c r="O104" s="381">
        <v>-20.721000000000014</v>
      </c>
      <c r="P104" s="411">
        <f t="shared" si="46"/>
        <v>-6.9002377669883569E-2</v>
      </c>
      <c r="Q104" s="381"/>
      <c r="R104" s="411" t="str">
        <f t="shared" si="47"/>
        <v>N.D.</v>
      </c>
      <c r="S104" s="381"/>
      <c r="T104" s="411" t="str">
        <f t="shared" si="48"/>
        <v>N.D.</v>
      </c>
      <c r="U104" s="381"/>
      <c r="V104" s="411" t="str">
        <f t="shared" si="49"/>
        <v>N.D.</v>
      </c>
      <c r="W104" s="381"/>
      <c r="X104" s="411" t="str">
        <f t="shared" si="50"/>
        <v>N.D.</v>
      </c>
      <c r="Y104" s="381"/>
      <c r="Z104" s="411" t="str">
        <f t="shared" si="51"/>
        <v>N.D.</v>
      </c>
      <c r="AA104" s="381"/>
      <c r="AB104" s="151">
        <f t="shared" si="52"/>
        <v>0</v>
      </c>
    </row>
    <row r="105" spans="2:28" s="130" customFormat="1" ht="13" x14ac:dyDescent="0.3">
      <c r="B105" s="1" t="s">
        <v>193</v>
      </c>
      <c r="C105" s="412"/>
      <c r="D105" s="411">
        <f t="shared" si="40"/>
        <v>0</v>
      </c>
      <c r="E105" s="412"/>
      <c r="F105" s="411">
        <f t="shared" si="41"/>
        <v>0</v>
      </c>
      <c r="G105" s="412">
        <v>-8.2853631718517651</v>
      </c>
      <c r="H105" s="411">
        <f t="shared" si="42"/>
        <v>-2.4756592769215817E-2</v>
      </c>
      <c r="I105" s="412">
        <v>-40.287344678552124</v>
      </c>
      <c r="J105" s="411">
        <f t="shared" si="43"/>
        <v>-0.13176736467051778</v>
      </c>
      <c r="K105" s="412">
        <v>-28.135593220339004</v>
      </c>
      <c r="L105" s="411">
        <f t="shared" si="44"/>
        <v>-8.7452034402998216E-2</v>
      </c>
      <c r="M105" s="412" t="s">
        <v>451</v>
      </c>
      <c r="N105" s="411" t="e">
        <f t="shared" si="45"/>
        <v>#VALUE!</v>
      </c>
      <c r="O105" s="412" t="s">
        <v>451</v>
      </c>
      <c r="P105" s="411" t="e">
        <f t="shared" si="46"/>
        <v>#VALUE!</v>
      </c>
      <c r="Q105" s="412"/>
      <c r="R105" s="411" t="str">
        <f t="shared" si="47"/>
        <v>N.D.</v>
      </c>
      <c r="S105" s="412"/>
      <c r="T105" s="411" t="str">
        <f t="shared" si="48"/>
        <v>N.D.</v>
      </c>
      <c r="U105" s="412"/>
      <c r="V105" s="411" t="str">
        <f t="shared" si="49"/>
        <v>N.D.</v>
      </c>
      <c r="W105" s="412"/>
      <c r="X105" s="411" t="str">
        <f t="shared" si="50"/>
        <v>N.D.</v>
      </c>
      <c r="Y105" s="412"/>
      <c r="Z105" s="411" t="str">
        <f t="shared" si="51"/>
        <v>N.D.</v>
      </c>
      <c r="AA105" s="412"/>
      <c r="AB105" s="151">
        <f t="shared" si="52"/>
        <v>0</v>
      </c>
    </row>
    <row r="107" spans="2:28" ht="13" x14ac:dyDescent="0.3">
      <c r="B107" s="13"/>
      <c r="D107" s="429"/>
      <c r="F107" s="429"/>
      <c r="H107" s="429"/>
      <c r="J107" s="429"/>
      <c r="L107" s="429"/>
      <c r="N107" s="429"/>
      <c r="P107" s="429"/>
      <c r="R107" s="429"/>
      <c r="T107" s="429"/>
      <c r="V107" s="429"/>
      <c r="X107" s="429"/>
      <c r="Z107" s="429"/>
      <c r="AB107" s="130"/>
    </row>
    <row r="108" spans="2:28" ht="13" x14ac:dyDescent="0.3">
      <c r="B108" s="13"/>
      <c r="D108" s="429"/>
      <c r="F108" s="429"/>
      <c r="H108" s="429"/>
      <c r="J108" s="429"/>
      <c r="L108" s="429"/>
      <c r="N108" s="429"/>
      <c r="P108" s="429"/>
      <c r="R108" s="429"/>
      <c r="T108" s="429"/>
      <c r="V108" s="429"/>
      <c r="X108" s="429"/>
      <c r="Z108" s="429"/>
      <c r="AB108" s="130"/>
    </row>
    <row r="109" spans="2:28" x14ac:dyDescent="0.25">
      <c r="C109" s="426"/>
      <c r="D109" s="429"/>
      <c r="E109" s="426"/>
      <c r="F109" s="429"/>
      <c r="G109" s="426"/>
      <c r="H109" s="429"/>
      <c r="I109" s="426"/>
      <c r="J109" s="429"/>
      <c r="K109" s="426"/>
      <c r="L109" s="429"/>
      <c r="M109" s="426"/>
      <c r="N109" s="429"/>
      <c r="O109" s="426"/>
      <c r="P109" s="429"/>
      <c r="Q109" s="426"/>
      <c r="R109" s="429"/>
      <c r="S109" s="426"/>
      <c r="T109" s="429"/>
      <c r="U109" s="426"/>
      <c r="V109" s="429"/>
      <c r="W109" s="426"/>
      <c r="X109" s="429"/>
      <c r="Y109" s="426"/>
      <c r="Z109" s="429"/>
      <c r="AA109" s="426"/>
      <c r="AB109" s="131"/>
    </row>
    <row r="110" spans="2:28" x14ac:dyDescent="0.25">
      <c r="D110" s="429"/>
      <c r="F110" s="429"/>
      <c r="H110" s="429"/>
      <c r="J110" s="429"/>
      <c r="L110" s="429"/>
      <c r="N110" s="429"/>
      <c r="P110" s="429"/>
      <c r="R110" s="429"/>
      <c r="T110" s="429"/>
      <c r="V110" s="429"/>
      <c r="X110" s="429"/>
      <c r="Z110" s="429"/>
      <c r="AB110" s="131"/>
    </row>
    <row r="111" spans="2:28" x14ac:dyDescent="0.25">
      <c r="D111" s="429"/>
      <c r="F111" s="429"/>
      <c r="H111" s="429"/>
      <c r="J111" s="429"/>
      <c r="L111" s="429"/>
      <c r="N111" s="429"/>
      <c r="P111" s="429"/>
      <c r="R111" s="429"/>
      <c r="T111" s="429"/>
      <c r="V111" s="429"/>
      <c r="X111" s="429"/>
      <c r="Z111" s="429"/>
      <c r="AB111" s="131"/>
    </row>
    <row r="112" spans="2:28" ht="13" x14ac:dyDescent="0.3">
      <c r="B112" s="251" t="s">
        <v>342</v>
      </c>
      <c r="C112" s="396" t="s">
        <v>418</v>
      </c>
      <c r="D112" s="397"/>
      <c r="E112" s="396" t="s">
        <v>419</v>
      </c>
      <c r="F112" s="397"/>
      <c r="G112" s="396" t="s">
        <v>417</v>
      </c>
      <c r="H112" s="397"/>
      <c r="I112" s="396" t="s">
        <v>420</v>
      </c>
      <c r="J112" s="397"/>
      <c r="K112" s="396" t="s">
        <v>421</v>
      </c>
      <c r="L112" s="397"/>
      <c r="M112" s="396" t="s">
        <v>422</v>
      </c>
      <c r="N112" s="397"/>
      <c r="O112" s="396" t="s">
        <v>423</v>
      </c>
      <c r="P112" s="397"/>
      <c r="Q112" s="396" t="s">
        <v>428</v>
      </c>
      <c r="R112" s="397"/>
      <c r="S112" s="396" t="s">
        <v>424</v>
      </c>
      <c r="T112" s="397"/>
      <c r="U112" s="396" t="s">
        <v>425</v>
      </c>
      <c r="V112" s="397"/>
      <c r="W112" s="396" t="s">
        <v>426</v>
      </c>
      <c r="X112" s="397"/>
      <c r="Y112" s="396" t="s">
        <v>427</v>
      </c>
      <c r="Z112" s="431"/>
      <c r="AA112" s="396" t="s">
        <v>497</v>
      </c>
      <c r="AB112" s="136"/>
    </row>
    <row r="113" spans="2:28" x14ac:dyDescent="0.25">
      <c r="B113" s="9" t="s">
        <v>38</v>
      </c>
      <c r="C113" s="314">
        <f>+BDPP!D98/1000</f>
        <v>647.46400000000006</v>
      </c>
      <c r="D113" s="414">
        <f>IF(C$113=0,"N.D.",C113/C$113)</f>
        <v>1</v>
      </c>
      <c r="E113" s="314">
        <v>609.41300000000001</v>
      </c>
      <c r="F113" s="414">
        <f>IF(E$113=0,"N.D.",E113/E$113)</f>
        <v>1</v>
      </c>
      <c r="G113" s="314">
        <v>723.60299999999995</v>
      </c>
      <c r="H113" s="414">
        <f>IF(G$113=0,"N.D.",G113/G$113)</f>
        <v>1</v>
      </c>
      <c r="I113" s="314">
        <v>660.66899999999998</v>
      </c>
      <c r="J113" s="414">
        <f>IF(I$113=0,"N.D.",I113/I$113)</f>
        <v>1</v>
      </c>
      <c r="K113" s="314">
        <v>694.25199999999995</v>
      </c>
      <c r="L113" s="414">
        <f>IF(K$113=0,"N.D.",K113/K$113)</f>
        <v>1</v>
      </c>
      <c r="M113" s="314">
        <v>692.15899999999999</v>
      </c>
      <c r="N113" s="414">
        <f>IF(M$113=0,"N.D.",M113/M$113)</f>
        <v>1</v>
      </c>
      <c r="O113" s="314">
        <v>692.15899999999999</v>
      </c>
      <c r="P113" s="414">
        <f>IF(O$113=0,"N.D.",O113/O$113)</f>
        <v>1</v>
      </c>
      <c r="Q113" s="314"/>
      <c r="R113" s="414" t="str">
        <f>IF(Q$113=0,"N.D.",Q113/Q$113)</f>
        <v>N.D.</v>
      </c>
      <c r="S113" s="314"/>
      <c r="T113" s="414" t="str">
        <f>IF(S$113=0,"N.D.",S113/S$113)</f>
        <v>N.D.</v>
      </c>
      <c r="U113" s="314"/>
      <c r="V113" s="414" t="str">
        <f>IF(U$113=0,"N.D.",U113/U$113)</f>
        <v>N.D.</v>
      </c>
      <c r="W113" s="314"/>
      <c r="X113" s="414" t="str">
        <f>IF(W$113=0,"N.D.",W113/W$113)</f>
        <v>N.D.</v>
      </c>
      <c r="Y113" s="314"/>
      <c r="Z113" s="414" t="str">
        <f>IF(Y$113=0,"N.D.",Y113/Y$113)</f>
        <v>N.D.</v>
      </c>
      <c r="AA113" s="314">
        <f>+Y113+W113+U113+S113+Q113+O113+M113+K113+I113+G113+E113+C113</f>
        <v>4719.7190000000001</v>
      </c>
      <c r="AB113" s="176">
        <f>IF(AA$113=0,"N.D.",AA113/AA$113)</f>
        <v>1</v>
      </c>
    </row>
    <row r="114" spans="2:28" x14ac:dyDescent="0.25">
      <c r="B114" s="9" t="s">
        <v>39</v>
      </c>
      <c r="C114" s="314">
        <f>+BDPP!D101/1000</f>
        <v>229.202</v>
      </c>
      <c r="D114" s="414">
        <f>IF(C$113=0,"N.D.",C114/C$113)</f>
        <v>0.3539996046112216</v>
      </c>
      <c r="E114" s="314">
        <v>215.732</v>
      </c>
      <c r="F114" s="414">
        <f>IF(E$113=0,"N.D.",E114/E$113)</f>
        <v>0.35399966853349041</v>
      </c>
      <c r="G114" s="314">
        <v>256.15600000000001</v>
      </c>
      <c r="H114" s="414">
        <f>IF(G$113=0,"N.D.",G114/G$113)</f>
        <v>0.35400074350161626</v>
      </c>
      <c r="I114" s="314">
        <v>233.87700000000001</v>
      </c>
      <c r="J114" s="414">
        <f>IF(I$113=0,"N.D.",I114/I$113)</f>
        <v>0.35400026336940288</v>
      </c>
      <c r="K114" s="314">
        <v>245.76499999999999</v>
      </c>
      <c r="L114" s="414">
        <f>IF(K$113=0,"N.D.",K114/K$113)</f>
        <v>0.35399970039697404</v>
      </c>
      <c r="M114" s="314">
        <v>245.024</v>
      </c>
      <c r="N114" s="414">
        <f>IF(M$113=0,"N.D.",M114/M$113)</f>
        <v>0.35399958680014276</v>
      </c>
      <c r="O114" s="314">
        <v>245.024</v>
      </c>
      <c r="P114" s="414">
        <f>IF(O$113=0,"N.D.",O114/O$113)</f>
        <v>0.35399958680014276</v>
      </c>
      <c r="Q114" s="314"/>
      <c r="R114" s="414" t="str">
        <f>IF(Q$113=0,"N.D.",Q114/Q$113)</f>
        <v>N.D.</v>
      </c>
      <c r="S114" s="314"/>
      <c r="T114" s="414" t="str">
        <f>IF(S$113=0,"N.D.",S114/S$113)</f>
        <v>N.D.</v>
      </c>
      <c r="U114" s="314"/>
      <c r="V114" s="414" t="str">
        <f>IF(U$113=0,"N.D.",U114/U$113)</f>
        <v>N.D.</v>
      </c>
      <c r="W114" s="314"/>
      <c r="X114" s="414" t="str">
        <f>IF(W$113=0,"N.D.",W114/W$113)</f>
        <v>N.D.</v>
      </c>
      <c r="Y114" s="314"/>
      <c r="Z114" s="414" t="str">
        <f>IF(Y$113=0,"N.D.",Y114/Y$113)</f>
        <v>N.D.</v>
      </c>
      <c r="AA114" s="314">
        <f t="shared" ref="AA114:AA135" si="53">+Y114+W114+U114+S114+Q114+O114+M114+K114+I114+G114+E114+C114</f>
        <v>1670.78</v>
      </c>
      <c r="AB114" s="176">
        <f>IF(AA$113=0,"N.D.",AA114/AA$113)</f>
        <v>0.35399988855268716</v>
      </c>
    </row>
    <row r="115" spans="2:28" hidden="1" x14ac:dyDescent="0.25">
      <c r="B115" s="9" t="s">
        <v>219</v>
      </c>
      <c r="C115" s="314">
        <v>0</v>
      </c>
      <c r="D115" s="414">
        <f>IF(C$113=0,"N.D.",C115/C$113)</f>
        <v>0</v>
      </c>
      <c r="E115" s="314">
        <v>0</v>
      </c>
      <c r="F115" s="414">
        <f>IF(E$113=0,"N.D.",E115/E$113)</f>
        <v>0</v>
      </c>
      <c r="G115" s="314">
        <v>0</v>
      </c>
      <c r="H115" s="414">
        <f>IF(G$113=0,"N.D.",G115/G$113)</f>
        <v>0</v>
      </c>
      <c r="I115" s="314">
        <v>0</v>
      </c>
      <c r="J115" s="414">
        <f>IF(I$113=0,"N.D.",I115/I$113)</f>
        <v>0</v>
      </c>
      <c r="K115" s="314">
        <v>0</v>
      </c>
      <c r="L115" s="414">
        <f>IF(K$113=0,"N.D.",K115/K$113)</f>
        <v>0</v>
      </c>
      <c r="M115" s="314">
        <v>0</v>
      </c>
      <c r="N115" s="414">
        <f>IF(M$113=0,"N.D.",M115/M$113)</f>
        <v>0</v>
      </c>
      <c r="O115" s="314">
        <v>0</v>
      </c>
      <c r="P115" s="414">
        <f>IF(O$113=0,"N.D.",O115/O$113)</f>
        <v>0</v>
      </c>
      <c r="Q115" s="314"/>
      <c r="R115" s="414" t="str">
        <f>IF(Q$113=0,"N.D.",Q115/Q$113)</f>
        <v>N.D.</v>
      </c>
      <c r="S115" s="314"/>
      <c r="T115" s="414" t="str">
        <f>IF(S$113=0,"N.D.",S115/S$113)</f>
        <v>N.D.</v>
      </c>
      <c r="U115" s="314"/>
      <c r="V115" s="414" t="str">
        <f>IF(U$113=0,"N.D.",U115/U$113)</f>
        <v>N.D.</v>
      </c>
      <c r="W115" s="314"/>
      <c r="X115" s="414" t="str">
        <f>IF(W$113=0,"N.D.",W115/W$113)</f>
        <v>N.D.</v>
      </c>
      <c r="Y115" s="314"/>
      <c r="Z115" s="414" t="str">
        <f>IF(Y$113=0,"N.D.",Y115/Y$113)</f>
        <v>N.D.</v>
      </c>
      <c r="AA115" s="314"/>
      <c r="AB115" s="176">
        <f>IF(AA$113=0,"N.D.",AA115/AA$113)</f>
        <v>0</v>
      </c>
    </row>
    <row r="116" spans="2:28" ht="13" x14ac:dyDescent="0.3">
      <c r="B116" s="9" t="s">
        <v>40</v>
      </c>
      <c r="C116" s="381">
        <f>+C113-C114</f>
        <v>418.26200000000006</v>
      </c>
      <c r="D116" s="415">
        <f>IF(C$113=0,"N.D.",C116/C$113)</f>
        <v>0.6460003953887784</v>
      </c>
      <c r="E116" s="381">
        <v>393.68100000000004</v>
      </c>
      <c r="F116" s="415">
        <f>IF(E$113=0,"N.D.",E116/E$113)</f>
        <v>0.64600033146650959</v>
      </c>
      <c r="G116" s="381">
        <v>467.44699999999995</v>
      </c>
      <c r="H116" s="415">
        <f>IF(G$113=0,"N.D.",G116/G$113)</f>
        <v>0.64599925649838374</v>
      </c>
      <c r="I116" s="381">
        <v>426.79199999999997</v>
      </c>
      <c r="J116" s="415">
        <f>IF(I$113=0,"N.D.",I116/I$113)</f>
        <v>0.64599973663059718</v>
      </c>
      <c r="K116" s="381">
        <v>448.48699999999997</v>
      </c>
      <c r="L116" s="415">
        <f>IF(K$113=0,"N.D.",K116/K$113)</f>
        <v>0.64600029960302596</v>
      </c>
      <c r="M116" s="381">
        <v>447.13499999999999</v>
      </c>
      <c r="N116" s="415">
        <f>IF(M$113=0,"N.D.",M116/M$113)</f>
        <v>0.64600041319985724</v>
      </c>
      <c r="O116" s="381">
        <v>447.13499999999999</v>
      </c>
      <c r="P116" s="415">
        <f>IF(O$113=0,"N.D.",O116/O$113)</f>
        <v>0.64600041319985724</v>
      </c>
      <c r="Q116" s="381"/>
      <c r="R116" s="415" t="str">
        <f>IF(Q$113=0,"N.D.",Q116/Q$113)</f>
        <v>N.D.</v>
      </c>
      <c r="S116" s="381"/>
      <c r="T116" s="415" t="str">
        <f>IF(S$113=0,"N.D.",S116/S$113)</f>
        <v>N.D.</v>
      </c>
      <c r="U116" s="381"/>
      <c r="V116" s="415" t="str">
        <f>IF(U$113=0,"N.D.",U116/U$113)</f>
        <v>N.D.</v>
      </c>
      <c r="W116" s="381"/>
      <c r="X116" s="415" t="str">
        <f>IF(W$113=0,"N.D.",W116/W$113)</f>
        <v>N.D.</v>
      </c>
      <c r="Y116" s="381"/>
      <c r="Z116" s="415" t="str">
        <f>IF(Y$113=0,"N.D.",Y116/Y$113)</f>
        <v>N.D.</v>
      </c>
      <c r="AA116" s="381">
        <f t="shared" si="53"/>
        <v>3048.9390000000003</v>
      </c>
      <c r="AB116" s="178">
        <f>IF(AA$113=0,"N.D.",AA116/AA$113)</f>
        <v>0.64600011144731295</v>
      </c>
    </row>
    <row r="117" spans="2:28" x14ac:dyDescent="0.25">
      <c r="B117" s="9"/>
      <c r="C117" s="419"/>
      <c r="D117" s="416"/>
      <c r="E117" s="419"/>
      <c r="F117" s="416"/>
      <c r="G117" s="419"/>
      <c r="H117" s="416"/>
      <c r="I117" s="419"/>
      <c r="J117" s="416"/>
      <c r="K117" s="419"/>
      <c r="L117" s="416"/>
      <c r="M117" s="419"/>
      <c r="N117" s="416"/>
      <c r="O117" s="419"/>
      <c r="P117" s="416"/>
      <c r="Q117" s="419"/>
      <c r="R117" s="416"/>
      <c r="S117" s="419"/>
      <c r="T117" s="416"/>
      <c r="U117" s="419"/>
      <c r="V117" s="416"/>
      <c r="W117" s="419"/>
      <c r="X117" s="416"/>
      <c r="Y117" s="419"/>
      <c r="Z117" s="416"/>
      <c r="AA117" s="419"/>
      <c r="AB117" s="180"/>
    </row>
    <row r="118" spans="2:28" x14ac:dyDescent="0.25">
      <c r="B118" s="9" t="s">
        <v>41</v>
      </c>
      <c r="C118" s="418">
        <f>+BDPP!D104/1000</f>
        <v>393.51299999999998</v>
      </c>
      <c r="D118" s="417">
        <f>IF(C$113=0,"N.D.",C118/C$113)</f>
        <v>0.60777587634215946</v>
      </c>
      <c r="E118" s="418">
        <v>384.88499999999999</v>
      </c>
      <c r="F118" s="417">
        <f>IF(E$113=0,"N.D.",E118/E$113)</f>
        <v>0.63156676999013805</v>
      </c>
      <c r="G118" s="418">
        <v>417.06900000000002</v>
      </c>
      <c r="H118" s="417">
        <f>IF(G$113=0,"N.D.",G118/G$113)</f>
        <v>0.57637820738719991</v>
      </c>
      <c r="I118" s="418">
        <v>396.93700000000001</v>
      </c>
      <c r="J118" s="417">
        <f>IF(I$113=0,"N.D.",I118/I$113)</f>
        <v>0.60081069340320192</v>
      </c>
      <c r="K118" s="418">
        <v>406.35399999999998</v>
      </c>
      <c r="L118" s="417">
        <f>IF(K$113=0,"N.D.",K118/K$113)</f>
        <v>0.58531196165081267</v>
      </c>
      <c r="M118" s="418">
        <v>407.24400000000003</v>
      </c>
      <c r="N118" s="417">
        <f>IF(M$113=0,"N.D.",M118/M$113)</f>
        <v>0.58836770164080798</v>
      </c>
      <c r="O118" s="418">
        <v>407.24400000000003</v>
      </c>
      <c r="P118" s="417">
        <f>IF(O$113=0,"N.D.",O118/O$113)</f>
        <v>0.58836770164080798</v>
      </c>
      <c r="Q118" s="418"/>
      <c r="R118" s="417" t="str">
        <f>IF(Q$113=0,"N.D.",Q118/Q$113)</f>
        <v>N.D.</v>
      </c>
      <c r="S118" s="418"/>
      <c r="T118" s="417" t="str">
        <f>IF(S$113=0,"N.D.",S118/S$113)</f>
        <v>N.D.</v>
      </c>
      <c r="U118" s="418"/>
      <c r="V118" s="417" t="str">
        <f>IF(U$113=0,"N.D.",U118/U$113)</f>
        <v>N.D.</v>
      </c>
      <c r="W118" s="418"/>
      <c r="X118" s="417" t="str">
        <f>IF(W$113=0,"N.D.",W118/W$113)</f>
        <v>N.D.</v>
      </c>
      <c r="Y118" s="418"/>
      <c r="Z118" s="417" t="str">
        <f>IF(Y$113=0,"N.D.",Y118/Y$113)</f>
        <v>N.D.</v>
      </c>
      <c r="AA118" s="418">
        <f t="shared" si="53"/>
        <v>2813.2460000000001</v>
      </c>
      <c r="AB118" s="182">
        <f>IF(AA$113=0,"N.D.",AA118/AA$113)</f>
        <v>0.59606218082051077</v>
      </c>
    </row>
    <row r="119" spans="2:28" x14ac:dyDescent="0.25">
      <c r="B119" s="9" t="s">
        <v>42</v>
      </c>
      <c r="C119" s="314">
        <f>+BDPP!D105/1000</f>
        <v>23.712</v>
      </c>
      <c r="D119" s="414">
        <f>IF(C$113=0,"N.D.",C119/C$113)</f>
        <v>3.6622885596728154E-2</v>
      </c>
      <c r="E119" s="314">
        <v>21.039000000000001</v>
      </c>
      <c r="F119" s="414">
        <f>IF(E$113=0,"N.D.",E119/E$113)</f>
        <v>3.4523385618619888E-2</v>
      </c>
      <c r="G119" s="314">
        <v>17.097000000000001</v>
      </c>
      <c r="H119" s="414">
        <f>IF(G$113=0,"N.D.",G119/G$113)</f>
        <v>2.3627596900510365E-2</v>
      </c>
      <c r="I119" s="314">
        <v>22.446999999999999</v>
      </c>
      <c r="J119" s="414">
        <f>IF(I$113=0,"N.D.",I119/I$113)</f>
        <v>3.3976166582660908E-2</v>
      </c>
      <c r="K119" s="314">
        <v>24.567</v>
      </c>
      <c r="L119" s="414">
        <f>IF(K$113=0,"N.D.",K119/K$113)</f>
        <v>3.5386286247644949E-2</v>
      </c>
      <c r="M119" s="314">
        <v>23.518999999999998</v>
      </c>
      <c r="N119" s="414">
        <f>IF(M$113=0,"N.D.",M119/M$113)</f>
        <v>3.3979186863134045E-2</v>
      </c>
      <c r="O119" s="314">
        <v>23.518999999999998</v>
      </c>
      <c r="P119" s="414">
        <f>IF(O$113=0,"N.D.",O119/O$113)</f>
        <v>3.3979186863134045E-2</v>
      </c>
      <c r="Q119" s="314"/>
      <c r="R119" s="414" t="str">
        <f>IF(Q$113=0,"N.D.",Q119/Q$113)</f>
        <v>N.D.</v>
      </c>
      <c r="S119" s="314"/>
      <c r="T119" s="414" t="str">
        <f>IF(S$113=0,"N.D.",S119/S$113)</f>
        <v>N.D.</v>
      </c>
      <c r="U119" s="314"/>
      <c r="V119" s="414" t="str">
        <f>IF(U$113=0,"N.D.",U119/U$113)</f>
        <v>N.D.</v>
      </c>
      <c r="W119" s="314"/>
      <c r="X119" s="414" t="str">
        <f>IF(W$113=0,"N.D.",W119/W$113)</f>
        <v>N.D.</v>
      </c>
      <c r="Y119" s="314"/>
      <c r="Z119" s="414" t="str">
        <f>IF(Y$113=0,"N.D.",Y119/Y$113)</f>
        <v>N.D.</v>
      </c>
      <c r="AA119" s="314">
        <f t="shared" si="53"/>
        <v>155.89999999999998</v>
      </c>
      <c r="AB119" s="176">
        <f>IF(AA$113=0,"N.D.",AA119/AA$113)</f>
        <v>3.3031627518502686E-2</v>
      </c>
    </row>
    <row r="120" spans="2:28" x14ac:dyDescent="0.25">
      <c r="B120" s="9" t="s">
        <v>43</v>
      </c>
      <c r="C120" s="314">
        <f>+BDPP!D106/1000</f>
        <v>2.8380000000000001</v>
      </c>
      <c r="D120" s="414">
        <f>IF(C$113=0,"N.D.",C120/C$113)</f>
        <v>4.3832552852359355E-3</v>
      </c>
      <c r="E120" s="314">
        <v>2.8380000000000001</v>
      </c>
      <c r="F120" s="414">
        <f>IF(E$113=0,"N.D.",E120/E$113)</f>
        <v>4.6569403672058196E-3</v>
      </c>
      <c r="G120" s="314">
        <v>2.8380000000000001</v>
      </c>
      <c r="H120" s="414">
        <f>IF(G$113=0,"N.D.",G120/G$113)</f>
        <v>3.9220401242117571E-3</v>
      </c>
      <c r="I120" s="314">
        <v>2.8380000000000001</v>
      </c>
      <c r="J120" s="414">
        <f>IF(I$113=0,"N.D.",I120/I$113)</f>
        <v>4.2956457772348943E-3</v>
      </c>
      <c r="K120" s="314">
        <v>2.8380000000000001</v>
      </c>
      <c r="L120" s="414">
        <f>IF(K$113=0,"N.D.",K120/K$113)</f>
        <v>4.0878528257750789E-3</v>
      </c>
      <c r="M120" s="314">
        <v>2.8380000000000001</v>
      </c>
      <c r="N120" s="414">
        <f>IF(M$113=0,"N.D.",M120/M$113)</f>
        <v>4.1002139681778323E-3</v>
      </c>
      <c r="O120" s="314">
        <v>2.8380000000000001</v>
      </c>
      <c r="P120" s="414">
        <f>IF(O$113=0,"N.D.",O120/O$113)</f>
        <v>4.1002139681778323E-3</v>
      </c>
      <c r="Q120" s="314"/>
      <c r="R120" s="414" t="str">
        <f>IF(Q$113=0,"N.D.",Q120/Q$113)</f>
        <v>N.D.</v>
      </c>
      <c r="S120" s="314"/>
      <c r="T120" s="414" t="str">
        <f>IF(S$113=0,"N.D.",S120/S$113)</f>
        <v>N.D.</v>
      </c>
      <c r="U120" s="314"/>
      <c r="V120" s="414" t="str">
        <f>IF(U$113=0,"N.D.",U120/U$113)</f>
        <v>N.D.</v>
      </c>
      <c r="W120" s="314"/>
      <c r="X120" s="414" t="str">
        <f>IF(W$113=0,"N.D.",W120/W$113)</f>
        <v>N.D.</v>
      </c>
      <c r="Y120" s="314"/>
      <c r="Z120" s="414" t="str">
        <f>IF(Y$113=0,"N.D.",Y120/Y$113)</f>
        <v>N.D.</v>
      </c>
      <c r="AA120" s="314">
        <f t="shared" si="53"/>
        <v>19.866000000000003</v>
      </c>
      <c r="AB120" s="176">
        <f>IF(AA$113=0,"N.D.",AA120/AA$113)</f>
        <v>4.2091488921268414E-3</v>
      </c>
    </row>
    <row r="121" spans="2:28" ht="13" x14ac:dyDescent="0.3">
      <c r="B121" s="9" t="s">
        <v>44</v>
      </c>
      <c r="C121" s="381">
        <f>SUM(C118:C120)</f>
        <v>420.06299999999999</v>
      </c>
      <c r="D121" s="415">
        <f>IF(C$113=0,"N.D.",C121/C$113)</f>
        <v>0.64878201722412354</v>
      </c>
      <c r="E121" s="381">
        <v>408.762</v>
      </c>
      <c r="F121" s="415">
        <f>IF(E$113=0,"N.D.",E121/E$113)</f>
        <v>0.67074709597596371</v>
      </c>
      <c r="G121" s="381">
        <v>437.00400000000002</v>
      </c>
      <c r="H121" s="415">
        <f>IF(G$113=0,"N.D.",G121/G$113)</f>
        <v>0.60392784441192204</v>
      </c>
      <c r="I121" s="381">
        <v>422.22200000000004</v>
      </c>
      <c r="J121" s="415">
        <f>IF(I$113=0,"N.D.",I121/I$113)</f>
        <v>0.63908250576309777</v>
      </c>
      <c r="K121" s="381">
        <v>433.75900000000001</v>
      </c>
      <c r="L121" s="415">
        <f>IF(K$113=0,"N.D.",K121/K$113)</f>
        <v>0.6247861007242328</v>
      </c>
      <c r="M121" s="381">
        <v>433.60100000000006</v>
      </c>
      <c r="N121" s="415">
        <f>IF(M$113=0,"N.D.",M121/M$113)</f>
        <v>0.62644710247211999</v>
      </c>
      <c r="O121" s="381">
        <v>433.60100000000006</v>
      </c>
      <c r="P121" s="415">
        <f>IF(O$113=0,"N.D.",O121/O$113)</f>
        <v>0.62644710247211999</v>
      </c>
      <c r="Q121" s="381"/>
      <c r="R121" s="415" t="str">
        <f>IF(Q$113=0,"N.D.",Q121/Q$113)</f>
        <v>N.D.</v>
      </c>
      <c r="S121" s="381"/>
      <c r="T121" s="415" t="str">
        <f>IF(S$113=0,"N.D.",S121/S$113)</f>
        <v>N.D.</v>
      </c>
      <c r="U121" s="381"/>
      <c r="V121" s="415" t="str">
        <f>IF(U$113=0,"N.D.",U121/U$113)</f>
        <v>N.D.</v>
      </c>
      <c r="W121" s="381"/>
      <c r="X121" s="415" t="str">
        <f>IF(W$113=0,"N.D.",W121/W$113)</f>
        <v>N.D.</v>
      </c>
      <c r="Y121" s="381"/>
      <c r="Z121" s="415" t="str">
        <f>IF(Y$113=0,"N.D.",Y121/Y$113)</f>
        <v>N.D.</v>
      </c>
      <c r="AA121" s="381">
        <f t="shared" si="53"/>
        <v>2989.0120000000006</v>
      </c>
      <c r="AB121" s="178">
        <f>IF(AA$113=0,"N.D.",AA121/AA$113)</f>
        <v>0.63330295723114038</v>
      </c>
    </row>
    <row r="122" spans="2:28" ht="13" x14ac:dyDescent="0.3">
      <c r="B122" s="9" t="s">
        <v>45</v>
      </c>
      <c r="C122" s="381">
        <f>+C116-C121</f>
        <v>-1.8009999999999309</v>
      </c>
      <c r="D122" s="415">
        <f>IF(C$113=0,"N.D.",C122/C$113)</f>
        <v>-2.7816218353451786E-3</v>
      </c>
      <c r="E122" s="381">
        <v>-15.08099999999996</v>
      </c>
      <c r="F122" s="415">
        <f>IF(E$113=0,"N.D.",E122/E$113)</f>
        <v>-2.4746764509454115E-2</v>
      </c>
      <c r="G122" s="381">
        <v>30.442999999999927</v>
      </c>
      <c r="H122" s="415">
        <f>IF(G$113=0,"N.D.",G122/G$113)</f>
        <v>4.2071412086461674E-2</v>
      </c>
      <c r="I122" s="381">
        <v>4.5699999999999363</v>
      </c>
      <c r="J122" s="415">
        <f>IF(I$113=0,"N.D.",I122/I$113)</f>
        <v>6.917230867499363E-3</v>
      </c>
      <c r="K122" s="381">
        <v>14.727999999999952</v>
      </c>
      <c r="L122" s="415">
        <f>IF(K$113=0,"N.D.",K122/K$113)</f>
        <v>2.1214198878793222E-2</v>
      </c>
      <c r="M122" s="381">
        <v>13.533999999999935</v>
      </c>
      <c r="N122" s="415">
        <f>IF(M$113=0,"N.D.",M122/M$113)</f>
        <v>1.9553310727737319E-2</v>
      </c>
      <c r="O122" s="381">
        <v>13.533999999999935</v>
      </c>
      <c r="P122" s="415">
        <f>IF(O$113=0,"N.D.",O122/O$113)</f>
        <v>1.9553310727737319E-2</v>
      </c>
      <c r="Q122" s="381"/>
      <c r="R122" s="415" t="str">
        <f>IF(Q$113=0,"N.D.",Q122/Q$113)</f>
        <v>N.D.</v>
      </c>
      <c r="S122" s="381"/>
      <c r="T122" s="415" t="str">
        <f>IF(S$113=0,"N.D.",S122/S$113)</f>
        <v>N.D.</v>
      </c>
      <c r="U122" s="381"/>
      <c r="V122" s="415" t="str">
        <f>IF(U$113=0,"N.D.",U122/U$113)</f>
        <v>N.D.</v>
      </c>
      <c r="W122" s="381"/>
      <c r="X122" s="415" t="str">
        <f>IF(W$113=0,"N.D.",W122/W$113)</f>
        <v>N.D.</v>
      </c>
      <c r="Y122" s="381"/>
      <c r="Z122" s="415" t="str">
        <f>IF(Y$113=0,"N.D.",Y122/Y$113)</f>
        <v>N.D.</v>
      </c>
      <c r="AA122" s="381">
        <f t="shared" si="53"/>
        <v>59.926999999999794</v>
      </c>
      <c r="AB122" s="178">
        <f>IF(AA$113=0,"N.D.",AA122/AA$113)</f>
        <v>1.2697154216172572E-2</v>
      </c>
    </row>
    <row r="123" spans="2:28" x14ac:dyDescent="0.25">
      <c r="C123" s="419"/>
      <c r="D123" s="416"/>
      <c r="E123" s="419"/>
      <c r="F123" s="416"/>
      <c r="G123" s="419"/>
      <c r="H123" s="416"/>
      <c r="I123" s="419"/>
      <c r="J123" s="416"/>
      <c r="K123" s="419"/>
      <c r="L123" s="416"/>
      <c r="M123" s="419"/>
      <c r="N123" s="416"/>
      <c r="O123" s="419"/>
      <c r="P123" s="416"/>
      <c r="Q123" s="419"/>
      <c r="R123" s="416"/>
      <c r="S123" s="419"/>
      <c r="T123" s="416"/>
      <c r="U123" s="419"/>
      <c r="V123" s="416"/>
      <c r="W123" s="419"/>
      <c r="X123" s="416"/>
      <c r="Y123" s="419"/>
      <c r="Z123" s="416"/>
      <c r="AA123" s="419"/>
      <c r="AB123" s="180"/>
    </row>
    <row r="124" spans="2:28" x14ac:dyDescent="0.25">
      <c r="B124" s="9"/>
      <c r="C124" s="418"/>
      <c r="D124" s="417"/>
      <c r="E124" s="418"/>
      <c r="F124" s="417"/>
      <c r="G124" s="418">
        <v>0</v>
      </c>
      <c r="H124" s="417"/>
      <c r="I124" s="418">
        <v>0</v>
      </c>
      <c r="J124" s="417"/>
      <c r="K124" s="418">
        <v>0</v>
      </c>
      <c r="L124" s="417"/>
      <c r="M124" s="418">
        <v>0</v>
      </c>
      <c r="N124" s="417"/>
      <c r="O124" s="418">
        <v>0</v>
      </c>
      <c r="P124" s="417"/>
      <c r="Q124" s="418"/>
      <c r="R124" s="417"/>
      <c r="S124" s="418"/>
      <c r="T124" s="417"/>
      <c r="U124" s="418"/>
      <c r="V124" s="417"/>
      <c r="W124" s="418"/>
      <c r="X124" s="417"/>
      <c r="Y124" s="418"/>
      <c r="Z124" s="417"/>
      <c r="AA124" s="418"/>
      <c r="AB124" s="182"/>
    </row>
    <row r="125" spans="2:28" x14ac:dyDescent="0.25">
      <c r="B125" s="9" t="s">
        <v>52</v>
      </c>
      <c r="C125" s="314">
        <f>+BDPP!D110/1000</f>
        <v>-1.5149999999999999</v>
      </c>
      <c r="D125" s="414">
        <f t="shared" ref="D125:D130" si="54">IF(C$113=0,"N.D.",C125/C$113)</f>
        <v>-2.3398984345075553E-3</v>
      </c>
      <c r="E125" s="314">
        <v>-1.5149999999999999</v>
      </c>
      <c r="F125" s="414">
        <f t="shared" ref="F125:F130" si="55">IF(E$113=0,"N.D.",E125/E$113)</f>
        <v>-2.4859988218170598E-3</v>
      </c>
      <c r="G125" s="314">
        <v>-1.5149999999999999</v>
      </c>
      <c r="H125" s="414">
        <f t="shared" ref="H125:H130" si="56">IF(G$113=0,"N.D.",G125/G$113)</f>
        <v>-2.0936894954830202E-3</v>
      </c>
      <c r="I125" s="314">
        <v>-1.5149999999999999</v>
      </c>
      <c r="J125" s="414">
        <f t="shared" ref="J125:J130" si="57">IF(I$113=0,"N.D.",I125/I$113)</f>
        <v>-2.2931301453526652E-3</v>
      </c>
      <c r="K125" s="314">
        <v>-1.5149999999999999</v>
      </c>
      <c r="L125" s="414">
        <f t="shared" ref="L125:L130" si="58">IF(K$113=0,"N.D.",K125/K$113)</f>
        <v>-2.1822047325754912E-3</v>
      </c>
      <c r="M125" s="314">
        <v>-1.5149999999999999</v>
      </c>
      <c r="N125" s="414">
        <f t="shared" ref="N125:N130" si="59">IF(M$113=0,"N.D.",M125/M$113)</f>
        <v>-2.1888034396720982E-3</v>
      </c>
      <c r="O125" s="314">
        <v>-31.515000000000001</v>
      </c>
      <c r="P125" s="414">
        <f t="shared" ref="P125:P130" si="60">IF(O$113=0,"N.D.",O125/O$113)</f>
        <v>-4.5531445809416621E-2</v>
      </c>
      <c r="Q125" s="314"/>
      <c r="R125" s="414" t="str">
        <f t="shared" ref="R125:R130" si="61">IF(Q$113=0,"N.D.",Q125/Q$113)</f>
        <v>N.D.</v>
      </c>
      <c r="S125" s="314"/>
      <c r="T125" s="414" t="str">
        <f t="shared" ref="T125:T130" si="62">IF(S$113=0,"N.D.",S125/S$113)</f>
        <v>N.D.</v>
      </c>
      <c r="U125" s="314"/>
      <c r="V125" s="414" t="str">
        <f t="shared" ref="V125:V130" si="63">IF(U$113=0,"N.D.",U125/U$113)</f>
        <v>N.D.</v>
      </c>
      <c r="W125" s="314"/>
      <c r="X125" s="414" t="str">
        <f t="shared" ref="X125:X130" si="64">IF(W$113=0,"N.D.",W125/W$113)</f>
        <v>N.D.</v>
      </c>
      <c r="Y125" s="314"/>
      <c r="Z125" s="414" t="str">
        <f t="shared" ref="Z125:Z130" si="65">IF(Y$113=0,"N.D.",Y125/Y$113)</f>
        <v>N.D.</v>
      </c>
      <c r="AA125" s="314">
        <f t="shared" si="53"/>
        <v>-40.605000000000004</v>
      </c>
      <c r="AB125" s="176">
        <f t="shared" ref="AB125:AB130" si="66">IF(AA$113=0,"N.D.",AA125/AA$113)</f>
        <v>-8.6032664232764712E-3</v>
      </c>
    </row>
    <row r="126" spans="2:28" x14ac:dyDescent="0.25">
      <c r="B126" s="9" t="s">
        <v>46</v>
      </c>
      <c r="C126" s="314">
        <f>+BDPP!D111/1000</f>
        <v>20.193000000000001</v>
      </c>
      <c r="D126" s="414">
        <f t="shared" si="54"/>
        <v>3.1187834381525458E-2</v>
      </c>
      <c r="E126" s="314">
        <v>20.119</v>
      </c>
      <c r="F126" s="414">
        <f t="shared" si="55"/>
        <v>3.3013736169067609E-2</v>
      </c>
      <c r="G126" s="314">
        <v>20.045000000000002</v>
      </c>
      <c r="H126" s="414">
        <f t="shared" si="56"/>
        <v>2.7701654083800098E-2</v>
      </c>
      <c r="I126" s="314">
        <v>19.97</v>
      </c>
      <c r="J126" s="414">
        <f t="shared" si="57"/>
        <v>3.0226936635440741E-2</v>
      </c>
      <c r="K126" s="314">
        <v>19.895</v>
      </c>
      <c r="L126" s="414">
        <f t="shared" si="58"/>
        <v>2.8656741356164622E-2</v>
      </c>
      <c r="M126" s="314">
        <v>19.818999999999999</v>
      </c>
      <c r="N126" s="414">
        <f t="shared" si="59"/>
        <v>2.863359430419889E-2</v>
      </c>
      <c r="O126" s="314">
        <v>16.818999999999999</v>
      </c>
      <c r="P126" s="414">
        <f t="shared" si="60"/>
        <v>2.4299330067224439E-2</v>
      </c>
      <c r="Q126" s="314"/>
      <c r="R126" s="414" t="str">
        <f t="shared" si="61"/>
        <v>N.D.</v>
      </c>
      <c r="S126" s="314"/>
      <c r="T126" s="414" t="str">
        <f t="shared" si="62"/>
        <v>N.D.</v>
      </c>
      <c r="U126" s="314"/>
      <c r="V126" s="414" t="str">
        <f t="shared" si="63"/>
        <v>N.D.</v>
      </c>
      <c r="W126" s="314"/>
      <c r="X126" s="414" t="str">
        <f t="shared" si="64"/>
        <v>N.D.</v>
      </c>
      <c r="Y126" s="314"/>
      <c r="Z126" s="414" t="str">
        <f t="shared" si="65"/>
        <v>N.D.</v>
      </c>
      <c r="AA126" s="314">
        <f t="shared" si="53"/>
        <v>136.86000000000001</v>
      </c>
      <c r="AB126" s="176">
        <f t="shared" si="66"/>
        <v>2.8997489045428343E-2</v>
      </c>
    </row>
    <row r="127" spans="2:28" x14ac:dyDescent="0.25">
      <c r="B127" s="9" t="s">
        <v>47</v>
      </c>
      <c r="C127" s="314">
        <v>0</v>
      </c>
      <c r="D127" s="414">
        <f t="shared" si="54"/>
        <v>0</v>
      </c>
      <c r="E127" s="314">
        <v>0</v>
      </c>
      <c r="F127" s="414">
        <f t="shared" si="55"/>
        <v>0</v>
      </c>
      <c r="G127" s="314">
        <v>0</v>
      </c>
      <c r="H127" s="414">
        <f t="shared" si="56"/>
        <v>0</v>
      </c>
      <c r="I127" s="314">
        <v>0</v>
      </c>
      <c r="J127" s="414">
        <f t="shared" si="57"/>
        <v>0</v>
      </c>
      <c r="K127" s="314">
        <v>0</v>
      </c>
      <c r="L127" s="414">
        <f t="shared" si="58"/>
        <v>0</v>
      </c>
      <c r="M127" s="314">
        <v>0</v>
      </c>
      <c r="N127" s="414">
        <f t="shared" si="59"/>
        <v>0</v>
      </c>
      <c r="O127" s="314">
        <v>0</v>
      </c>
      <c r="P127" s="414">
        <f t="shared" si="60"/>
        <v>0</v>
      </c>
      <c r="Q127" s="314"/>
      <c r="R127" s="414" t="str">
        <f t="shared" si="61"/>
        <v>N.D.</v>
      </c>
      <c r="S127" s="314"/>
      <c r="T127" s="414" t="str">
        <f t="shared" si="62"/>
        <v>N.D.</v>
      </c>
      <c r="U127" s="314"/>
      <c r="V127" s="414" t="str">
        <f t="shared" si="63"/>
        <v>N.D.</v>
      </c>
      <c r="W127" s="314"/>
      <c r="X127" s="414" t="str">
        <f t="shared" si="64"/>
        <v>N.D.</v>
      </c>
      <c r="Y127" s="314"/>
      <c r="Z127" s="414" t="str">
        <f t="shared" si="65"/>
        <v>N.D.</v>
      </c>
      <c r="AA127" s="314">
        <f t="shared" si="53"/>
        <v>0</v>
      </c>
      <c r="AB127" s="176">
        <f t="shared" si="66"/>
        <v>0</v>
      </c>
    </row>
    <row r="128" spans="2:28" x14ac:dyDescent="0.25">
      <c r="C128" s="314"/>
      <c r="D128" s="414">
        <f t="shared" si="54"/>
        <v>0</v>
      </c>
      <c r="E128" s="314"/>
      <c r="F128" s="414">
        <f t="shared" si="55"/>
        <v>0</v>
      </c>
      <c r="G128" s="314"/>
      <c r="H128" s="414">
        <f t="shared" si="56"/>
        <v>0</v>
      </c>
      <c r="I128" s="314"/>
      <c r="J128" s="414">
        <f t="shared" si="57"/>
        <v>0</v>
      </c>
      <c r="K128" s="314"/>
      <c r="L128" s="414">
        <f t="shared" si="58"/>
        <v>0</v>
      </c>
      <c r="M128" s="314"/>
      <c r="N128" s="414">
        <f t="shared" si="59"/>
        <v>0</v>
      </c>
      <c r="O128" s="314"/>
      <c r="P128" s="414">
        <f t="shared" si="60"/>
        <v>0</v>
      </c>
      <c r="Q128" s="314"/>
      <c r="R128" s="414" t="str">
        <f t="shared" si="61"/>
        <v>N.D.</v>
      </c>
      <c r="S128" s="314"/>
      <c r="T128" s="414" t="str">
        <f t="shared" si="62"/>
        <v>N.D.</v>
      </c>
      <c r="U128" s="314"/>
      <c r="V128" s="414" t="str">
        <f t="shared" si="63"/>
        <v>N.D.</v>
      </c>
      <c r="W128" s="314"/>
      <c r="X128" s="414" t="str">
        <f t="shared" si="64"/>
        <v>N.D.</v>
      </c>
      <c r="Y128" s="314"/>
      <c r="Z128" s="414" t="str">
        <f t="shared" si="65"/>
        <v>N.D.</v>
      </c>
      <c r="AA128" s="314">
        <f t="shared" si="53"/>
        <v>0</v>
      </c>
      <c r="AB128" s="176">
        <f t="shared" si="66"/>
        <v>0</v>
      </c>
    </row>
    <row r="129" spans="2:28" ht="13" x14ac:dyDescent="0.3">
      <c r="B129" s="9" t="s">
        <v>48</v>
      </c>
      <c r="C129" s="381">
        <f>+BDPP!D114/1000</f>
        <v>18.678000000000001</v>
      </c>
      <c r="D129" s="415">
        <f t="shared" si="54"/>
        <v>2.8847935947017903E-2</v>
      </c>
      <c r="E129" s="381">
        <v>18.603999999999999</v>
      </c>
      <c r="F129" s="415">
        <f t="shared" si="55"/>
        <v>3.052773734725055E-2</v>
      </c>
      <c r="G129" s="381">
        <v>18.53</v>
      </c>
      <c r="H129" s="415">
        <f t="shared" si="56"/>
        <v>2.5607964588317076E-2</v>
      </c>
      <c r="I129" s="381">
        <v>18.454999999999998</v>
      </c>
      <c r="J129" s="415">
        <f t="shared" si="57"/>
        <v>2.7933806490088076E-2</v>
      </c>
      <c r="K129" s="381">
        <v>18.38</v>
      </c>
      <c r="L129" s="415">
        <f t="shared" si="58"/>
        <v>2.6474536623589128E-2</v>
      </c>
      <c r="M129" s="381">
        <v>18.303999999999998</v>
      </c>
      <c r="N129" s="415">
        <f t="shared" si="59"/>
        <v>2.644479086452679E-2</v>
      </c>
      <c r="O129" s="381">
        <v>-14.696000000000002</v>
      </c>
      <c r="P129" s="415">
        <f t="shared" si="60"/>
        <v>-2.1232115742192186E-2</v>
      </c>
      <c r="Q129" s="381"/>
      <c r="R129" s="415" t="str">
        <f t="shared" si="61"/>
        <v>N.D.</v>
      </c>
      <c r="S129" s="381"/>
      <c r="T129" s="415" t="str">
        <f t="shared" si="62"/>
        <v>N.D.</v>
      </c>
      <c r="U129" s="381"/>
      <c r="V129" s="415" t="str">
        <f t="shared" si="63"/>
        <v>N.D.</v>
      </c>
      <c r="W129" s="381"/>
      <c r="X129" s="415" t="str">
        <f t="shared" si="64"/>
        <v>N.D.</v>
      </c>
      <c r="Y129" s="381"/>
      <c r="Z129" s="415" t="str">
        <f t="shared" si="65"/>
        <v>N.D.</v>
      </c>
      <c r="AA129" s="381">
        <f t="shared" si="53"/>
        <v>96.254999999999995</v>
      </c>
      <c r="AB129" s="178">
        <f t="shared" si="66"/>
        <v>2.0394222622151868E-2</v>
      </c>
    </row>
    <row r="130" spans="2:28" ht="13" x14ac:dyDescent="0.3">
      <c r="B130" s="9" t="s">
        <v>49</v>
      </c>
      <c r="C130" s="381">
        <f>+BDPP!D115/1000</f>
        <v>-20.478999999999999</v>
      </c>
      <c r="D130" s="415">
        <f t="shared" si="54"/>
        <v>-3.1629557782363184E-2</v>
      </c>
      <c r="E130" s="381">
        <v>-33.68499999999996</v>
      </c>
      <c r="F130" s="415">
        <f t="shared" si="55"/>
        <v>-5.5274501856704662E-2</v>
      </c>
      <c r="G130" s="381">
        <v>11.912999999999926</v>
      </c>
      <c r="H130" s="415">
        <f t="shared" si="56"/>
        <v>1.6463447498144598E-2</v>
      </c>
      <c r="I130" s="381">
        <v>-13.885000000000062</v>
      </c>
      <c r="J130" s="415">
        <f t="shared" si="57"/>
        <v>-2.1016575622588712E-2</v>
      </c>
      <c r="K130" s="381">
        <v>-3.6520000000000472</v>
      </c>
      <c r="L130" s="415">
        <f t="shared" si="58"/>
        <v>-5.2603377447959059E-3</v>
      </c>
      <c r="M130" s="381">
        <v>-4.7700000000000635</v>
      </c>
      <c r="N130" s="415">
        <f t="shared" si="59"/>
        <v>-6.8914801367894714E-3</v>
      </c>
      <c r="O130" s="381">
        <v>28.229999999999936</v>
      </c>
      <c r="P130" s="415">
        <f t="shared" si="60"/>
        <v>4.0785426469929505E-2</v>
      </c>
      <c r="Q130" s="381"/>
      <c r="R130" s="415" t="str">
        <f t="shared" si="61"/>
        <v>N.D.</v>
      </c>
      <c r="S130" s="381"/>
      <c r="T130" s="415" t="str">
        <f t="shared" si="62"/>
        <v>N.D.</v>
      </c>
      <c r="U130" s="381"/>
      <c r="V130" s="415" t="str">
        <f t="shared" si="63"/>
        <v>N.D.</v>
      </c>
      <c r="W130" s="381"/>
      <c r="X130" s="415" t="str">
        <f t="shared" si="64"/>
        <v>N.D.</v>
      </c>
      <c r="Y130" s="381"/>
      <c r="Z130" s="415" t="str">
        <f t="shared" si="65"/>
        <v>N.D.</v>
      </c>
      <c r="AA130" s="381">
        <f t="shared" si="53"/>
        <v>-36.328000000000273</v>
      </c>
      <c r="AB130" s="178">
        <f t="shared" si="66"/>
        <v>-7.6970684059793123E-3</v>
      </c>
    </row>
    <row r="131" spans="2:28" x14ac:dyDescent="0.25">
      <c r="C131" s="419"/>
      <c r="D131" s="416"/>
      <c r="E131" s="419"/>
      <c r="F131" s="416"/>
      <c r="G131" s="419"/>
      <c r="H131" s="416"/>
      <c r="I131" s="419"/>
      <c r="J131" s="416"/>
      <c r="K131" s="419"/>
      <c r="L131" s="416"/>
      <c r="M131" s="419"/>
      <c r="N131" s="416"/>
      <c r="O131" s="419"/>
      <c r="P131" s="416"/>
      <c r="Q131" s="419"/>
      <c r="R131" s="416"/>
      <c r="S131" s="419"/>
      <c r="T131" s="416"/>
      <c r="U131" s="419"/>
      <c r="V131" s="416"/>
      <c r="W131" s="419"/>
      <c r="X131" s="416"/>
      <c r="Y131" s="419"/>
      <c r="Z131" s="416"/>
      <c r="AA131" s="419"/>
      <c r="AB131" s="180"/>
    </row>
    <row r="132" spans="2:28" x14ac:dyDescent="0.25">
      <c r="B132" s="9" t="s">
        <v>50</v>
      </c>
      <c r="C132" s="418">
        <v>0</v>
      </c>
      <c r="D132" s="417">
        <f t="shared" ref="D132:D141" si="67">IF(C$113=0,"N.D.",C132/C$113)</f>
        <v>0</v>
      </c>
      <c r="E132" s="418">
        <v>0</v>
      </c>
      <c r="F132" s="417">
        <f t="shared" ref="F132:F139" si="68">IF(E$113=0,"N.D.",E132/E$113)</f>
        <v>0</v>
      </c>
      <c r="G132" s="418">
        <v>0</v>
      </c>
      <c r="H132" s="417">
        <f t="shared" ref="H132:H139" si="69">IF(G$113=0,"N.D.",G132/G$113)</f>
        <v>0</v>
      </c>
      <c r="I132" s="418">
        <v>0</v>
      </c>
      <c r="J132" s="417">
        <f t="shared" ref="J132:J139" si="70">IF(I$113=0,"N.D.",I132/I$113)</f>
        <v>0</v>
      </c>
      <c r="K132" s="418">
        <v>0</v>
      </c>
      <c r="L132" s="417">
        <f t="shared" ref="L132:L139" si="71">IF(K$113=0,"N.D.",K132/K$113)</f>
        <v>0</v>
      </c>
      <c r="M132" s="418">
        <v>0</v>
      </c>
      <c r="N132" s="417">
        <f t="shared" ref="N132:N139" si="72">IF(M$113=0,"N.D.",M132/M$113)</f>
        <v>0</v>
      </c>
      <c r="O132" s="418">
        <v>0</v>
      </c>
      <c r="P132" s="417">
        <f t="shared" ref="P132:P139" si="73">IF(O$113=0,"N.D.",O132/O$113)</f>
        <v>0</v>
      </c>
      <c r="Q132" s="418"/>
      <c r="R132" s="417" t="str">
        <f t="shared" ref="R132:R139" si="74">IF(Q$113=0,"N.D.",Q132/Q$113)</f>
        <v>N.D.</v>
      </c>
      <c r="S132" s="418"/>
      <c r="T132" s="417" t="str">
        <f t="shared" ref="T132:T139" si="75">IF(S$113=0,"N.D.",S132/S$113)</f>
        <v>N.D.</v>
      </c>
      <c r="U132" s="418"/>
      <c r="V132" s="417" t="str">
        <f t="shared" ref="V132:V139" si="76">IF(U$113=0,"N.D.",U132/U$113)</f>
        <v>N.D.</v>
      </c>
      <c r="W132" s="418"/>
      <c r="X132" s="417" t="str">
        <f t="shared" ref="X132:X139" si="77">IF(W$113=0,"N.D.",W132/W$113)</f>
        <v>N.D.</v>
      </c>
      <c r="Y132" s="418"/>
      <c r="Z132" s="417" t="str">
        <f t="shared" ref="Z132:Z139" si="78">IF(Y$113=0,"N.D.",Y132/Y$113)</f>
        <v>N.D.</v>
      </c>
      <c r="AA132" s="418">
        <f t="shared" si="53"/>
        <v>0</v>
      </c>
      <c r="AB132" s="182">
        <f t="shared" ref="AB132:AB139" si="79">IF(AA$113=0,"N.D.",AA132/AA$113)</f>
        <v>0</v>
      </c>
    </row>
    <row r="133" spans="2:28" x14ac:dyDescent="0.25">
      <c r="B133" s="9" t="s">
        <v>51</v>
      </c>
      <c r="C133" s="314">
        <v>0</v>
      </c>
      <c r="D133" s="414">
        <f t="shared" si="67"/>
        <v>0</v>
      </c>
      <c r="E133" s="314">
        <v>0</v>
      </c>
      <c r="F133" s="414">
        <f t="shared" si="68"/>
        <v>0</v>
      </c>
      <c r="G133" s="314">
        <v>0</v>
      </c>
      <c r="H133" s="414">
        <f t="shared" si="69"/>
        <v>0</v>
      </c>
      <c r="I133" s="314">
        <v>0</v>
      </c>
      <c r="J133" s="414">
        <f t="shared" si="70"/>
        <v>0</v>
      </c>
      <c r="K133" s="314">
        <v>0</v>
      </c>
      <c r="L133" s="414">
        <f t="shared" si="71"/>
        <v>0</v>
      </c>
      <c r="M133" s="314">
        <v>0</v>
      </c>
      <c r="N133" s="414">
        <f t="shared" si="72"/>
        <v>0</v>
      </c>
      <c r="O133" s="314">
        <v>0</v>
      </c>
      <c r="P133" s="414">
        <f t="shared" si="73"/>
        <v>0</v>
      </c>
      <c r="Q133" s="314"/>
      <c r="R133" s="414" t="str">
        <f t="shared" si="74"/>
        <v>N.D.</v>
      </c>
      <c r="S133" s="314"/>
      <c r="T133" s="414" t="str">
        <f t="shared" si="75"/>
        <v>N.D.</v>
      </c>
      <c r="U133" s="314"/>
      <c r="V133" s="414" t="str">
        <f t="shared" si="76"/>
        <v>N.D.</v>
      </c>
      <c r="W133" s="314"/>
      <c r="X133" s="414" t="str">
        <f t="shared" si="77"/>
        <v>N.D.</v>
      </c>
      <c r="Y133" s="314"/>
      <c r="Z133" s="414" t="str">
        <f t="shared" si="78"/>
        <v>N.D.</v>
      </c>
      <c r="AA133" s="314">
        <f t="shared" si="53"/>
        <v>0</v>
      </c>
      <c r="AB133" s="176">
        <f t="shared" si="79"/>
        <v>0</v>
      </c>
    </row>
    <row r="134" spans="2:28" ht="13" x14ac:dyDescent="0.3">
      <c r="B134" s="1" t="s">
        <v>53</v>
      </c>
      <c r="C134" s="381">
        <f>+C122+C120</f>
        <v>1.0370000000000692</v>
      </c>
      <c r="D134" s="415">
        <f t="shared" si="67"/>
        <v>1.6016334498907571E-3</v>
      </c>
      <c r="E134" s="381">
        <v>-33.68499999999996</v>
      </c>
      <c r="F134" s="415">
        <f t="shared" si="68"/>
        <v>-5.5274501856704662E-2</v>
      </c>
      <c r="G134" s="381">
        <v>11.912999999999926</v>
      </c>
      <c r="H134" s="415">
        <f t="shared" si="69"/>
        <v>1.6463447498144598E-2</v>
      </c>
      <c r="I134" s="381">
        <v>-13.885000000000062</v>
      </c>
      <c r="J134" s="415">
        <f t="shared" si="70"/>
        <v>-2.1016575622588712E-2</v>
      </c>
      <c r="K134" s="381">
        <v>-3.6520000000000472</v>
      </c>
      <c r="L134" s="415">
        <f t="shared" si="71"/>
        <v>-5.2603377447959059E-3</v>
      </c>
      <c r="M134" s="381">
        <v>-4.7700000000000635</v>
      </c>
      <c r="N134" s="415">
        <f t="shared" si="72"/>
        <v>-6.8914801367894714E-3</v>
      </c>
      <c r="O134" s="381">
        <v>28.229999999999936</v>
      </c>
      <c r="P134" s="415">
        <f t="shared" si="73"/>
        <v>4.0785426469929505E-2</v>
      </c>
      <c r="Q134" s="381"/>
      <c r="R134" s="415" t="str">
        <f t="shared" si="74"/>
        <v>N.D.</v>
      </c>
      <c r="S134" s="381"/>
      <c r="T134" s="415" t="str">
        <f t="shared" si="75"/>
        <v>N.D.</v>
      </c>
      <c r="U134" s="381"/>
      <c r="V134" s="415" t="str">
        <f t="shared" si="76"/>
        <v>N.D.</v>
      </c>
      <c r="W134" s="381"/>
      <c r="X134" s="415" t="str">
        <f t="shared" si="77"/>
        <v>N.D.</v>
      </c>
      <c r="Y134" s="381"/>
      <c r="Z134" s="415" t="str">
        <f t="shared" si="78"/>
        <v>N.D.</v>
      </c>
      <c r="AA134" s="381">
        <f t="shared" si="53"/>
        <v>-14.8120000000002</v>
      </c>
      <c r="AB134" s="178">
        <f t="shared" si="79"/>
        <v>-3.1383224297887652E-3</v>
      </c>
    </row>
    <row r="135" spans="2:28" ht="13" x14ac:dyDescent="0.3">
      <c r="B135" s="1" t="s">
        <v>3</v>
      </c>
      <c r="C135" s="381">
        <f>+C134+C120</f>
        <v>3.8750000000000693</v>
      </c>
      <c r="D135" s="415">
        <f t="shared" si="67"/>
        <v>5.9848887351266929E-3</v>
      </c>
      <c r="E135" s="381">
        <v>-12.242999999999959</v>
      </c>
      <c r="F135" s="415">
        <f t="shared" si="68"/>
        <v>-2.0089824142248292E-2</v>
      </c>
      <c r="G135" s="381">
        <v>33.280999999999928</v>
      </c>
      <c r="H135" s="415">
        <f t="shared" si="69"/>
        <v>4.5993452210673434E-2</v>
      </c>
      <c r="I135" s="381">
        <v>7.4079999999999364</v>
      </c>
      <c r="J135" s="415">
        <f t="shared" si="70"/>
        <v>1.1212876644734257E-2</v>
      </c>
      <c r="K135" s="381">
        <v>17.565999999999953</v>
      </c>
      <c r="L135" s="415">
        <f t="shared" si="71"/>
        <v>2.5302051704568302E-2</v>
      </c>
      <c r="M135" s="381">
        <v>16.371999999999936</v>
      </c>
      <c r="N135" s="415">
        <f t="shared" si="72"/>
        <v>2.3653524695915154E-2</v>
      </c>
      <c r="O135" s="381">
        <v>16.371999999999936</v>
      </c>
      <c r="P135" s="415">
        <f t="shared" si="73"/>
        <v>2.3653524695915154E-2</v>
      </c>
      <c r="Q135" s="381"/>
      <c r="R135" s="415" t="str">
        <f t="shared" si="74"/>
        <v>N.D.</v>
      </c>
      <c r="S135" s="381"/>
      <c r="T135" s="415" t="str">
        <f t="shared" si="75"/>
        <v>N.D.</v>
      </c>
      <c r="U135" s="381"/>
      <c r="V135" s="415" t="str">
        <f t="shared" si="76"/>
        <v>N.D.</v>
      </c>
      <c r="W135" s="381"/>
      <c r="X135" s="415" t="str">
        <f t="shared" si="77"/>
        <v>N.D.</v>
      </c>
      <c r="Y135" s="381"/>
      <c r="Z135" s="415" t="str">
        <f t="shared" si="78"/>
        <v>N.D.</v>
      </c>
      <c r="AA135" s="381">
        <f t="shared" si="53"/>
        <v>82.630999999999787</v>
      </c>
      <c r="AB135" s="178">
        <f t="shared" si="79"/>
        <v>1.750761009288896E-2</v>
      </c>
    </row>
    <row r="136" spans="2:28" s="130" customFormat="1" ht="13" x14ac:dyDescent="0.3">
      <c r="B136" s="1" t="s">
        <v>194</v>
      </c>
      <c r="C136" s="373"/>
      <c r="D136" s="407">
        <f t="shared" si="67"/>
        <v>0</v>
      </c>
      <c r="E136" s="373"/>
      <c r="F136" s="407">
        <f t="shared" si="68"/>
        <v>0</v>
      </c>
      <c r="G136" s="373">
        <v>0</v>
      </c>
      <c r="H136" s="407">
        <f t="shared" si="69"/>
        <v>0</v>
      </c>
      <c r="I136" s="373">
        <v>0</v>
      </c>
      <c r="J136" s="407">
        <f t="shared" si="70"/>
        <v>0</v>
      </c>
      <c r="K136" s="373">
        <v>0</v>
      </c>
      <c r="L136" s="407">
        <f t="shared" si="71"/>
        <v>0</v>
      </c>
      <c r="M136" s="373">
        <v>0</v>
      </c>
      <c r="N136" s="407">
        <f t="shared" si="72"/>
        <v>0</v>
      </c>
      <c r="O136" s="373">
        <v>0</v>
      </c>
      <c r="P136" s="407">
        <f t="shared" si="73"/>
        <v>0</v>
      </c>
      <c r="Q136" s="373"/>
      <c r="R136" s="407" t="str">
        <f t="shared" si="74"/>
        <v>N.D.</v>
      </c>
      <c r="S136" s="373"/>
      <c r="T136" s="407" t="str">
        <f t="shared" si="75"/>
        <v>N.D.</v>
      </c>
      <c r="U136" s="373"/>
      <c r="V136" s="407" t="str">
        <f t="shared" si="76"/>
        <v>N.D.</v>
      </c>
      <c r="W136" s="373"/>
      <c r="X136" s="407" t="str">
        <f t="shared" si="77"/>
        <v>N.D.</v>
      </c>
      <c r="Y136" s="373"/>
      <c r="Z136" s="407" t="str">
        <f t="shared" si="78"/>
        <v>N.D.</v>
      </c>
      <c r="AA136" s="373"/>
      <c r="AB136" s="360">
        <f t="shared" si="79"/>
        <v>0</v>
      </c>
    </row>
    <row r="137" spans="2:28" s="130" customFormat="1" ht="13" x14ac:dyDescent="0.3">
      <c r="B137" s="1" t="s">
        <v>123</v>
      </c>
      <c r="C137" s="408"/>
      <c r="D137" s="409">
        <f t="shared" si="67"/>
        <v>0</v>
      </c>
      <c r="E137" s="408"/>
      <c r="F137" s="409">
        <f t="shared" si="68"/>
        <v>0</v>
      </c>
      <c r="G137" s="408"/>
      <c r="H137" s="409">
        <f t="shared" si="69"/>
        <v>0</v>
      </c>
      <c r="I137" s="408"/>
      <c r="J137" s="409">
        <f t="shared" si="70"/>
        <v>0</v>
      </c>
      <c r="K137" s="408"/>
      <c r="L137" s="409">
        <f t="shared" si="71"/>
        <v>0</v>
      </c>
      <c r="M137" s="408"/>
      <c r="N137" s="409">
        <f t="shared" si="72"/>
        <v>0</v>
      </c>
      <c r="O137" s="408"/>
      <c r="P137" s="409">
        <f t="shared" si="73"/>
        <v>0</v>
      </c>
      <c r="Q137" s="408"/>
      <c r="R137" s="409" t="str">
        <f t="shared" si="74"/>
        <v>N.D.</v>
      </c>
      <c r="S137" s="408"/>
      <c r="T137" s="409" t="str">
        <f t="shared" si="75"/>
        <v>N.D.</v>
      </c>
      <c r="U137" s="408"/>
      <c r="V137" s="409" t="str">
        <f t="shared" si="76"/>
        <v>N.D.</v>
      </c>
      <c r="W137" s="408"/>
      <c r="X137" s="409" t="str">
        <f t="shared" si="77"/>
        <v>N.D.</v>
      </c>
      <c r="Y137" s="408"/>
      <c r="Z137" s="409" t="str">
        <f t="shared" si="78"/>
        <v>N.D.</v>
      </c>
      <c r="AA137" s="408"/>
      <c r="AB137" s="361">
        <f t="shared" si="79"/>
        <v>0</v>
      </c>
    </row>
    <row r="138" spans="2:28" s="130" customFormat="1" ht="13" x14ac:dyDescent="0.3">
      <c r="B138" s="7" t="s">
        <v>190</v>
      </c>
      <c r="C138" s="410">
        <f>+C134+C136+C137+C120</f>
        <v>3.8750000000000693</v>
      </c>
      <c r="D138" s="409">
        <f t="shared" si="67"/>
        <v>5.9848887351266929E-3</v>
      </c>
      <c r="E138" s="410">
        <f>+E134+E136+E137+E120</f>
        <v>-30.846999999999959</v>
      </c>
      <c r="F138" s="409">
        <f t="shared" si="68"/>
        <v>-5.0617561489498843E-2</v>
      </c>
      <c r="G138" s="410">
        <v>14.750999999999927</v>
      </c>
      <c r="H138" s="409">
        <f t="shared" si="69"/>
        <v>2.0385487622356358E-2</v>
      </c>
      <c r="I138" s="410">
        <v>-11.047000000000061</v>
      </c>
      <c r="J138" s="409">
        <f t="shared" si="70"/>
        <v>-1.6720929845353817E-2</v>
      </c>
      <c r="K138" s="410">
        <v>-0.81400000000004713</v>
      </c>
      <c r="L138" s="409">
        <f t="shared" si="71"/>
        <v>-1.172484919020827E-3</v>
      </c>
      <c r="M138" s="410">
        <v>-1.9320000000000634</v>
      </c>
      <c r="N138" s="409">
        <f t="shared" si="72"/>
        <v>-2.7912661686116391E-3</v>
      </c>
      <c r="O138" s="410">
        <v>31.067999999999937</v>
      </c>
      <c r="P138" s="409">
        <f t="shared" si="73"/>
        <v>4.488564043810734E-2</v>
      </c>
      <c r="Q138" s="410"/>
      <c r="R138" s="409" t="str">
        <f t="shared" si="74"/>
        <v>N.D.</v>
      </c>
      <c r="S138" s="410"/>
      <c r="T138" s="409" t="str">
        <f t="shared" si="75"/>
        <v>N.D.</v>
      </c>
      <c r="U138" s="410"/>
      <c r="V138" s="409" t="str">
        <f t="shared" si="76"/>
        <v>N.D.</v>
      </c>
      <c r="W138" s="410"/>
      <c r="X138" s="409" t="str">
        <f t="shared" si="77"/>
        <v>N.D.</v>
      </c>
      <c r="Y138" s="410"/>
      <c r="Z138" s="409" t="str">
        <f t="shared" si="78"/>
        <v>N.D.</v>
      </c>
      <c r="AA138" s="410"/>
      <c r="AB138" s="361">
        <f t="shared" si="79"/>
        <v>0</v>
      </c>
    </row>
    <row r="139" spans="2:28" s="130" customFormat="1" ht="13" x14ac:dyDescent="0.3">
      <c r="B139" s="7" t="s">
        <v>191</v>
      </c>
      <c r="C139" s="516">
        <v>15.08464</v>
      </c>
      <c r="D139" s="411">
        <f t="shared" si="67"/>
        <v>2.3298036647597394E-2</v>
      </c>
      <c r="E139" s="516">
        <v>15.08464</v>
      </c>
      <c r="F139" s="411">
        <f t="shared" si="68"/>
        <v>2.4752737470319801E-2</v>
      </c>
      <c r="G139" s="516">
        <v>15.08464</v>
      </c>
      <c r="H139" s="411">
        <f t="shared" si="69"/>
        <v>2.0846569182272602E-2</v>
      </c>
      <c r="I139" s="516">
        <v>13.790389999999999</v>
      </c>
      <c r="J139" s="411">
        <f t="shared" si="70"/>
        <v>2.0873372293841543E-2</v>
      </c>
      <c r="K139" s="516">
        <v>13</v>
      </c>
      <c r="L139" s="411">
        <f t="shared" si="71"/>
        <v>1.8725189124410159E-2</v>
      </c>
      <c r="M139" s="516">
        <v>0</v>
      </c>
      <c r="N139" s="411">
        <f t="shared" si="72"/>
        <v>0</v>
      </c>
      <c r="O139" s="516">
        <v>0</v>
      </c>
      <c r="P139" s="411">
        <f t="shared" si="73"/>
        <v>0</v>
      </c>
      <c r="Q139" s="516"/>
      <c r="R139" s="411" t="str">
        <f t="shared" si="74"/>
        <v>N.D.</v>
      </c>
      <c r="S139" s="516"/>
      <c r="T139" s="411" t="str">
        <f t="shared" si="75"/>
        <v>N.D.</v>
      </c>
      <c r="U139" s="516"/>
      <c r="V139" s="411" t="str">
        <f t="shared" si="76"/>
        <v>N.D.</v>
      </c>
      <c r="W139" s="516"/>
      <c r="X139" s="411" t="str">
        <f t="shared" si="77"/>
        <v>N.D.</v>
      </c>
      <c r="Y139" s="516"/>
      <c r="Z139" s="411" t="str">
        <f t="shared" si="78"/>
        <v>N.D.</v>
      </c>
      <c r="AA139" s="381"/>
      <c r="AB139" s="151">
        <f t="shared" si="79"/>
        <v>0</v>
      </c>
    </row>
    <row r="140" spans="2:28" s="130" customFormat="1" ht="13" x14ac:dyDescent="0.3">
      <c r="B140" s="7" t="s">
        <v>84</v>
      </c>
      <c r="C140" s="381">
        <f>+C138-C139</f>
        <v>-11.209639999999931</v>
      </c>
      <c r="D140" s="411">
        <f t="shared" si="67"/>
        <v>-1.7313147912470701E-2</v>
      </c>
      <c r="E140" s="381">
        <f>+E138-E139</f>
        <v>-45.931639999999959</v>
      </c>
      <c r="F140" s="411">
        <f>IF(E$113=0,"N.D.",E140/E$113)</f>
        <v>-7.5370298959818643E-2</v>
      </c>
      <c r="G140" s="381">
        <v>-0.33364000000007366</v>
      </c>
      <c r="H140" s="411">
        <f>IF(G$113=0,"N.D.",G140/G$113)</f>
        <v>-4.610815599162437E-4</v>
      </c>
      <c r="I140" s="381">
        <v>-24.83739000000006</v>
      </c>
      <c r="J140" s="411">
        <f>IF(I$113=0,"N.D.",I140/I$113)</f>
        <v>-3.759430213919536E-2</v>
      </c>
      <c r="K140" s="381">
        <v>-13.814000000000046</v>
      </c>
      <c r="L140" s="411">
        <f>IF(K$113=0,"N.D.",K140/K$113)</f>
        <v>-1.9897674043430985E-2</v>
      </c>
      <c r="M140" s="381">
        <v>-1.9320000000000634</v>
      </c>
      <c r="N140" s="411">
        <f>IF(M$113=0,"N.D.",M140/M$113)</f>
        <v>-2.7912661686116391E-3</v>
      </c>
      <c r="O140" s="381">
        <v>31.067999999999937</v>
      </c>
      <c r="P140" s="411">
        <f>IF(O$113=0,"N.D.",O140/O$113)</f>
        <v>4.488564043810734E-2</v>
      </c>
      <c r="Q140" s="381"/>
      <c r="R140" s="411" t="str">
        <f>IF(Q$113=0,"N.D.",Q140/Q$113)</f>
        <v>N.D.</v>
      </c>
      <c r="S140" s="381"/>
      <c r="T140" s="411" t="str">
        <f>IF(S$113=0,"N.D.",S140/S$113)</f>
        <v>N.D.</v>
      </c>
      <c r="U140" s="381"/>
      <c r="V140" s="411" t="str">
        <f>IF(U$113=0,"N.D.",U140/U$113)</f>
        <v>N.D.</v>
      </c>
      <c r="W140" s="381"/>
      <c r="X140" s="411" t="str">
        <f>IF(W$113=0,"N.D.",W140/W$113)</f>
        <v>N.D.</v>
      </c>
      <c r="Y140" s="381"/>
      <c r="Z140" s="411" t="str">
        <f>IF(Y$113=0,"N.D.",Y140/Y$113)</f>
        <v>N.D.</v>
      </c>
      <c r="AA140" s="381"/>
      <c r="AB140" s="151">
        <f>IF(AA$113=0,"N.D.",AA140/AA$113)</f>
        <v>0</v>
      </c>
    </row>
    <row r="141" spans="2:28" s="130" customFormat="1" ht="13" x14ac:dyDescent="0.3">
      <c r="B141" s="1" t="s">
        <v>193</v>
      </c>
      <c r="C141" s="412"/>
      <c r="D141" s="411">
        <f t="shared" si="67"/>
        <v>0</v>
      </c>
      <c r="E141" s="412"/>
      <c r="F141" s="411">
        <f>IF(E$113=0,"N.D.",E141/E$113)</f>
        <v>0</v>
      </c>
      <c r="G141" s="412">
        <v>0.9778821370612707</v>
      </c>
      <c r="H141" s="411">
        <f>IF(G$113=0,"N.D.",G141/G$113)</f>
        <v>1.351406969099452E-3</v>
      </c>
      <c r="I141" s="412">
        <v>-0.8010650895297422</v>
      </c>
      <c r="J141" s="411">
        <f>IF(I$113=0,"N.D.",I141/I$113)</f>
        <v>-1.2125059440199891E-3</v>
      </c>
      <c r="K141" s="412">
        <v>-6.2615384615388237E-2</v>
      </c>
      <c r="L141" s="411">
        <f>IF(K$113=0,"N.D.",K141/K$113)</f>
        <v>-9.0191147616986686E-5</v>
      </c>
      <c r="M141" s="412" t="s">
        <v>451</v>
      </c>
      <c r="N141" s="411" t="e">
        <f>IF(M$113=0,"N.D.",M141/M$113)</f>
        <v>#VALUE!</v>
      </c>
      <c r="O141" s="412" t="s">
        <v>451</v>
      </c>
      <c r="P141" s="411" t="e">
        <f>IF(O$113=0,"N.D.",O141/O$113)</f>
        <v>#VALUE!</v>
      </c>
      <c r="Q141" s="412"/>
      <c r="R141" s="411" t="str">
        <f>IF(Q$113=0,"N.D.",Q141/Q$113)</f>
        <v>N.D.</v>
      </c>
      <c r="S141" s="412"/>
      <c r="T141" s="411" t="str">
        <f>IF(S$113=0,"N.D.",S141/S$113)</f>
        <v>N.D.</v>
      </c>
      <c r="U141" s="412"/>
      <c r="V141" s="411" t="str">
        <f>IF(U$113=0,"N.D.",U141/U$113)</f>
        <v>N.D.</v>
      </c>
      <c r="W141" s="412"/>
      <c r="X141" s="411" t="str">
        <f>IF(W$113=0,"N.D.",W141/W$113)</f>
        <v>N.D.</v>
      </c>
      <c r="Y141" s="412"/>
      <c r="Z141" s="411" t="str">
        <f>IF(Y$113=0,"N.D.",Y141/Y$113)</f>
        <v>N.D.</v>
      </c>
      <c r="AA141" s="412"/>
      <c r="AB141" s="151">
        <f>IF(AA$113=0,"N.D.",AA141/AA$113)</f>
        <v>0</v>
      </c>
    </row>
    <row r="142" spans="2:28" ht="13" x14ac:dyDescent="0.3">
      <c r="C142" s="394"/>
      <c r="D142" s="430"/>
      <c r="E142" s="394"/>
      <c r="F142" s="430"/>
      <c r="G142" s="394"/>
      <c r="H142" s="430"/>
      <c r="I142" s="394"/>
      <c r="J142" s="430"/>
      <c r="K142" s="394"/>
      <c r="L142" s="430"/>
      <c r="M142" s="394"/>
      <c r="N142" s="430"/>
      <c r="O142" s="394"/>
      <c r="P142" s="430"/>
      <c r="Q142" s="394"/>
      <c r="R142" s="430"/>
      <c r="S142" s="394"/>
      <c r="T142" s="430"/>
      <c r="U142" s="394"/>
      <c r="V142" s="430"/>
      <c r="W142" s="394"/>
      <c r="X142" s="430"/>
      <c r="Y142" s="394"/>
      <c r="Z142" s="430"/>
      <c r="AA142" s="394"/>
      <c r="AB142" s="135"/>
    </row>
    <row r="143" spans="2:28" ht="13" x14ac:dyDescent="0.3">
      <c r="C143" s="394"/>
      <c r="D143" s="430"/>
      <c r="E143" s="394"/>
      <c r="F143" s="430"/>
      <c r="G143" s="394"/>
      <c r="H143" s="430"/>
      <c r="I143" s="394"/>
      <c r="J143" s="430"/>
      <c r="K143" s="394"/>
      <c r="L143" s="430"/>
      <c r="M143" s="394"/>
      <c r="N143" s="430"/>
      <c r="O143" s="394"/>
      <c r="P143" s="430"/>
      <c r="Q143" s="394"/>
      <c r="R143" s="430"/>
      <c r="S143" s="394"/>
      <c r="T143" s="430"/>
      <c r="U143" s="394"/>
      <c r="V143" s="430"/>
      <c r="W143" s="394"/>
      <c r="X143" s="430"/>
      <c r="Y143" s="394"/>
      <c r="Z143" s="430"/>
      <c r="AA143" s="394"/>
      <c r="AB143" s="135"/>
    </row>
    <row r="144" spans="2:28" ht="13" x14ac:dyDescent="0.3">
      <c r="B144" s="250" t="s">
        <v>329</v>
      </c>
      <c r="C144" s="396" t="s">
        <v>418</v>
      </c>
      <c r="D144" s="397"/>
      <c r="E144" s="396" t="s">
        <v>419</v>
      </c>
      <c r="F144" s="397"/>
      <c r="G144" s="396" t="s">
        <v>417</v>
      </c>
      <c r="H144" s="397"/>
      <c r="I144" s="396" t="s">
        <v>420</v>
      </c>
      <c r="J144" s="397"/>
      <c r="K144" s="396" t="s">
        <v>421</v>
      </c>
      <c r="L144" s="397"/>
      <c r="M144" s="396" t="s">
        <v>422</v>
      </c>
      <c r="N144" s="397"/>
      <c r="O144" s="396" t="s">
        <v>423</v>
      </c>
      <c r="P144" s="397"/>
      <c r="Q144" s="396" t="s">
        <v>428</v>
      </c>
      <c r="R144" s="397"/>
      <c r="S144" s="396" t="s">
        <v>424</v>
      </c>
      <c r="T144" s="397"/>
      <c r="U144" s="396" t="s">
        <v>425</v>
      </c>
      <c r="V144" s="397"/>
      <c r="W144" s="396" t="s">
        <v>426</v>
      </c>
      <c r="X144" s="397"/>
      <c r="Y144" s="396" t="s">
        <v>427</v>
      </c>
      <c r="Z144" s="431"/>
      <c r="AA144" s="396" t="s">
        <v>497</v>
      </c>
      <c r="AB144" s="136"/>
    </row>
    <row r="145" spans="2:28" x14ac:dyDescent="0.25">
      <c r="B145" s="9" t="s">
        <v>38</v>
      </c>
      <c r="C145" s="314">
        <v>252.70099999999999</v>
      </c>
      <c r="D145" s="439">
        <f>IF(C$145=0,"N.D.",C145/C$145)</f>
        <v>1</v>
      </c>
      <c r="E145" s="314">
        <v>232.50700000000001</v>
      </c>
      <c r="F145" s="439">
        <f>IF(E$145=0,"N.D.",E145/E$145)</f>
        <v>1</v>
      </c>
      <c r="G145" s="314">
        <v>269.31700000000001</v>
      </c>
      <c r="H145" s="439">
        <f>IF(G$145=0,"N.D.",G145/G$145)</f>
        <v>1</v>
      </c>
      <c r="I145" s="314">
        <v>243.25200000000001</v>
      </c>
      <c r="J145" s="439">
        <f>IF(I$145=0,"N.D.",I145/I$145)</f>
        <v>1</v>
      </c>
      <c r="K145" s="314">
        <v>261.27100000000002</v>
      </c>
      <c r="L145" s="439">
        <f>IF(K$145=0,"N.D.",K145/K$145)</f>
        <v>1</v>
      </c>
      <c r="M145" s="314">
        <v>258.33199999999999</v>
      </c>
      <c r="N145" s="439">
        <f>IF(M$145=0,"N.D.",M145/M$145)</f>
        <v>1</v>
      </c>
      <c r="O145" s="314">
        <v>258.33199999999999</v>
      </c>
      <c r="P145" s="439">
        <f>IF(O$145=0,"N.D.",O145/O$145)</f>
        <v>1</v>
      </c>
      <c r="Q145" s="314"/>
      <c r="R145" s="439" t="str">
        <f>IF(Q$145=0,"N.D.",Q145/Q$145)</f>
        <v>N.D.</v>
      </c>
      <c r="S145" s="314"/>
      <c r="T145" s="439" t="str">
        <f>IF(S$145=0,"N.D.",S145/S$145)</f>
        <v>N.D.</v>
      </c>
      <c r="U145" s="314"/>
      <c r="V145" s="439" t="str">
        <f>IF(U$145=0,"N.D.",U145/U$145)</f>
        <v>N.D.</v>
      </c>
      <c r="W145" s="314"/>
      <c r="X145" s="439" t="str">
        <f>IF(W$145=0,"N.D.",W145/W$145)</f>
        <v>N.D.</v>
      </c>
      <c r="Y145" s="314"/>
      <c r="Z145" s="439" t="str">
        <f>IF(Y$145=0,"N.D.",Y145/Y$145)</f>
        <v>N.D.</v>
      </c>
      <c r="AA145" s="314">
        <f>+Y145+W145+U145+S145+Q145+O145+M145+K145+I145+G145+E145+C145</f>
        <v>1775.712</v>
      </c>
      <c r="AB145" s="138">
        <f>IF(AA$145=0,"N.D.",AA145/AA$145)</f>
        <v>1</v>
      </c>
    </row>
    <row r="146" spans="2:28" x14ac:dyDescent="0.25">
      <c r="B146" s="9" t="s">
        <v>39</v>
      </c>
      <c r="C146" s="314">
        <v>89.456000000000003</v>
      </c>
      <c r="D146" s="439">
        <f>IF(C$145=0,"N.D.",C146/C$145)</f>
        <v>0.3539993905841291</v>
      </c>
      <c r="E146" s="314">
        <v>82.308000000000007</v>
      </c>
      <c r="F146" s="439">
        <f>IF(E$145=0,"N.D.",E146/E$145)</f>
        <v>0.3540022450936961</v>
      </c>
      <c r="G146" s="314">
        <v>95.337999999999994</v>
      </c>
      <c r="H146" s="439">
        <f>IF(G$145=0,"N.D.",G146/G$145)</f>
        <v>0.35399919054497114</v>
      </c>
      <c r="I146" s="314">
        <v>86.111000000000004</v>
      </c>
      <c r="J146" s="439">
        <f>IF(I$145=0,"N.D.",I146/I$145)</f>
        <v>0.35399914491967177</v>
      </c>
      <c r="K146" s="314">
        <v>92.49</v>
      </c>
      <c r="L146" s="439">
        <f>IF(K$145=0,"N.D.",K146/K$145)</f>
        <v>0.35400025261127332</v>
      </c>
      <c r="M146" s="314">
        <v>91.45</v>
      </c>
      <c r="N146" s="439">
        <f>IF(M$145=0,"N.D.",M146/M$145)</f>
        <v>0.35400182710620443</v>
      </c>
      <c r="O146" s="314">
        <v>91.45</v>
      </c>
      <c r="P146" s="439">
        <f>IF(O$145=0,"N.D.",O146/O$145)</f>
        <v>0.35400182710620443</v>
      </c>
      <c r="Q146" s="314"/>
      <c r="R146" s="439" t="str">
        <f>IF(Q$145=0,"N.D.",Q146/Q$145)</f>
        <v>N.D.</v>
      </c>
      <c r="S146" s="314"/>
      <c r="T146" s="439" t="str">
        <f>IF(S$145=0,"N.D.",S146/S$145)</f>
        <v>N.D.</v>
      </c>
      <c r="U146" s="314"/>
      <c r="V146" s="439" t="str">
        <f>IF(U$145=0,"N.D.",U146/U$145)</f>
        <v>N.D.</v>
      </c>
      <c r="W146" s="314"/>
      <c r="X146" s="439" t="str">
        <f>IF(W$145=0,"N.D.",W146/W$145)</f>
        <v>N.D.</v>
      </c>
      <c r="Y146" s="314"/>
      <c r="Z146" s="439" t="str">
        <f>IF(Y$145=0,"N.D.",Y146/Y$145)</f>
        <v>N.D.</v>
      </c>
      <c r="AA146" s="314">
        <f t="shared" ref="AA146:AA167" si="80">+Y146+W146+U146+S146+Q146+O146+M146+K146+I146+G146+E146+C146</f>
        <v>628.60299999999995</v>
      </c>
      <c r="AB146" s="138">
        <f>IF(AA$145=0,"N.D.",AA146/AA$145)</f>
        <v>0.35400053612297488</v>
      </c>
    </row>
    <row r="147" spans="2:28" hidden="1" x14ac:dyDescent="0.25">
      <c r="B147" s="9" t="s">
        <v>219</v>
      </c>
      <c r="C147" s="314">
        <v>0</v>
      </c>
      <c r="D147" s="439">
        <f>IF(C$145=0,"N.D.",C147/C$145)</f>
        <v>0</v>
      </c>
      <c r="E147" s="314">
        <v>0</v>
      </c>
      <c r="F147" s="439">
        <f>IF(E$145=0,"N.D.",E147/E$145)</f>
        <v>0</v>
      </c>
      <c r="G147" s="314">
        <v>0</v>
      </c>
      <c r="H147" s="439">
        <f>IF(G$145=0,"N.D.",G147/G$145)</f>
        <v>0</v>
      </c>
      <c r="I147" s="314">
        <v>0</v>
      </c>
      <c r="J147" s="439">
        <f>IF(I$145=0,"N.D.",I147/I$145)</f>
        <v>0</v>
      </c>
      <c r="K147" s="314">
        <v>0</v>
      </c>
      <c r="L147" s="439">
        <f>IF(K$145=0,"N.D.",K147/K$145)</f>
        <v>0</v>
      </c>
      <c r="M147" s="314">
        <v>0</v>
      </c>
      <c r="N147" s="439">
        <f>IF(M$145=0,"N.D.",M147/M$145)</f>
        <v>0</v>
      </c>
      <c r="O147" s="314">
        <v>0</v>
      </c>
      <c r="P147" s="439">
        <f>IF(O$145=0,"N.D.",O147/O$145)</f>
        <v>0</v>
      </c>
      <c r="Q147" s="314"/>
      <c r="R147" s="439" t="str">
        <f>IF(Q$145=0,"N.D.",Q147/Q$145)</f>
        <v>N.D.</v>
      </c>
      <c r="S147" s="314"/>
      <c r="T147" s="439" t="str">
        <f>IF(S$145=0,"N.D.",S147/S$145)</f>
        <v>N.D.</v>
      </c>
      <c r="U147" s="314"/>
      <c r="V147" s="439" t="str">
        <f>IF(U$145=0,"N.D.",U147/U$145)</f>
        <v>N.D.</v>
      </c>
      <c r="W147" s="314"/>
      <c r="X147" s="439" t="str">
        <f>IF(W$145=0,"N.D.",W147/W$145)</f>
        <v>N.D.</v>
      </c>
      <c r="Y147" s="314"/>
      <c r="Z147" s="439" t="str">
        <f>IF(Y$145=0,"N.D.",Y147/Y$145)</f>
        <v>N.D.</v>
      </c>
      <c r="AA147" s="314"/>
      <c r="AB147" s="138">
        <f>IF(AA$145=0,"N.D.",AA147/AA$145)</f>
        <v>0</v>
      </c>
    </row>
    <row r="148" spans="2:28" ht="13" x14ac:dyDescent="0.3">
      <c r="B148" s="9" t="s">
        <v>40</v>
      </c>
      <c r="C148" s="381">
        <v>163.245</v>
      </c>
      <c r="D148" s="440">
        <f>IF(C$145=0,"N.D.",C148/C$145)</f>
        <v>0.64600060941587101</v>
      </c>
      <c r="E148" s="381">
        <v>150.19900000000001</v>
      </c>
      <c r="F148" s="440">
        <f>IF(E$145=0,"N.D.",E148/E$145)</f>
        <v>0.64599775490630396</v>
      </c>
      <c r="G148" s="381">
        <v>173.97900000000001</v>
      </c>
      <c r="H148" s="440">
        <f>IF(G$145=0,"N.D.",G148/G$145)</f>
        <v>0.64600080945502891</v>
      </c>
      <c r="I148" s="381">
        <v>157.14100000000002</v>
      </c>
      <c r="J148" s="440">
        <f>IF(I$145=0,"N.D.",I148/I$145)</f>
        <v>0.64600085508032823</v>
      </c>
      <c r="K148" s="381">
        <v>168.78100000000001</v>
      </c>
      <c r="L148" s="440">
        <f>IF(K$145=0,"N.D.",K148/K$145)</f>
        <v>0.64599974738872668</v>
      </c>
      <c r="M148" s="381">
        <v>166.88200000000001</v>
      </c>
      <c r="N148" s="440">
        <f>IF(M$145=0,"N.D.",M148/M$145)</f>
        <v>0.64599817289379557</v>
      </c>
      <c r="O148" s="381">
        <v>166.88200000000001</v>
      </c>
      <c r="P148" s="440">
        <f>IF(O$145=0,"N.D.",O148/O$145)</f>
        <v>0.64599817289379557</v>
      </c>
      <c r="Q148" s="381"/>
      <c r="R148" s="440" t="str">
        <f>IF(Q$145=0,"N.D.",Q148/Q$145)</f>
        <v>N.D.</v>
      </c>
      <c r="S148" s="381"/>
      <c r="T148" s="440" t="str">
        <f>IF(S$145=0,"N.D.",S148/S$145)</f>
        <v>N.D.</v>
      </c>
      <c r="U148" s="381"/>
      <c r="V148" s="440" t="str">
        <f>IF(U$145=0,"N.D.",U148/U$145)</f>
        <v>N.D.</v>
      </c>
      <c r="W148" s="381"/>
      <c r="X148" s="440" t="str">
        <f>IF(W$145=0,"N.D.",W148/W$145)</f>
        <v>N.D.</v>
      </c>
      <c r="Y148" s="381"/>
      <c r="Z148" s="440" t="str">
        <f>IF(Y$145=0,"N.D.",Y148/Y$145)</f>
        <v>N.D.</v>
      </c>
      <c r="AA148" s="381">
        <f t="shared" si="80"/>
        <v>1147.1089999999999</v>
      </c>
      <c r="AB148" s="139">
        <f>IF(AA$145=0,"N.D.",AA148/AA$145)</f>
        <v>0.64599946387702512</v>
      </c>
    </row>
    <row r="149" spans="2:28" x14ac:dyDescent="0.25">
      <c r="B149" s="9"/>
      <c r="C149" s="419"/>
      <c r="D149" s="441"/>
      <c r="E149" s="419"/>
      <c r="F149" s="441"/>
      <c r="G149" s="419"/>
      <c r="H149" s="441"/>
      <c r="I149" s="419"/>
      <c r="J149" s="441"/>
      <c r="K149" s="419"/>
      <c r="L149" s="441"/>
      <c r="M149" s="419"/>
      <c r="N149" s="441"/>
      <c r="O149" s="419"/>
      <c r="P149" s="441"/>
      <c r="Q149" s="419"/>
      <c r="R149" s="441"/>
      <c r="S149" s="419"/>
      <c r="T149" s="441"/>
      <c r="U149" s="419"/>
      <c r="V149" s="441"/>
      <c r="W149" s="419"/>
      <c r="X149" s="441"/>
      <c r="Y149" s="419"/>
      <c r="Z149" s="441"/>
      <c r="AA149" s="419"/>
      <c r="AB149" s="141"/>
    </row>
    <row r="150" spans="2:28" x14ac:dyDescent="0.25">
      <c r="B150" s="9" t="s">
        <v>41</v>
      </c>
      <c r="C150" s="418">
        <v>173.09800000000001</v>
      </c>
      <c r="D150" s="442">
        <f>IF(C$145=0,"N.D.",C150/C$145)</f>
        <v>0.68499135341767547</v>
      </c>
      <c r="E150" s="418">
        <v>164.17699999999999</v>
      </c>
      <c r="F150" s="442">
        <f>IF(E$145=0,"N.D.",E150/E$145)</f>
        <v>0.70611637499086044</v>
      </c>
      <c r="G150" s="418">
        <v>173.929</v>
      </c>
      <c r="H150" s="442">
        <f>IF(G$145=0,"N.D.",G150/G$145)</f>
        <v>0.6458151546319022</v>
      </c>
      <c r="I150" s="418">
        <v>168.42400000000001</v>
      </c>
      <c r="J150" s="442">
        <f>IF(I$145=0,"N.D.",I150/I$145)</f>
        <v>0.6923848519231085</v>
      </c>
      <c r="K150" s="418">
        <v>170.518</v>
      </c>
      <c r="L150" s="442">
        <f>IF(K$145=0,"N.D.",K150/K$145)</f>
        <v>0.65264801681013196</v>
      </c>
      <c r="M150" s="418">
        <v>168.81200000000001</v>
      </c>
      <c r="N150" s="442">
        <f>IF(M$145=0,"N.D.",M150/M$145)</f>
        <v>0.65346917919576364</v>
      </c>
      <c r="O150" s="418">
        <v>169.166</v>
      </c>
      <c r="P150" s="442">
        <f>IF(O$145=0,"N.D.",O150/O$145)</f>
        <v>0.65483950884907793</v>
      </c>
      <c r="Q150" s="418"/>
      <c r="R150" s="442" t="str">
        <f>IF(Q$145=0,"N.D.",Q150/Q$145)</f>
        <v>N.D.</v>
      </c>
      <c r="S150" s="418"/>
      <c r="T150" s="442" t="str">
        <f>IF(S$145=0,"N.D.",S150/S$145)</f>
        <v>N.D.</v>
      </c>
      <c r="U150" s="418"/>
      <c r="V150" s="442" t="str">
        <f>IF(U$145=0,"N.D.",U150/U$145)</f>
        <v>N.D.</v>
      </c>
      <c r="W150" s="418"/>
      <c r="X150" s="442" t="str">
        <f>IF(W$145=0,"N.D.",W150/W$145)</f>
        <v>N.D.</v>
      </c>
      <c r="Y150" s="418"/>
      <c r="Z150" s="442" t="str">
        <f>IF(Y$145=0,"N.D.",Y150/Y$145)</f>
        <v>N.D.</v>
      </c>
      <c r="AA150" s="418">
        <f t="shared" si="80"/>
        <v>1188.124</v>
      </c>
      <c r="AB150" s="142">
        <f>IF(AA$145=0,"N.D.",AA150/AA$145)</f>
        <v>0.66909724099403511</v>
      </c>
    </row>
    <row r="151" spans="2:28" x14ac:dyDescent="0.25">
      <c r="B151" s="9" t="s">
        <v>42</v>
      </c>
      <c r="C151" s="314">
        <v>21.097999999999999</v>
      </c>
      <c r="D151" s="439">
        <f>IF(C$145=0,"N.D.",C151/C$145)</f>
        <v>8.3489974317474014E-2</v>
      </c>
      <c r="E151" s="314">
        <v>16.841000000000001</v>
      </c>
      <c r="F151" s="439">
        <f>IF(E$145=0,"N.D.",E151/E$145)</f>
        <v>7.2432227846903535E-2</v>
      </c>
      <c r="G151" s="314">
        <v>16.483000000000001</v>
      </c>
      <c r="H151" s="439">
        <f>IF(G$145=0,"N.D.",G151/G$145)</f>
        <v>6.1202968991931443E-2</v>
      </c>
      <c r="I151" s="314">
        <v>15.959</v>
      </c>
      <c r="J151" s="439">
        <f>IF(I$145=0,"N.D.",I151/I$145)</f>
        <v>6.560686037524871E-2</v>
      </c>
      <c r="K151" s="314">
        <v>18.841999999999999</v>
      </c>
      <c r="L151" s="439">
        <f>IF(K$145=0,"N.D.",K151/K$145)</f>
        <v>7.2116691098514554E-2</v>
      </c>
      <c r="M151" s="314">
        <v>18.337</v>
      </c>
      <c r="N151" s="439">
        <f>IF(M$145=0,"N.D.",M151/M$145)</f>
        <v>7.0982301844138548E-2</v>
      </c>
      <c r="O151" s="314">
        <v>16.731000000000002</v>
      </c>
      <c r="P151" s="439">
        <f>IF(O$145=0,"N.D.",O151/O$145)</f>
        <v>6.4765495563848086E-2</v>
      </c>
      <c r="Q151" s="314"/>
      <c r="R151" s="439" t="str">
        <f>IF(Q$145=0,"N.D.",Q151/Q$145)</f>
        <v>N.D.</v>
      </c>
      <c r="S151" s="314"/>
      <c r="T151" s="439" t="str">
        <f>IF(S$145=0,"N.D.",S151/S$145)</f>
        <v>N.D.</v>
      </c>
      <c r="U151" s="314"/>
      <c r="V151" s="439" t="str">
        <f>IF(U$145=0,"N.D.",U151/U$145)</f>
        <v>N.D.</v>
      </c>
      <c r="W151" s="314"/>
      <c r="X151" s="439" t="str">
        <f>IF(W$145=0,"N.D.",W151/W$145)</f>
        <v>N.D.</v>
      </c>
      <c r="Y151" s="314"/>
      <c r="Z151" s="439" t="str">
        <f>IF(Y$145=0,"N.D.",Y151/Y$145)</f>
        <v>N.D.</v>
      </c>
      <c r="AA151" s="314">
        <f t="shared" si="80"/>
        <v>124.29100000000001</v>
      </c>
      <c r="AB151" s="138">
        <f>IF(AA$145=0,"N.D.",AA151/AA$145)</f>
        <v>6.9995021715233113E-2</v>
      </c>
    </row>
    <row r="152" spans="2:28" x14ac:dyDescent="0.25">
      <c r="B152" s="9" t="s">
        <v>43</v>
      </c>
      <c r="C152" s="314">
        <v>9.2420000000000009</v>
      </c>
      <c r="D152" s="439">
        <f>IF(C$145=0,"N.D.",C152/C$145)</f>
        <v>3.6572866747658306E-2</v>
      </c>
      <c r="E152" s="314">
        <v>9.2420000000000009</v>
      </c>
      <c r="F152" s="439">
        <f>IF(E$145=0,"N.D.",E152/E$145)</f>
        <v>3.9749340880059526E-2</v>
      </c>
      <c r="G152" s="314">
        <v>9.2420000000000009</v>
      </c>
      <c r="H152" s="439">
        <f>IF(G$145=0,"N.D.",G152/G$145)</f>
        <v>3.431643750672999E-2</v>
      </c>
      <c r="I152" s="314">
        <v>9.2420000000000009</v>
      </c>
      <c r="J152" s="439">
        <f>IF(I$145=0,"N.D.",I152/I$145)</f>
        <v>3.7993521122128497E-2</v>
      </c>
      <c r="K152" s="314">
        <v>9.2420000000000009</v>
      </c>
      <c r="L152" s="439">
        <f>IF(K$145=0,"N.D.",K152/K$145)</f>
        <v>3.5373233156377859E-2</v>
      </c>
      <c r="M152" s="314">
        <v>9.2420000000000009</v>
      </c>
      <c r="N152" s="439">
        <f>IF(M$145=0,"N.D.",M152/M$145)</f>
        <v>3.5775668519579459E-2</v>
      </c>
      <c r="O152" s="314">
        <v>9.2420000000000009</v>
      </c>
      <c r="P152" s="439">
        <f>IF(O$145=0,"N.D.",O152/O$145)</f>
        <v>3.5775668519579459E-2</v>
      </c>
      <c r="Q152" s="314"/>
      <c r="R152" s="439" t="str">
        <f>IF(Q$145=0,"N.D.",Q152/Q$145)</f>
        <v>N.D.</v>
      </c>
      <c r="S152" s="314"/>
      <c r="T152" s="439" t="str">
        <f>IF(S$145=0,"N.D.",S152/S$145)</f>
        <v>N.D.</v>
      </c>
      <c r="U152" s="314"/>
      <c r="V152" s="439" t="str">
        <f>IF(U$145=0,"N.D.",U152/U$145)</f>
        <v>N.D.</v>
      </c>
      <c r="W152" s="314"/>
      <c r="X152" s="439" t="str">
        <f>IF(W$145=0,"N.D.",W152/W$145)</f>
        <v>N.D.</v>
      </c>
      <c r="Y152" s="314"/>
      <c r="Z152" s="439" t="str">
        <f>IF(Y$145=0,"N.D.",Y152/Y$145)</f>
        <v>N.D.</v>
      </c>
      <c r="AA152" s="314">
        <f t="shared" si="80"/>
        <v>64.694000000000017</v>
      </c>
      <c r="AB152" s="138">
        <f>IF(AA$145=0,"N.D.",AA152/AA$145)</f>
        <v>3.6432709808797835E-2</v>
      </c>
    </row>
    <row r="153" spans="2:28" ht="13" x14ac:dyDescent="0.3">
      <c r="B153" s="9" t="s">
        <v>44</v>
      </c>
      <c r="C153" s="381">
        <v>203.43800000000002</v>
      </c>
      <c r="D153" s="440">
        <f>IF(C$145=0,"N.D.",C153/C$145)</f>
        <v>0.80505419448280779</v>
      </c>
      <c r="E153" s="381">
        <v>190.26</v>
      </c>
      <c r="F153" s="440">
        <f>IF(E$145=0,"N.D.",E153/E$145)</f>
        <v>0.81829794371782349</v>
      </c>
      <c r="G153" s="381">
        <v>199.654</v>
      </c>
      <c r="H153" s="440">
        <f>IF(G$145=0,"N.D.",G153/G$145)</f>
        <v>0.74133456113056362</v>
      </c>
      <c r="I153" s="381">
        <v>193.625</v>
      </c>
      <c r="J153" s="440">
        <f>IF(I$145=0,"N.D.",I153/I$145)</f>
        <v>0.79598523342048577</v>
      </c>
      <c r="K153" s="381">
        <v>198.602</v>
      </c>
      <c r="L153" s="440">
        <f>IF(K$145=0,"N.D.",K153/K$145)</f>
        <v>0.76013794106502441</v>
      </c>
      <c r="M153" s="381">
        <v>196.39099999999999</v>
      </c>
      <c r="N153" s="440">
        <f>IF(M$145=0,"N.D.",M153/M$145)</f>
        <v>0.76022714955948156</v>
      </c>
      <c r="O153" s="381">
        <v>195.13899999999998</v>
      </c>
      <c r="P153" s="440">
        <f>IF(O$145=0,"N.D.",O153/O$145)</f>
        <v>0.75538067293250544</v>
      </c>
      <c r="Q153" s="381"/>
      <c r="R153" s="440" t="str">
        <f>IF(Q$145=0,"N.D.",Q153/Q$145)</f>
        <v>N.D.</v>
      </c>
      <c r="S153" s="381"/>
      <c r="T153" s="440" t="str">
        <f>IF(S$145=0,"N.D.",S153/S$145)</f>
        <v>N.D.</v>
      </c>
      <c r="U153" s="381"/>
      <c r="V153" s="440" t="str">
        <f>IF(U$145=0,"N.D.",U153/U$145)</f>
        <v>N.D.</v>
      </c>
      <c r="W153" s="381"/>
      <c r="X153" s="440" t="str">
        <f>IF(W$145=0,"N.D.",W153/W$145)</f>
        <v>N.D.</v>
      </c>
      <c r="Y153" s="381"/>
      <c r="Z153" s="440" t="str">
        <f>IF(Y$145=0,"N.D.",Y153/Y$145)</f>
        <v>N.D.</v>
      </c>
      <c r="AA153" s="381">
        <f t="shared" si="80"/>
        <v>1377.1089999999999</v>
      </c>
      <c r="AB153" s="139">
        <f>IF(AA$145=0,"N.D.",AA153/AA$145)</f>
        <v>0.77552497251806596</v>
      </c>
    </row>
    <row r="154" spans="2:28" ht="13" x14ac:dyDescent="0.3">
      <c r="B154" s="9" t="s">
        <v>45</v>
      </c>
      <c r="C154" s="381">
        <v>-40.193000000000012</v>
      </c>
      <c r="D154" s="440">
        <f>IF(C$145=0,"N.D.",C154/C$145)</f>
        <v>-0.15905358506693687</v>
      </c>
      <c r="E154" s="381">
        <v>-40.060999999999979</v>
      </c>
      <c r="F154" s="440">
        <f>IF(E$145=0,"N.D.",E154/E$145)</f>
        <v>-0.17230018881151957</v>
      </c>
      <c r="G154" s="381">
        <v>-25.674999999999983</v>
      </c>
      <c r="H154" s="440">
        <f>IF(G$145=0,"N.D.",G154/G$145)</f>
        <v>-9.533375167553472E-2</v>
      </c>
      <c r="I154" s="381">
        <v>-36.48399999999998</v>
      </c>
      <c r="J154" s="440">
        <f>IF(I$145=0,"N.D.",I154/I$145)</f>
        <v>-0.14998437834015746</v>
      </c>
      <c r="K154" s="381">
        <v>-29.820999999999998</v>
      </c>
      <c r="L154" s="440">
        <f>IF(K$145=0,"N.D.",K154/K$145)</f>
        <v>-0.11413819367629778</v>
      </c>
      <c r="M154" s="381">
        <v>-29.508999999999986</v>
      </c>
      <c r="N154" s="440">
        <f>IF(M$145=0,"N.D.",M154/M$145)</f>
        <v>-0.11422897666568596</v>
      </c>
      <c r="O154" s="381">
        <v>-28.256999999999977</v>
      </c>
      <c r="P154" s="440">
        <f>IF(O$145=0,"N.D.",O154/O$145)</f>
        <v>-0.10938250003870979</v>
      </c>
      <c r="Q154" s="381"/>
      <c r="R154" s="440" t="str">
        <f>IF(Q$145=0,"N.D.",Q154/Q$145)</f>
        <v>N.D.</v>
      </c>
      <c r="S154" s="381"/>
      <c r="T154" s="440" t="str">
        <f>IF(S$145=0,"N.D.",S154/S$145)</f>
        <v>N.D.</v>
      </c>
      <c r="U154" s="381"/>
      <c r="V154" s="440" t="str">
        <f>IF(U$145=0,"N.D.",U154/U$145)</f>
        <v>N.D.</v>
      </c>
      <c r="W154" s="381"/>
      <c r="X154" s="440" t="str">
        <f>IF(W$145=0,"N.D.",W154/W$145)</f>
        <v>N.D.</v>
      </c>
      <c r="Y154" s="381"/>
      <c r="Z154" s="440" t="str">
        <f>IF(Y$145=0,"N.D.",Y154/Y$145)</f>
        <v>N.D.</v>
      </c>
      <c r="AA154" s="381">
        <f t="shared" si="80"/>
        <v>-229.99999999999991</v>
      </c>
      <c r="AB154" s="139">
        <f>IF(AA$145=0,"N.D.",AA154/AA$145)</f>
        <v>-0.12952550864104084</v>
      </c>
    </row>
    <row r="155" spans="2:28" x14ac:dyDescent="0.25">
      <c r="C155" s="419"/>
      <c r="D155" s="441"/>
      <c r="E155" s="419"/>
      <c r="F155" s="441"/>
      <c r="G155" s="419"/>
      <c r="H155" s="441"/>
      <c r="I155" s="419"/>
      <c r="J155" s="441"/>
      <c r="K155" s="419"/>
      <c r="L155" s="441"/>
      <c r="M155" s="419"/>
      <c r="N155" s="441"/>
      <c r="O155" s="419"/>
      <c r="P155" s="441"/>
      <c r="Q155" s="419"/>
      <c r="R155" s="441"/>
      <c r="S155" s="419"/>
      <c r="T155" s="441"/>
      <c r="U155" s="419"/>
      <c r="V155" s="441"/>
      <c r="W155" s="419"/>
      <c r="X155" s="441"/>
      <c r="Y155" s="419"/>
      <c r="Z155" s="441"/>
      <c r="AA155" s="419"/>
      <c r="AB155" s="141"/>
    </row>
    <row r="156" spans="2:28" x14ac:dyDescent="0.25">
      <c r="B156" s="9"/>
      <c r="C156" s="418">
        <v>0</v>
      </c>
      <c r="D156" s="443">
        <f t="shared" ref="D156:D162" si="81">IF(C$145=0,"N.D.",C156/C$145)</f>
        <v>0</v>
      </c>
      <c r="E156" s="418">
        <v>0</v>
      </c>
      <c r="F156" s="443">
        <f t="shared" ref="F156:F162" si="82">IF(E$145=0,"N.D.",E156/E$145)</f>
        <v>0</v>
      </c>
      <c r="G156" s="418">
        <v>0</v>
      </c>
      <c r="H156" s="443">
        <f t="shared" ref="H156:H162" si="83">IF(G$145=0,"N.D.",G156/G$145)</f>
        <v>0</v>
      </c>
      <c r="I156" s="418">
        <v>0</v>
      </c>
      <c r="J156" s="443">
        <f t="shared" ref="J156:J162" si="84">IF(I$145=0,"N.D.",I156/I$145)</f>
        <v>0</v>
      </c>
      <c r="K156" s="418">
        <v>0</v>
      </c>
      <c r="L156" s="443">
        <f t="shared" ref="L156:L162" si="85">IF(K$145=0,"N.D.",K156/K$145)</f>
        <v>0</v>
      </c>
      <c r="M156" s="418">
        <v>0</v>
      </c>
      <c r="N156" s="443">
        <f t="shared" ref="N156:N162" si="86">IF(M$145=0,"N.D.",M156/M$145)</f>
        <v>0</v>
      </c>
      <c r="O156" s="418">
        <v>0</v>
      </c>
      <c r="P156" s="443">
        <f t="shared" ref="P156:P162" si="87">IF(O$145=0,"N.D.",O156/O$145)</f>
        <v>0</v>
      </c>
      <c r="Q156" s="418"/>
      <c r="R156" s="443" t="str">
        <f t="shared" ref="R156:R162" si="88">IF(Q$145=0,"N.D.",Q156/Q$145)</f>
        <v>N.D.</v>
      </c>
      <c r="S156" s="418"/>
      <c r="T156" s="443" t="str">
        <f t="shared" ref="T156:T162" si="89">IF(S$145=0,"N.D.",S156/S$145)</f>
        <v>N.D.</v>
      </c>
      <c r="U156" s="418"/>
      <c r="V156" s="443" t="str">
        <f t="shared" ref="V156:V162" si="90">IF(U$145=0,"N.D.",U156/U$145)</f>
        <v>N.D.</v>
      </c>
      <c r="W156" s="418"/>
      <c r="X156" s="443" t="str">
        <f t="shared" ref="X156:X162" si="91">IF(W$145=0,"N.D.",W156/W$145)</f>
        <v>N.D.</v>
      </c>
      <c r="Y156" s="418"/>
      <c r="Z156" s="443" t="str">
        <f t="shared" ref="Z156:Z162" si="92">IF(Y$145=0,"N.D.",Y156/Y$145)</f>
        <v>N.D.</v>
      </c>
      <c r="AA156" s="418">
        <f t="shared" si="80"/>
        <v>0</v>
      </c>
      <c r="AB156" s="144">
        <f t="shared" ref="AB156:AB162" si="93">IF(AA$145=0,"N.D.",AA156/AA$145)</f>
        <v>0</v>
      </c>
    </row>
    <row r="157" spans="2:28" x14ac:dyDescent="0.25">
      <c r="B157" s="9" t="s">
        <v>52</v>
      </c>
      <c r="C157" s="314">
        <v>0</v>
      </c>
      <c r="D157" s="444">
        <f t="shared" si="81"/>
        <v>0</v>
      </c>
      <c r="E157" s="314">
        <v>-2.2109999999999999</v>
      </c>
      <c r="F157" s="444">
        <f t="shared" si="82"/>
        <v>-9.5093911151062117E-3</v>
      </c>
      <c r="G157" s="314">
        <v>-2.2109999999999999</v>
      </c>
      <c r="H157" s="444">
        <f t="shared" si="83"/>
        <v>-8.209656278660462E-3</v>
      </c>
      <c r="I157" s="314">
        <v>-2.2109999999999999</v>
      </c>
      <c r="J157" s="444">
        <f t="shared" si="84"/>
        <v>-9.0893394504464493E-3</v>
      </c>
      <c r="K157" s="314">
        <v>-2.2109999999999999</v>
      </c>
      <c r="L157" s="444">
        <f t="shared" si="85"/>
        <v>-8.4624776572983593E-3</v>
      </c>
      <c r="M157" s="314">
        <v>-2.2109999999999999</v>
      </c>
      <c r="N157" s="444">
        <f t="shared" si="86"/>
        <v>-8.5587538516327822E-3</v>
      </c>
      <c r="O157" s="314">
        <v>-2.2109999999999999</v>
      </c>
      <c r="P157" s="444">
        <f t="shared" si="87"/>
        <v>-8.5587538516327822E-3</v>
      </c>
      <c r="Q157" s="314"/>
      <c r="R157" s="444" t="str">
        <f t="shared" si="88"/>
        <v>N.D.</v>
      </c>
      <c r="S157" s="314"/>
      <c r="T157" s="444" t="str">
        <f t="shared" si="89"/>
        <v>N.D.</v>
      </c>
      <c r="U157" s="314"/>
      <c r="V157" s="444" t="str">
        <f t="shared" si="90"/>
        <v>N.D.</v>
      </c>
      <c r="W157" s="314"/>
      <c r="X157" s="444" t="str">
        <f t="shared" si="91"/>
        <v>N.D.</v>
      </c>
      <c r="Y157" s="314"/>
      <c r="Z157" s="444" t="str">
        <f t="shared" si="92"/>
        <v>N.D.</v>
      </c>
      <c r="AA157" s="314">
        <f t="shared" si="80"/>
        <v>-13.266</v>
      </c>
      <c r="AB157" s="145">
        <f t="shared" si="93"/>
        <v>-7.4708060766610802E-3</v>
      </c>
    </row>
    <row r="158" spans="2:28" x14ac:dyDescent="0.25">
      <c r="B158" s="9" t="s">
        <v>46</v>
      </c>
      <c r="C158" s="314">
        <v>0</v>
      </c>
      <c r="D158" s="444">
        <f t="shared" si="81"/>
        <v>0</v>
      </c>
      <c r="E158" s="314">
        <v>0</v>
      </c>
      <c r="F158" s="444">
        <f t="shared" si="82"/>
        <v>0</v>
      </c>
      <c r="G158" s="314">
        <v>0</v>
      </c>
      <c r="H158" s="444">
        <f t="shared" si="83"/>
        <v>0</v>
      </c>
      <c r="I158" s="314">
        <v>0</v>
      </c>
      <c r="J158" s="444">
        <f t="shared" si="84"/>
        <v>0</v>
      </c>
      <c r="K158" s="314">
        <v>0</v>
      </c>
      <c r="L158" s="444">
        <f t="shared" si="85"/>
        <v>0</v>
      </c>
      <c r="M158" s="314">
        <v>0</v>
      </c>
      <c r="N158" s="444">
        <f t="shared" si="86"/>
        <v>0</v>
      </c>
      <c r="O158" s="314">
        <v>0</v>
      </c>
      <c r="P158" s="444">
        <f t="shared" si="87"/>
        <v>0</v>
      </c>
      <c r="Q158" s="314"/>
      <c r="R158" s="444" t="str">
        <f t="shared" si="88"/>
        <v>N.D.</v>
      </c>
      <c r="S158" s="314"/>
      <c r="T158" s="444" t="str">
        <f t="shared" si="89"/>
        <v>N.D.</v>
      </c>
      <c r="U158" s="314"/>
      <c r="V158" s="444" t="str">
        <f t="shared" si="90"/>
        <v>N.D.</v>
      </c>
      <c r="W158" s="314"/>
      <c r="X158" s="444" t="str">
        <f t="shared" si="91"/>
        <v>N.D.</v>
      </c>
      <c r="Y158" s="314"/>
      <c r="Z158" s="444" t="str">
        <f t="shared" si="92"/>
        <v>N.D.</v>
      </c>
      <c r="AA158" s="314">
        <f t="shared" si="80"/>
        <v>0</v>
      </c>
      <c r="AB158" s="145">
        <f t="shared" si="93"/>
        <v>0</v>
      </c>
    </row>
    <row r="159" spans="2:28" x14ac:dyDescent="0.25">
      <c r="B159" s="9" t="s">
        <v>47</v>
      </c>
      <c r="C159" s="314">
        <v>0</v>
      </c>
      <c r="D159" s="444">
        <f t="shared" si="81"/>
        <v>0</v>
      </c>
      <c r="E159" s="314">
        <v>0</v>
      </c>
      <c r="F159" s="444">
        <f t="shared" si="82"/>
        <v>0</v>
      </c>
      <c r="G159" s="314">
        <v>0</v>
      </c>
      <c r="H159" s="444">
        <f t="shared" si="83"/>
        <v>0</v>
      </c>
      <c r="I159" s="314">
        <v>0</v>
      </c>
      <c r="J159" s="444">
        <f t="shared" si="84"/>
        <v>0</v>
      </c>
      <c r="K159" s="314">
        <v>0</v>
      </c>
      <c r="L159" s="444">
        <f t="shared" si="85"/>
        <v>0</v>
      </c>
      <c r="M159" s="314">
        <v>0</v>
      </c>
      <c r="N159" s="444">
        <f t="shared" si="86"/>
        <v>0</v>
      </c>
      <c r="O159" s="314">
        <v>0</v>
      </c>
      <c r="P159" s="444">
        <f t="shared" si="87"/>
        <v>0</v>
      </c>
      <c r="Q159" s="314"/>
      <c r="R159" s="444" t="str">
        <f t="shared" si="88"/>
        <v>N.D.</v>
      </c>
      <c r="S159" s="314"/>
      <c r="T159" s="444" t="str">
        <f t="shared" si="89"/>
        <v>N.D.</v>
      </c>
      <c r="U159" s="314"/>
      <c r="V159" s="444" t="str">
        <f t="shared" si="90"/>
        <v>N.D.</v>
      </c>
      <c r="W159" s="314"/>
      <c r="X159" s="444" t="str">
        <f t="shared" si="91"/>
        <v>N.D.</v>
      </c>
      <c r="Y159" s="314"/>
      <c r="Z159" s="444" t="str">
        <f t="shared" si="92"/>
        <v>N.D.</v>
      </c>
      <c r="AA159" s="314">
        <f t="shared" si="80"/>
        <v>0</v>
      </c>
      <c r="AB159" s="145">
        <f t="shared" si="93"/>
        <v>0</v>
      </c>
    </row>
    <row r="160" spans="2:28" x14ac:dyDescent="0.25">
      <c r="C160" s="314">
        <v>0</v>
      </c>
      <c r="D160" s="444">
        <f t="shared" si="81"/>
        <v>0</v>
      </c>
      <c r="E160" s="314">
        <v>0</v>
      </c>
      <c r="F160" s="444">
        <f t="shared" si="82"/>
        <v>0</v>
      </c>
      <c r="G160" s="314">
        <v>0</v>
      </c>
      <c r="H160" s="444">
        <f t="shared" si="83"/>
        <v>0</v>
      </c>
      <c r="I160" s="314">
        <v>0</v>
      </c>
      <c r="J160" s="444">
        <f t="shared" si="84"/>
        <v>0</v>
      </c>
      <c r="K160" s="314">
        <v>0</v>
      </c>
      <c r="L160" s="444">
        <f t="shared" si="85"/>
        <v>0</v>
      </c>
      <c r="M160" s="314">
        <v>0</v>
      </c>
      <c r="N160" s="444">
        <f t="shared" si="86"/>
        <v>0</v>
      </c>
      <c r="O160" s="314">
        <v>0</v>
      </c>
      <c r="P160" s="444">
        <f t="shared" si="87"/>
        <v>0</v>
      </c>
      <c r="Q160" s="314"/>
      <c r="R160" s="444" t="str">
        <f t="shared" si="88"/>
        <v>N.D.</v>
      </c>
      <c r="S160" s="314"/>
      <c r="T160" s="444" t="str">
        <f t="shared" si="89"/>
        <v>N.D.</v>
      </c>
      <c r="U160" s="314"/>
      <c r="V160" s="444" t="str">
        <f t="shared" si="90"/>
        <v>N.D.</v>
      </c>
      <c r="W160" s="314"/>
      <c r="X160" s="444" t="str">
        <f t="shared" si="91"/>
        <v>N.D.</v>
      </c>
      <c r="Y160" s="314"/>
      <c r="Z160" s="444" t="str">
        <f t="shared" si="92"/>
        <v>N.D.</v>
      </c>
      <c r="AA160" s="314">
        <f t="shared" si="80"/>
        <v>0</v>
      </c>
      <c r="AB160" s="145">
        <f t="shared" si="93"/>
        <v>0</v>
      </c>
    </row>
    <row r="161" spans="2:28" ht="13" x14ac:dyDescent="0.3">
      <c r="B161" s="9" t="s">
        <v>48</v>
      </c>
      <c r="C161" s="381">
        <v>0</v>
      </c>
      <c r="D161" s="440">
        <f t="shared" si="81"/>
        <v>0</v>
      </c>
      <c r="E161" s="381">
        <v>-2.2109999999999999</v>
      </c>
      <c r="F161" s="440">
        <f t="shared" si="82"/>
        <v>-9.5093911151062117E-3</v>
      </c>
      <c r="G161" s="381">
        <v>-2.2109999999999999</v>
      </c>
      <c r="H161" s="440">
        <f t="shared" si="83"/>
        <v>-8.209656278660462E-3</v>
      </c>
      <c r="I161" s="381">
        <v>-2.2109999999999999</v>
      </c>
      <c r="J161" s="440">
        <f t="shared" si="84"/>
        <v>-9.0893394504464493E-3</v>
      </c>
      <c r="K161" s="381">
        <v>-2.2109999999999999</v>
      </c>
      <c r="L161" s="440">
        <f t="shared" si="85"/>
        <v>-8.4624776572983593E-3</v>
      </c>
      <c r="M161" s="381">
        <v>-2.2109999999999999</v>
      </c>
      <c r="N161" s="440">
        <f t="shared" si="86"/>
        <v>-8.5587538516327822E-3</v>
      </c>
      <c r="O161" s="381">
        <v>-2.2109999999999999</v>
      </c>
      <c r="P161" s="440">
        <f t="shared" si="87"/>
        <v>-8.5587538516327822E-3</v>
      </c>
      <c r="Q161" s="381"/>
      <c r="R161" s="440" t="str">
        <f t="shared" si="88"/>
        <v>N.D.</v>
      </c>
      <c r="S161" s="381"/>
      <c r="T161" s="440" t="str">
        <f t="shared" si="89"/>
        <v>N.D.</v>
      </c>
      <c r="U161" s="381"/>
      <c r="V161" s="440" t="str">
        <f t="shared" si="90"/>
        <v>N.D.</v>
      </c>
      <c r="W161" s="381"/>
      <c r="X161" s="440" t="str">
        <f t="shared" si="91"/>
        <v>N.D.</v>
      </c>
      <c r="Y161" s="381"/>
      <c r="Z161" s="440" t="str">
        <f t="shared" si="92"/>
        <v>N.D.</v>
      </c>
      <c r="AA161" s="381">
        <f t="shared" si="80"/>
        <v>-13.266</v>
      </c>
      <c r="AB161" s="139">
        <f t="shared" si="93"/>
        <v>-7.4708060766610802E-3</v>
      </c>
    </row>
    <row r="162" spans="2:28" ht="13" x14ac:dyDescent="0.3">
      <c r="B162" s="9" t="s">
        <v>49</v>
      </c>
      <c r="C162" s="381">
        <v>-40.193000000000012</v>
      </c>
      <c r="D162" s="440">
        <f t="shared" si="81"/>
        <v>-0.15905358506693687</v>
      </c>
      <c r="E162" s="381">
        <v>-37.84999999999998</v>
      </c>
      <c r="F162" s="440">
        <f t="shared" si="82"/>
        <v>-0.16279079769641336</v>
      </c>
      <c r="G162" s="381">
        <v>-23.463999999999984</v>
      </c>
      <c r="H162" s="440">
        <f t="shared" si="83"/>
        <v>-8.7124095396874254E-2</v>
      </c>
      <c r="I162" s="381">
        <v>-34.272999999999982</v>
      </c>
      <c r="J162" s="440">
        <f t="shared" si="84"/>
        <v>-0.140895038889711</v>
      </c>
      <c r="K162" s="381">
        <v>-27.61</v>
      </c>
      <c r="L162" s="440">
        <f t="shared" si="85"/>
        <v>-0.10567571601899942</v>
      </c>
      <c r="M162" s="381">
        <v>-27.297999999999988</v>
      </c>
      <c r="N162" s="440">
        <f t="shared" si="86"/>
        <v>-0.10567022281405319</v>
      </c>
      <c r="O162" s="381">
        <v>-26.045999999999978</v>
      </c>
      <c r="P162" s="440">
        <f t="shared" si="87"/>
        <v>-0.10082374618707701</v>
      </c>
      <c r="Q162" s="381"/>
      <c r="R162" s="440" t="str">
        <f t="shared" si="88"/>
        <v>N.D.</v>
      </c>
      <c r="S162" s="381"/>
      <c r="T162" s="440" t="str">
        <f t="shared" si="89"/>
        <v>N.D.</v>
      </c>
      <c r="U162" s="381"/>
      <c r="V162" s="440" t="str">
        <f t="shared" si="90"/>
        <v>N.D.</v>
      </c>
      <c r="W162" s="381"/>
      <c r="X162" s="440" t="str">
        <f t="shared" si="91"/>
        <v>N.D.</v>
      </c>
      <c r="Y162" s="381"/>
      <c r="Z162" s="440" t="str">
        <f t="shared" si="92"/>
        <v>N.D.</v>
      </c>
      <c r="AA162" s="381">
        <f t="shared" si="80"/>
        <v>-216.7339999999999</v>
      </c>
      <c r="AB162" s="139">
        <f t="shared" si="93"/>
        <v>-0.12205470256437975</v>
      </c>
    </row>
    <row r="163" spans="2:28" x14ac:dyDescent="0.25">
      <c r="C163" s="419"/>
      <c r="D163" s="441"/>
      <c r="E163" s="419"/>
      <c r="F163" s="441"/>
      <c r="G163" s="419"/>
      <c r="H163" s="441"/>
      <c r="I163" s="419"/>
      <c r="J163" s="441"/>
      <c r="K163" s="419"/>
      <c r="L163" s="441"/>
      <c r="M163" s="419"/>
      <c r="N163" s="441"/>
      <c r="O163" s="419"/>
      <c r="P163" s="441"/>
      <c r="Q163" s="419"/>
      <c r="R163" s="441"/>
      <c r="S163" s="419"/>
      <c r="T163" s="441"/>
      <c r="U163" s="419"/>
      <c r="V163" s="441"/>
      <c r="W163" s="419"/>
      <c r="X163" s="441"/>
      <c r="Y163" s="419"/>
      <c r="Z163" s="441"/>
      <c r="AA163" s="419"/>
      <c r="AB163" s="141"/>
    </row>
    <row r="164" spans="2:28" x14ac:dyDescent="0.25">
      <c r="B164" s="9" t="s">
        <v>50</v>
      </c>
      <c r="C164" s="418">
        <v>0</v>
      </c>
      <c r="D164" s="442">
        <f>IF(C$145=0,"N.D.",C164/C$145)</f>
        <v>0</v>
      </c>
      <c r="E164" s="418">
        <v>0</v>
      </c>
      <c r="F164" s="442">
        <f>IF(E$145=0,"N.D.",E164/E$145)</f>
        <v>0</v>
      </c>
      <c r="G164" s="418">
        <v>0</v>
      </c>
      <c r="H164" s="442">
        <f t="shared" ref="H164:H173" si="94">IF(G$145=0,"N.D.",G164/G$145)</f>
        <v>0</v>
      </c>
      <c r="I164" s="418">
        <v>0</v>
      </c>
      <c r="J164" s="442">
        <f t="shared" ref="J164:J173" si="95">IF(I$145=0,"N.D.",I164/I$145)</f>
        <v>0</v>
      </c>
      <c r="K164" s="418">
        <v>0</v>
      </c>
      <c r="L164" s="442">
        <f t="shared" ref="L164:L173" si="96">IF(K$145=0,"N.D.",K164/K$145)</f>
        <v>0</v>
      </c>
      <c r="M164" s="418">
        <v>0</v>
      </c>
      <c r="N164" s="442">
        <f t="shared" ref="N164:N173" si="97">IF(M$145=0,"N.D.",M164/M$145)</f>
        <v>0</v>
      </c>
      <c r="O164" s="418">
        <v>0</v>
      </c>
      <c r="P164" s="442">
        <f t="shared" ref="P164:P173" si="98">IF(O$145=0,"N.D.",O164/O$145)</f>
        <v>0</v>
      </c>
      <c r="Q164" s="418"/>
      <c r="R164" s="442" t="str">
        <f t="shared" ref="R164:R173" si="99">IF(Q$145=0,"N.D.",Q164/Q$145)</f>
        <v>N.D.</v>
      </c>
      <c r="S164" s="418"/>
      <c r="T164" s="442" t="str">
        <f t="shared" ref="T164:T173" si="100">IF(S$145=0,"N.D.",S164/S$145)</f>
        <v>N.D.</v>
      </c>
      <c r="U164" s="418"/>
      <c r="V164" s="442" t="str">
        <f t="shared" ref="V164:V173" si="101">IF(U$145=0,"N.D.",U164/U$145)</f>
        <v>N.D.</v>
      </c>
      <c r="W164" s="418"/>
      <c r="X164" s="442" t="str">
        <f t="shared" ref="X164:X173" si="102">IF(W$145=0,"N.D.",W164/W$145)</f>
        <v>N.D.</v>
      </c>
      <c r="Y164" s="418"/>
      <c r="Z164" s="442" t="str">
        <f t="shared" ref="Z164:Z173" si="103">IF(Y$145=0,"N.D.",Y164/Y$145)</f>
        <v>N.D.</v>
      </c>
      <c r="AA164" s="418">
        <f t="shared" si="80"/>
        <v>0</v>
      </c>
      <c r="AB164" s="142">
        <f t="shared" ref="AB164:AB173" si="104">IF(AA$145=0,"N.D.",AA164/AA$145)</f>
        <v>0</v>
      </c>
    </row>
    <row r="165" spans="2:28" x14ac:dyDescent="0.25">
      <c r="B165" s="9" t="s">
        <v>51</v>
      </c>
      <c r="C165" s="314">
        <v>0</v>
      </c>
      <c r="D165" s="439">
        <f>IF(C$145=0,"N.D.",C165/C$145)</f>
        <v>0</v>
      </c>
      <c r="E165" s="314">
        <v>0</v>
      </c>
      <c r="F165" s="439">
        <f>IF(E$145=0,"N.D.",E165/E$145)</f>
        <v>0</v>
      </c>
      <c r="G165" s="314">
        <v>0</v>
      </c>
      <c r="H165" s="439">
        <f t="shared" si="94"/>
        <v>0</v>
      </c>
      <c r="I165" s="314">
        <v>0</v>
      </c>
      <c r="J165" s="439">
        <f t="shared" si="95"/>
        <v>0</v>
      </c>
      <c r="K165" s="314">
        <v>0</v>
      </c>
      <c r="L165" s="439">
        <f t="shared" si="96"/>
        <v>0</v>
      </c>
      <c r="M165" s="314">
        <v>0</v>
      </c>
      <c r="N165" s="439">
        <f t="shared" si="97"/>
        <v>0</v>
      </c>
      <c r="O165" s="314">
        <v>0</v>
      </c>
      <c r="P165" s="439">
        <f t="shared" si="98"/>
        <v>0</v>
      </c>
      <c r="Q165" s="314"/>
      <c r="R165" s="439" t="str">
        <f t="shared" si="99"/>
        <v>N.D.</v>
      </c>
      <c r="S165" s="314"/>
      <c r="T165" s="439" t="str">
        <f t="shared" si="100"/>
        <v>N.D.</v>
      </c>
      <c r="U165" s="314"/>
      <c r="V165" s="439" t="str">
        <f t="shared" si="101"/>
        <v>N.D.</v>
      </c>
      <c r="W165" s="314"/>
      <c r="X165" s="439" t="str">
        <f t="shared" si="102"/>
        <v>N.D.</v>
      </c>
      <c r="Y165" s="314"/>
      <c r="Z165" s="439" t="str">
        <f t="shared" si="103"/>
        <v>N.D.</v>
      </c>
      <c r="AA165" s="314">
        <f t="shared" si="80"/>
        <v>0</v>
      </c>
      <c r="AB165" s="138">
        <f t="shared" si="104"/>
        <v>0</v>
      </c>
    </row>
    <row r="166" spans="2:28" ht="13" x14ac:dyDescent="0.3">
      <c r="B166" s="1" t="s">
        <v>53</v>
      </c>
      <c r="C166" s="381">
        <v>-40.193000000000012</v>
      </c>
      <c r="D166" s="440">
        <f>IF(C$145=0,"N.D.",C166/C$145)</f>
        <v>-0.15905358506693687</v>
      </c>
      <c r="E166" s="381">
        <v>-37.84999999999998</v>
      </c>
      <c r="F166" s="440">
        <f>IF(E$145=0,"N.D.",E166/E$145)</f>
        <v>-0.16279079769641336</v>
      </c>
      <c r="G166" s="381">
        <v>-23.463999999999984</v>
      </c>
      <c r="H166" s="440">
        <f t="shared" si="94"/>
        <v>-8.7124095396874254E-2</v>
      </c>
      <c r="I166" s="381">
        <v>-34.272999999999982</v>
      </c>
      <c r="J166" s="440">
        <f t="shared" si="95"/>
        <v>-0.140895038889711</v>
      </c>
      <c r="K166" s="381">
        <v>-27.61</v>
      </c>
      <c r="L166" s="440">
        <f t="shared" si="96"/>
        <v>-0.10567571601899942</v>
      </c>
      <c r="M166" s="381">
        <v>-27.297999999999988</v>
      </c>
      <c r="N166" s="440">
        <f t="shared" si="97"/>
        <v>-0.10567022281405319</v>
      </c>
      <c r="O166" s="381">
        <v>-26.045999999999978</v>
      </c>
      <c r="P166" s="440">
        <f t="shared" si="98"/>
        <v>-0.10082374618707701</v>
      </c>
      <c r="Q166" s="381"/>
      <c r="R166" s="440" t="str">
        <f t="shared" si="99"/>
        <v>N.D.</v>
      </c>
      <c r="S166" s="381"/>
      <c r="T166" s="440" t="str">
        <f t="shared" si="100"/>
        <v>N.D.</v>
      </c>
      <c r="U166" s="381"/>
      <c r="V166" s="440" t="str">
        <f t="shared" si="101"/>
        <v>N.D.</v>
      </c>
      <c r="W166" s="381"/>
      <c r="X166" s="440" t="str">
        <f t="shared" si="102"/>
        <v>N.D.</v>
      </c>
      <c r="Y166" s="381"/>
      <c r="Z166" s="440" t="str">
        <f t="shared" si="103"/>
        <v>N.D.</v>
      </c>
      <c r="AA166" s="381">
        <f t="shared" si="80"/>
        <v>-216.7339999999999</v>
      </c>
      <c r="AB166" s="139">
        <f t="shared" si="104"/>
        <v>-0.12205470256437975</v>
      </c>
    </row>
    <row r="167" spans="2:28" ht="13" x14ac:dyDescent="0.3">
      <c r="B167" s="1" t="s">
        <v>122</v>
      </c>
      <c r="C167" s="381">
        <v>-30.951000000000011</v>
      </c>
      <c r="D167" s="440">
        <f t="shared" ref="D167:F173" si="105">IF(C$145=0,"N.D.",C167/C$145)</f>
        <v>-0.12248071831927856</v>
      </c>
      <c r="E167" s="381">
        <v>-30.818999999999978</v>
      </c>
      <c r="F167" s="440">
        <f>IF(E$145=0,"N.D.",E167/E$145)</f>
        <v>-0.13255084793146002</v>
      </c>
      <c r="G167" s="381">
        <v>-16.432999999999982</v>
      </c>
      <c r="H167" s="440">
        <f t="shared" si="94"/>
        <v>-6.1017314168804723E-2</v>
      </c>
      <c r="I167" s="381">
        <v>-27.24199999999998</v>
      </c>
      <c r="J167" s="440">
        <f t="shared" si="95"/>
        <v>-0.11199085721802896</v>
      </c>
      <c r="K167" s="381">
        <v>-20.578999999999997</v>
      </c>
      <c r="L167" s="440">
        <f t="shared" si="96"/>
        <v>-7.8764960519919908E-2</v>
      </c>
      <c r="M167" s="381">
        <v>-20.266999999999985</v>
      </c>
      <c r="N167" s="440">
        <f t="shared" si="97"/>
        <v>-7.8453308146106501E-2</v>
      </c>
      <c r="O167" s="381">
        <v>-19.014999999999976</v>
      </c>
      <c r="P167" s="440">
        <f t="shared" si="98"/>
        <v>-7.3606831519130334E-2</v>
      </c>
      <c r="Q167" s="381"/>
      <c r="R167" s="440" t="str">
        <f t="shared" si="99"/>
        <v>N.D.</v>
      </c>
      <c r="S167" s="381"/>
      <c r="T167" s="440" t="str">
        <f t="shared" si="100"/>
        <v>N.D.</v>
      </c>
      <c r="U167" s="381"/>
      <c r="V167" s="440" t="str">
        <f t="shared" si="101"/>
        <v>N.D.</v>
      </c>
      <c r="W167" s="381"/>
      <c r="X167" s="440" t="str">
        <f t="shared" si="102"/>
        <v>N.D.</v>
      </c>
      <c r="Y167" s="381"/>
      <c r="Z167" s="440" t="str">
        <f t="shared" si="103"/>
        <v>N.D.</v>
      </c>
      <c r="AA167" s="381">
        <f t="shared" si="80"/>
        <v>-165.30599999999993</v>
      </c>
      <c r="AB167" s="139">
        <f t="shared" si="104"/>
        <v>-9.3092798832243029E-2</v>
      </c>
    </row>
    <row r="168" spans="2:28" s="130" customFormat="1" ht="13" x14ac:dyDescent="0.3">
      <c r="B168" s="1" t="s">
        <v>194</v>
      </c>
      <c r="C168" s="373"/>
      <c r="D168" s="407">
        <f t="shared" si="105"/>
        <v>0</v>
      </c>
      <c r="E168" s="373"/>
      <c r="F168" s="407">
        <f t="shared" si="105"/>
        <v>0</v>
      </c>
      <c r="G168" s="373">
        <v>0</v>
      </c>
      <c r="H168" s="407">
        <f t="shared" si="94"/>
        <v>0</v>
      </c>
      <c r="I168" s="373">
        <v>0</v>
      </c>
      <c r="J168" s="407">
        <f t="shared" si="95"/>
        <v>0</v>
      </c>
      <c r="K168" s="373">
        <v>0</v>
      </c>
      <c r="L168" s="407">
        <f t="shared" si="96"/>
        <v>0</v>
      </c>
      <c r="M168" s="373">
        <v>0</v>
      </c>
      <c r="N168" s="407">
        <f t="shared" si="97"/>
        <v>0</v>
      </c>
      <c r="O168" s="373">
        <v>0</v>
      </c>
      <c r="P168" s="407">
        <f t="shared" si="98"/>
        <v>0</v>
      </c>
      <c r="Q168" s="373"/>
      <c r="R168" s="407" t="str">
        <f t="shared" si="99"/>
        <v>N.D.</v>
      </c>
      <c r="S168" s="373"/>
      <c r="T168" s="407" t="str">
        <f t="shared" si="100"/>
        <v>N.D.</v>
      </c>
      <c r="U168" s="373"/>
      <c r="V168" s="407" t="str">
        <f t="shared" si="101"/>
        <v>N.D.</v>
      </c>
      <c r="W168" s="373"/>
      <c r="X168" s="407" t="str">
        <f t="shared" si="102"/>
        <v>N.D.</v>
      </c>
      <c r="Y168" s="373"/>
      <c r="Z168" s="407" t="str">
        <f t="shared" si="103"/>
        <v>N.D.</v>
      </c>
      <c r="AA168" s="373"/>
      <c r="AB168" s="360">
        <f t="shared" si="104"/>
        <v>0</v>
      </c>
    </row>
    <row r="169" spans="2:28" s="130" customFormat="1" ht="13" x14ac:dyDescent="0.3">
      <c r="B169" s="1" t="s">
        <v>123</v>
      </c>
      <c r="C169" s="408"/>
      <c r="D169" s="409">
        <f t="shared" si="105"/>
        <v>0</v>
      </c>
      <c r="E169" s="408"/>
      <c r="F169" s="409">
        <f t="shared" si="105"/>
        <v>0</v>
      </c>
      <c r="G169" s="408"/>
      <c r="H169" s="409">
        <f t="shared" si="94"/>
        <v>0</v>
      </c>
      <c r="I169" s="408"/>
      <c r="J169" s="409">
        <f t="shared" si="95"/>
        <v>0</v>
      </c>
      <c r="K169" s="408"/>
      <c r="L169" s="409">
        <f t="shared" si="96"/>
        <v>0</v>
      </c>
      <c r="M169" s="408"/>
      <c r="N169" s="409">
        <f t="shared" si="97"/>
        <v>0</v>
      </c>
      <c r="O169" s="408"/>
      <c r="P169" s="409">
        <f t="shared" si="98"/>
        <v>0</v>
      </c>
      <c r="Q169" s="408"/>
      <c r="R169" s="409" t="str">
        <f t="shared" si="99"/>
        <v>N.D.</v>
      </c>
      <c r="S169" s="408"/>
      <c r="T169" s="409" t="str">
        <f t="shared" si="100"/>
        <v>N.D.</v>
      </c>
      <c r="U169" s="408"/>
      <c r="V169" s="409" t="str">
        <f t="shared" si="101"/>
        <v>N.D.</v>
      </c>
      <c r="W169" s="408"/>
      <c r="X169" s="409" t="str">
        <f t="shared" si="102"/>
        <v>N.D.</v>
      </c>
      <c r="Y169" s="408"/>
      <c r="Z169" s="409" t="str">
        <f t="shared" si="103"/>
        <v>N.D.</v>
      </c>
      <c r="AA169" s="408"/>
      <c r="AB169" s="361">
        <f t="shared" si="104"/>
        <v>0</v>
      </c>
    </row>
    <row r="170" spans="2:28" s="130" customFormat="1" ht="13" x14ac:dyDescent="0.3">
      <c r="B170" s="7" t="s">
        <v>190</v>
      </c>
      <c r="C170" s="410">
        <f>+C166+C168+C169+C152</f>
        <v>-30.951000000000011</v>
      </c>
      <c r="D170" s="409">
        <f t="shared" si="105"/>
        <v>-0.12248071831927856</v>
      </c>
      <c r="E170" s="410">
        <f>+E166+E168+E169+E152</f>
        <v>-28.607999999999979</v>
      </c>
      <c r="F170" s="409">
        <f t="shared" si="105"/>
        <v>-0.12304145681635383</v>
      </c>
      <c r="G170" s="410">
        <v>-14.221999999999984</v>
      </c>
      <c r="H170" s="409">
        <f t="shared" si="94"/>
        <v>-5.2807657890144265E-2</v>
      </c>
      <c r="I170" s="410">
        <v>-25.030999999999981</v>
      </c>
      <c r="J170" s="409">
        <f t="shared" si="95"/>
        <v>-0.10290151776758251</v>
      </c>
      <c r="K170" s="410">
        <v>-18.367999999999999</v>
      </c>
      <c r="L170" s="409">
        <f t="shared" si="96"/>
        <v>-7.0302482862621557E-2</v>
      </c>
      <c r="M170" s="410">
        <v>-18.055999999999987</v>
      </c>
      <c r="N170" s="409">
        <f t="shared" si="97"/>
        <v>-6.9894554294473735E-2</v>
      </c>
      <c r="O170" s="410">
        <v>-16.803999999999977</v>
      </c>
      <c r="P170" s="409">
        <f t="shared" si="98"/>
        <v>-6.5048077667497553E-2</v>
      </c>
      <c r="Q170" s="410"/>
      <c r="R170" s="409" t="str">
        <f t="shared" si="99"/>
        <v>N.D.</v>
      </c>
      <c r="S170" s="410"/>
      <c r="T170" s="409" t="str">
        <f t="shared" si="100"/>
        <v>N.D.</v>
      </c>
      <c r="U170" s="410"/>
      <c r="V170" s="409" t="str">
        <f t="shared" si="101"/>
        <v>N.D.</v>
      </c>
      <c r="W170" s="410"/>
      <c r="X170" s="409" t="str">
        <f t="shared" si="102"/>
        <v>N.D.</v>
      </c>
      <c r="Y170" s="410"/>
      <c r="Z170" s="409" t="str">
        <f t="shared" si="103"/>
        <v>N.D.</v>
      </c>
      <c r="AA170" s="410"/>
      <c r="AB170" s="361">
        <f t="shared" si="104"/>
        <v>0</v>
      </c>
    </row>
    <row r="171" spans="2:28" s="130" customFormat="1" ht="13" x14ac:dyDescent="0.3">
      <c r="B171" s="7" t="s">
        <v>191</v>
      </c>
      <c r="C171" s="516">
        <v>0</v>
      </c>
      <c r="D171" s="411">
        <f t="shared" si="105"/>
        <v>0</v>
      </c>
      <c r="E171" s="516">
        <v>0</v>
      </c>
      <c r="F171" s="411">
        <f t="shared" si="105"/>
        <v>0</v>
      </c>
      <c r="G171" s="516">
        <v>0</v>
      </c>
      <c r="H171" s="411">
        <f t="shared" si="94"/>
        <v>0</v>
      </c>
      <c r="I171" s="516">
        <v>0</v>
      </c>
      <c r="J171" s="411">
        <f t="shared" si="95"/>
        <v>0</v>
      </c>
      <c r="K171" s="516">
        <v>0</v>
      </c>
      <c r="L171" s="411">
        <f t="shared" si="96"/>
        <v>0</v>
      </c>
      <c r="M171" s="516">
        <v>0</v>
      </c>
      <c r="N171" s="411">
        <f t="shared" si="97"/>
        <v>0</v>
      </c>
      <c r="O171" s="516">
        <v>0</v>
      </c>
      <c r="P171" s="411">
        <f t="shared" si="98"/>
        <v>0</v>
      </c>
      <c r="Q171" s="516"/>
      <c r="R171" s="411" t="str">
        <f t="shared" si="99"/>
        <v>N.D.</v>
      </c>
      <c r="S171" s="516"/>
      <c r="T171" s="411" t="str">
        <f t="shared" si="100"/>
        <v>N.D.</v>
      </c>
      <c r="U171" s="516"/>
      <c r="V171" s="411" t="str">
        <f t="shared" si="101"/>
        <v>N.D.</v>
      </c>
      <c r="W171" s="516"/>
      <c r="X171" s="411" t="str">
        <f t="shared" si="102"/>
        <v>N.D.</v>
      </c>
      <c r="Y171" s="516"/>
      <c r="Z171" s="411" t="str">
        <f t="shared" si="103"/>
        <v>N.D.</v>
      </c>
      <c r="AA171" s="381"/>
      <c r="AB171" s="151">
        <f t="shared" si="104"/>
        <v>0</v>
      </c>
    </row>
    <row r="172" spans="2:28" s="130" customFormat="1" ht="13" x14ac:dyDescent="0.3">
      <c r="B172" s="7" t="s">
        <v>84</v>
      </c>
      <c r="C172" s="381">
        <f>+C170-C171</f>
        <v>-30.951000000000011</v>
      </c>
      <c r="D172" s="411">
        <f t="shared" si="105"/>
        <v>-0.12248071831927856</v>
      </c>
      <c r="E172" s="381">
        <f>+E170-E171</f>
        <v>-28.607999999999979</v>
      </c>
      <c r="F172" s="411">
        <f t="shared" si="105"/>
        <v>-0.12304145681635383</v>
      </c>
      <c r="G172" s="381">
        <v>-14.221999999999984</v>
      </c>
      <c r="H172" s="411">
        <f t="shared" si="94"/>
        <v>-5.2807657890144265E-2</v>
      </c>
      <c r="I172" s="381">
        <v>-25.030999999999981</v>
      </c>
      <c r="J172" s="411">
        <f t="shared" si="95"/>
        <v>-0.10290151776758251</v>
      </c>
      <c r="K172" s="381">
        <v>-18.367999999999999</v>
      </c>
      <c r="L172" s="411">
        <f t="shared" si="96"/>
        <v>-7.0302482862621557E-2</v>
      </c>
      <c r="M172" s="381">
        <v>-18.055999999999987</v>
      </c>
      <c r="N172" s="411">
        <f t="shared" si="97"/>
        <v>-6.9894554294473735E-2</v>
      </c>
      <c r="O172" s="381">
        <v>-16.803999999999977</v>
      </c>
      <c r="P172" s="411">
        <f t="shared" si="98"/>
        <v>-6.5048077667497553E-2</v>
      </c>
      <c r="Q172" s="381"/>
      <c r="R172" s="411" t="str">
        <f t="shared" si="99"/>
        <v>N.D.</v>
      </c>
      <c r="S172" s="381"/>
      <c r="T172" s="411" t="str">
        <f t="shared" si="100"/>
        <v>N.D.</v>
      </c>
      <c r="U172" s="381"/>
      <c r="V172" s="411" t="str">
        <f t="shared" si="101"/>
        <v>N.D.</v>
      </c>
      <c r="W172" s="381"/>
      <c r="X172" s="411" t="str">
        <f t="shared" si="102"/>
        <v>N.D.</v>
      </c>
      <c r="Y172" s="381"/>
      <c r="Z172" s="411" t="str">
        <f t="shared" si="103"/>
        <v>N.D.</v>
      </c>
      <c r="AA172" s="381"/>
      <c r="AB172" s="151">
        <f t="shared" si="104"/>
        <v>0</v>
      </c>
    </row>
    <row r="173" spans="2:28" s="130" customFormat="1" ht="13" x14ac:dyDescent="0.3">
      <c r="B173" s="1" t="s">
        <v>193</v>
      </c>
      <c r="C173" s="412"/>
      <c r="D173" s="411">
        <f t="shared" si="105"/>
        <v>0</v>
      </c>
      <c r="E173" s="412"/>
      <c r="F173" s="411">
        <f t="shared" si="105"/>
        <v>0</v>
      </c>
      <c r="G173" s="412" t="s">
        <v>451</v>
      </c>
      <c r="H173" s="411" t="e">
        <f t="shared" si="94"/>
        <v>#VALUE!</v>
      </c>
      <c r="I173" s="412" t="s">
        <v>451</v>
      </c>
      <c r="J173" s="411" t="e">
        <f t="shared" si="95"/>
        <v>#VALUE!</v>
      </c>
      <c r="K173" s="412" t="s">
        <v>451</v>
      </c>
      <c r="L173" s="411" t="e">
        <f t="shared" si="96"/>
        <v>#VALUE!</v>
      </c>
      <c r="M173" s="412" t="s">
        <v>451</v>
      </c>
      <c r="N173" s="411" t="e">
        <f t="shared" si="97"/>
        <v>#VALUE!</v>
      </c>
      <c r="O173" s="412" t="s">
        <v>451</v>
      </c>
      <c r="P173" s="411" t="e">
        <f t="shared" si="98"/>
        <v>#VALUE!</v>
      </c>
      <c r="Q173" s="412"/>
      <c r="R173" s="411" t="str">
        <f t="shared" si="99"/>
        <v>N.D.</v>
      </c>
      <c r="S173" s="412"/>
      <c r="T173" s="411" t="str">
        <f t="shared" si="100"/>
        <v>N.D.</v>
      </c>
      <c r="U173" s="412"/>
      <c r="V173" s="411" t="str">
        <f t="shared" si="101"/>
        <v>N.D.</v>
      </c>
      <c r="W173" s="412"/>
      <c r="X173" s="411" t="str">
        <f t="shared" si="102"/>
        <v>N.D.</v>
      </c>
      <c r="Y173" s="412"/>
      <c r="Z173" s="411" t="str">
        <f t="shared" si="103"/>
        <v>N.D.</v>
      </c>
      <c r="AA173" s="412"/>
      <c r="AB173" s="151">
        <f t="shared" si="104"/>
        <v>0</v>
      </c>
    </row>
    <row r="174" spans="2:28" x14ac:dyDescent="0.25">
      <c r="D174" s="429"/>
      <c r="F174" s="429"/>
      <c r="H174" s="429"/>
      <c r="J174" s="429"/>
      <c r="L174" s="429"/>
      <c r="N174" s="429"/>
      <c r="P174" s="429"/>
      <c r="R174" s="429"/>
      <c r="T174" s="429"/>
      <c r="V174" s="429"/>
      <c r="X174" s="429"/>
      <c r="Z174" s="429"/>
      <c r="AB174" s="130"/>
    </row>
    <row r="175" spans="2:28" ht="13" x14ac:dyDescent="0.3">
      <c r="B175" s="250" t="s">
        <v>328</v>
      </c>
      <c r="C175" s="396" t="s">
        <v>418</v>
      </c>
      <c r="D175" s="397"/>
      <c r="E175" s="396" t="s">
        <v>419</v>
      </c>
      <c r="F175" s="397"/>
      <c r="G175" s="396" t="s">
        <v>417</v>
      </c>
      <c r="H175" s="397"/>
      <c r="I175" s="396" t="s">
        <v>420</v>
      </c>
      <c r="J175" s="397"/>
      <c r="K175" s="396" t="s">
        <v>421</v>
      </c>
      <c r="L175" s="397"/>
      <c r="M175" s="396" t="s">
        <v>422</v>
      </c>
      <c r="N175" s="397"/>
      <c r="O175" s="396" t="s">
        <v>423</v>
      </c>
      <c r="P175" s="397"/>
      <c r="Q175" s="396" t="s">
        <v>428</v>
      </c>
      <c r="R175" s="397"/>
      <c r="S175" s="396" t="s">
        <v>424</v>
      </c>
      <c r="T175" s="397"/>
      <c r="U175" s="396" t="s">
        <v>425</v>
      </c>
      <c r="V175" s="397"/>
      <c r="W175" s="396" t="s">
        <v>426</v>
      </c>
      <c r="X175" s="397"/>
      <c r="Y175" s="396" t="s">
        <v>427</v>
      </c>
      <c r="Z175" s="431"/>
      <c r="AA175" s="396" t="s">
        <v>497</v>
      </c>
      <c r="AB175" s="136"/>
    </row>
    <row r="176" spans="2:28" x14ac:dyDescent="0.25">
      <c r="B176" s="9" t="s">
        <v>38</v>
      </c>
      <c r="C176" s="314">
        <v>321.053</v>
      </c>
      <c r="D176" s="439">
        <f>IF(C$176=0,"N.D.",C176/C$176)</f>
        <v>1</v>
      </c>
      <c r="E176" s="314">
        <v>317.86</v>
      </c>
      <c r="F176" s="439">
        <f>IF(E$176=0,"N.D.",E176/E$176)</f>
        <v>1</v>
      </c>
      <c r="G176" s="314">
        <v>366.43900000000002</v>
      </c>
      <c r="H176" s="439">
        <f>IF(G$176=0,"N.D.",G176/G$176)</f>
        <v>1</v>
      </c>
      <c r="I176" s="314">
        <v>328.673</v>
      </c>
      <c r="J176" s="439">
        <f>IF(I$176=0,"N.D.",I176/I$176)</f>
        <v>1</v>
      </c>
      <c r="K176" s="314">
        <v>355.64800000000002</v>
      </c>
      <c r="L176" s="439">
        <f>IF(K$176=0,"N.D.",K176/K$176)</f>
        <v>1</v>
      </c>
      <c r="M176" s="314">
        <v>335.10500000000002</v>
      </c>
      <c r="N176" s="439">
        <f>IF(M$176=0,"N.D.",M176/M$176)</f>
        <v>1</v>
      </c>
      <c r="O176" s="314">
        <v>335.10500000000002</v>
      </c>
      <c r="P176" s="439">
        <f>IF(O$176=0,"N.D.",O176/O$176)</f>
        <v>1</v>
      </c>
      <c r="Q176" s="314"/>
      <c r="R176" s="439" t="str">
        <f>IF(Q$176=0,"N.D.",Q176/Q$176)</f>
        <v>N.D.</v>
      </c>
      <c r="S176" s="314"/>
      <c r="T176" s="439" t="str">
        <f>IF(S$176=0,"N.D.",S176/S$176)</f>
        <v>N.D.</v>
      </c>
      <c r="U176" s="314"/>
      <c r="V176" s="439" t="str">
        <f>IF(U$176=0,"N.D.",U176/U$176)</f>
        <v>N.D.</v>
      </c>
      <c r="W176" s="314"/>
      <c r="X176" s="439" t="str">
        <f>IF(W$176=0,"N.D.",W176/W$176)</f>
        <v>N.D.</v>
      </c>
      <c r="Y176" s="314"/>
      <c r="Z176" s="439" t="str">
        <f>IF(Y$176=0,"N.D.",Y176/Y$176)</f>
        <v>N.D.</v>
      </c>
      <c r="AA176" s="314">
        <f>+Y176+W176+U176+S176+Q176+O176+M176+K176+I176+G176+E176+C176</f>
        <v>2359.8830000000003</v>
      </c>
      <c r="AB176" s="138">
        <f>IF(AA$176=0,"N.D.",AA176/AA$176)</f>
        <v>1</v>
      </c>
    </row>
    <row r="177" spans="2:28" x14ac:dyDescent="0.25">
      <c r="B177" s="102" t="s">
        <v>39</v>
      </c>
      <c r="C177" s="314">
        <v>109.479</v>
      </c>
      <c r="D177" s="439">
        <f>IF(C$176=0,"N.D.",C177/C$176)</f>
        <v>0.34099977262321174</v>
      </c>
      <c r="E177" s="314">
        <v>108.39</v>
      </c>
      <c r="F177" s="439">
        <f>IF(E$176=0,"N.D.",E177/E$176)</f>
        <v>0.34099918202982443</v>
      </c>
      <c r="G177" s="314">
        <v>124.956</v>
      </c>
      <c r="H177" s="439">
        <f>IF(G$176=0,"N.D.",G177/G$176)</f>
        <v>0.34100082141911747</v>
      </c>
      <c r="I177" s="314">
        <v>112.078</v>
      </c>
      <c r="J177" s="439">
        <f>IF(I$176=0,"N.D.",I177/I$176)</f>
        <v>0.34100154256662396</v>
      </c>
      <c r="K177" s="314">
        <v>121.276</v>
      </c>
      <c r="L177" s="439">
        <f>IF(K$176=0,"N.D.",K177/K$176)</f>
        <v>0.34100008997660602</v>
      </c>
      <c r="M177" s="314">
        <v>114.271</v>
      </c>
      <c r="N177" s="439">
        <f>IF(M$176=0,"N.D.",M177/M$176)</f>
        <v>0.34100058190716342</v>
      </c>
      <c r="O177" s="314">
        <v>114.271</v>
      </c>
      <c r="P177" s="439">
        <f>IF(O$176=0,"N.D.",O177/O$176)</f>
        <v>0.34100058190716342</v>
      </c>
      <c r="Q177" s="314"/>
      <c r="R177" s="439" t="str">
        <f>IF(Q$176=0,"N.D.",Q177/Q$176)</f>
        <v>N.D.</v>
      </c>
      <c r="S177" s="314"/>
      <c r="T177" s="439" t="str">
        <f>IF(S$176=0,"N.D.",S177/S$176)</f>
        <v>N.D.</v>
      </c>
      <c r="U177" s="314"/>
      <c r="V177" s="439" t="str">
        <f>IF(U$176=0,"N.D.",U177/U$176)</f>
        <v>N.D.</v>
      </c>
      <c r="W177" s="314"/>
      <c r="X177" s="439" t="str">
        <f>IF(W$176=0,"N.D.",W177/W$176)</f>
        <v>N.D.</v>
      </c>
      <c r="Y177" s="314"/>
      <c r="Z177" s="439" t="str">
        <f>IF(Y$176=0,"N.D.",Y177/Y$176)</f>
        <v>N.D.</v>
      </c>
      <c r="AA177" s="314">
        <f t="shared" ref="AA177:AA198" si="106">+Y177+W177+U177+S177+Q177+O177+M177+K177+I177+G177+E177+C177</f>
        <v>804.721</v>
      </c>
      <c r="AB177" s="138">
        <f>IF(AA$176=0,"N.D.",AA177/AA$176)</f>
        <v>0.34100038010358985</v>
      </c>
    </row>
    <row r="178" spans="2:28" hidden="1" x14ac:dyDescent="0.25">
      <c r="B178" s="9" t="s">
        <v>219</v>
      </c>
      <c r="C178" s="314">
        <v>0</v>
      </c>
      <c r="D178" s="439">
        <f>IF(C$176=0,"N.D.",C178/C$176)</f>
        <v>0</v>
      </c>
      <c r="E178" s="314">
        <v>0</v>
      </c>
      <c r="F178" s="439">
        <f>IF(E$176=0,"N.D.",E178/E$176)</f>
        <v>0</v>
      </c>
      <c r="G178" s="314">
        <v>0</v>
      </c>
      <c r="H178" s="439">
        <f>IF(G$176=0,"N.D.",G178/G$176)</f>
        <v>0</v>
      </c>
      <c r="I178" s="314">
        <v>0</v>
      </c>
      <c r="J178" s="439">
        <f>IF(I$176=0,"N.D.",I178/I$176)</f>
        <v>0</v>
      </c>
      <c r="K178" s="314">
        <v>0</v>
      </c>
      <c r="L178" s="439">
        <f>IF(K$176=0,"N.D.",K178/K$176)</f>
        <v>0</v>
      </c>
      <c r="M178" s="314">
        <v>0</v>
      </c>
      <c r="N178" s="439">
        <f>IF(M$176=0,"N.D.",M178/M$176)</f>
        <v>0</v>
      </c>
      <c r="O178" s="314">
        <v>0</v>
      </c>
      <c r="P178" s="439">
        <f>IF(O$176=0,"N.D.",O178/O$176)</f>
        <v>0</v>
      </c>
      <c r="Q178" s="314"/>
      <c r="R178" s="439" t="str">
        <f>IF(Q$176=0,"N.D.",Q178/Q$176)</f>
        <v>N.D.</v>
      </c>
      <c r="S178" s="314"/>
      <c r="T178" s="439" t="str">
        <f>IF(S$176=0,"N.D.",S178/S$176)</f>
        <v>N.D.</v>
      </c>
      <c r="U178" s="314"/>
      <c r="V178" s="439" t="str">
        <f>IF(U$176=0,"N.D.",U178/U$176)</f>
        <v>N.D.</v>
      </c>
      <c r="W178" s="314"/>
      <c r="X178" s="439" t="str">
        <f>IF(W$176=0,"N.D.",W178/W$176)</f>
        <v>N.D.</v>
      </c>
      <c r="Y178" s="314"/>
      <c r="Z178" s="439" t="str">
        <f>IF(Y$176=0,"N.D.",Y178/Y$176)</f>
        <v>N.D.</v>
      </c>
      <c r="AA178" s="314"/>
      <c r="AB178" s="138">
        <f>IF(AA$176=0,"N.D.",AA178/AA$176)</f>
        <v>0</v>
      </c>
    </row>
    <row r="179" spans="2:28" ht="13" x14ac:dyDescent="0.3">
      <c r="B179" s="9" t="s">
        <v>40</v>
      </c>
      <c r="C179" s="381">
        <v>211.57400000000001</v>
      </c>
      <c r="D179" s="440">
        <f>IF(C$176=0,"N.D.",C179/C$176)</f>
        <v>0.65900022737678832</v>
      </c>
      <c r="E179" s="381">
        <v>209.47000000000003</v>
      </c>
      <c r="F179" s="440">
        <f>IF(E$176=0,"N.D.",E179/E$176)</f>
        <v>0.65900081797017562</v>
      </c>
      <c r="G179" s="381">
        <v>241.483</v>
      </c>
      <c r="H179" s="440">
        <f>IF(G$176=0,"N.D.",G179/G$176)</f>
        <v>0.65899917858088242</v>
      </c>
      <c r="I179" s="381">
        <v>216.595</v>
      </c>
      <c r="J179" s="440">
        <f>IF(I$176=0,"N.D.",I179/I$176)</f>
        <v>0.65899845743337604</v>
      </c>
      <c r="K179" s="381">
        <v>234.37200000000001</v>
      </c>
      <c r="L179" s="440">
        <f>IF(K$176=0,"N.D.",K179/K$176)</f>
        <v>0.65899991002339386</v>
      </c>
      <c r="M179" s="381">
        <v>220.834</v>
      </c>
      <c r="N179" s="440">
        <f>IF(M$176=0,"N.D.",M179/M$176)</f>
        <v>0.65899941809283658</v>
      </c>
      <c r="O179" s="381">
        <v>220.834</v>
      </c>
      <c r="P179" s="440">
        <f>IF(O$176=0,"N.D.",O179/O$176)</f>
        <v>0.65899941809283658</v>
      </c>
      <c r="Q179" s="381"/>
      <c r="R179" s="440" t="str">
        <f>IF(Q$176=0,"N.D.",Q179/Q$176)</f>
        <v>N.D.</v>
      </c>
      <c r="S179" s="381"/>
      <c r="T179" s="440" t="str">
        <f>IF(S$176=0,"N.D.",S179/S$176)</f>
        <v>N.D.</v>
      </c>
      <c r="U179" s="381"/>
      <c r="V179" s="440" t="str">
        <f>IF(U$176=0,"N.D.",U179/U$176)</f>
        <v>N.D.</v>
      </c>
      <c r="W179" s="381"/>
      <c r="X179" s="440" t="str">
        <f>IF(W$176=0,"N.D.",W179/W$176)</f>
        <v>N.D.</v>
      </c>
      <c r="Y179" s="381"/>
      <c r="Z179" s="440" t="str">
        <f>IF(Y$176=0,"N.D.",Y179/Y$176)</f>
        <v>N.D.</v>
      </c>
      <c r="AA179" s="381">
        <f t="shared" si="106"/>
        <v>1555.162</v>
      </c>
      <c r="AB179" s="139">
        <f>IF(AA$176=0,"N.D.",AA179/AA$176)</f>
        <v>0.65899961989641009</v>
      </c>
    </row>
    <row r="180" spans="2:28" x14ac:dyDescent="0.25">
      <c r="B180" s="9"/>
      <c r="C180" s="419"/>
      <c r="D180" s="441"/>
      <c r="E180" s="419"/>
      <c r="F180" s="441"/>
      <c r="G180" s="419"/>
      <c r="H180" s="441"/>
      <c r="I180" s="419"/>
      <c r="J180" s="441"/>
      <c r="K180" s="419"/>
      <c r="L180" s="441"/>
      <c r="M180" s="419"/>
      <c r="N180" s="441"/>
      <c r="O180" s="419"/>
      <c r="P180" s="441"/>
      <c r="Q180" s="419"/>
      <c r="R180" s="441"/>
      <c r="S180" s="419"/>
      <c r="T180" s="441"/>
      <c r="U180" s="419"/>
      <c r="V180" s="441"/>
      <c r="W180" s="419"/>
      <c r="X180" s="441"/>
      <c r="Y180" s="419"/>
      <c r="Z180" s="441"/>
      <c r="AA180" s="419"/>
      <c r="AB180" s="141"/>
    </row>
    <row r="181" spans="2:28" x14ac:dyDescent="0.25">
      <c r="B181" s="9" t="s">
        <v>41</v>
      </c>
      <c r="C181" s="418">
        <v>209.108</v>
      </c>
      <c r="D181" s="442">
        <f>IF(C$176=0,"N.D.",C181/C$176)</f>
        <v>0.65131925258446421</v>
      </c>
      <c r="E181" s="418">
        <v>201.40899999999999</v>
      </c>
      <c r="F181" s="442">
        <f>IF(E$176=0,"N.D.",E181/E$176)</f>
        <v>0.63364059648902027</v>
      </c>
      <c r="G181" s="418">
        <v>218.16300000000001</v>
      </c>
      <c r="H181" s="442">
        <f>IF(G$176=0,"N.D.",G181/G$176)</f>
        <v>0.59535966422787967</v>
      </c>
      <c r="I181" s="418">
        <v>204.7</v>
      </c>
      <c r="J181" s="442">
        <f>IF(I$176=0,"N.D.",I181/I$176)</f>
        <v>0.62280747125562486</v>
      </c>
      <c r="K181" s="418">
        <v>215.916</v>
      </c>
      <c r="L181" s="442">
        <f>IF(K$176=0,"N.D.",K181/K$176)</f>
        <v>0.607105902465359</v>
      </c>
      <c r="M181" s="418">
        <v>203.011</v>
      </c>
      <c r="N181" s="442">
        <f>IF(M$176=0,"N.D.",M181/M$176)</f>
        <v>0.60581310335566463</v>
      </c>
      <c r="O181" s="418">
        <v>203.011</v>
      </c>
      <c r="P181" s="442">
        <f>IF(O$176=0,"N.D.",O181/O$176)</f>
        <v>0.60581310335566463</v>
      </c>
      <c r="Q181" s="418"/>
      <c r="R181" s="442" t="str">
        <f>IF(Q$176=0,"N.D.",Q181/Q$176)</f>
        <v>N.D.</v>
      </c>
      <c r="S181" s="418"/>
      <c r="T181" s="442" t="str">
        <f>IF(S$176=0,"N.D.",S181/S$176)</f>
        <v>N.D.</v>
      </c>
      <c r="U181" s="418"/>
      <c r="V181" s="442" t="str">
        <f>IF(U$176=0,"N.D.",U181/U$176)</f>
        <v>N.D.</v>
      </c>
      <c r="W181" s="418"/>
      <c r="X181" s="442" t="str">
        <f>IF(W$176=0,"N.D.",W181/W$176)</f>
        <v>N.D.</v>
      </c>
      <c r="Y181" s="418"/>
      <c r="Z181" s="442" t="str">
        <f>IF(Y$176=0,"N.D.",Y181/Y$176)</f>
        <v>N.D.</v>
      </c>
      <c r="AA181" s="418">
        <f t="shared" si="106"/>
        <v>1455.318</v>
      </c>
      <c r="AB181" s="142">
        <f>IF(AA$176=0,"N.D.",AA181/AA$176)</f>
        <v>0.61669074271902458</v>
      </c>
    </row>
    <row r="182" spans="2:28" x14ac:dyDescent="0.25">
      <c r="B182" s="9" t="s">
        <v>42</v>
      </c>
      <c r="C182" s="314">
        <v>21.408000000000001</v>
      </c>
      <c r="D182" s="439">
        <f>IF(C$176=0,"N.D.",C182/C$176)</f>
        <v>6.6680579219007455E-2</v>
      </c>
      <c r="E182" s="314">
        <v>16.814</v>
      </c>
      <c r="F182" s="439">
        <f>IF(E$176=0,"N.D.",E182/E$176)</f>
        <v>5.2897502044925437E-2</v>
      </c>
      <c r="G182" s="314">
        <v>16.027999999999999</v>
      </c>
      <c r="H182" s="439">
        <f>IF(G$176=0,"N.D.",G182/G$176)</f>
        <v>4.3739885765434347E-2</v>
      </c>
      <c r="I182" s="314">
        <v>17.399000000000001</v>
      </c>
      <c r="J182" s="439">
        <f>IF(I$176=0,"N.D.",I182/I$176)</f>
        <v>5.2937113787868188E-2</v>
      </c>
      <c r="K182" s="314">
        <v>19.305</v>
      </c>
      <c r="L182" s="439">
        <f>IF(K$176=0,"N.D.",K182/K$176)</f>
        <v>5.4281199388159077E-2</v>
      </c>
      <c r="M182" s="314">
        <v>17.327999999999999</v>
      </c>
      <c r="N182" s="439">
        <f>IF(M$176=0,"N.D.",M182/M$176)</f>
        <v>5.1709165783858785E-2</v>
      </c>
      <c r="O182" s="314">
        <v>15.369</v>
      </c>
      <c r="P182" s="439">
        <f>IF(O$176=0,"N.D.",O182/O$176)</f>
        <v>4.5863236895898295E-2</v>
      </c>
      <c r="Q182" s="314"/>
      <c r="R182" s="439" t="str">
        <f>IF(Q$176=0,"N.D.",Q182/Q$176)</f>
        <v>N.D.</v>
      </c>
      <c r="S182" s="314"/>
      <c r="T182" s="439" t="str">
        <f>IF(S$176=0,"N.D.",S182/S$176)</f>
        <v>N.D.</v>
      </c>
      <c r="U182" s="314"/>
      <c r="V182" s="439" t="str">
        <f>IF(U$176=0,"N.D.",U182/U$176)</f>
        <v>N.D.</v>
      </c>
      <c r="W182" s="314"/>
      <c r="X182" s="439" t="str">
        <f>IF(W$176=0,"N.D.",W182/W$176)</f>
        <v>N.D.</v>
      </c>
      <c r="Y182" s="314"/>
      <c r="Z182" s="439" t="str">
        <f>IF(Y$176=0,"N.D.",Y182/Y$176)</f>
        <v>N.D.</v>
      </c>
      <c r="AA182" s="314">
        <f t="shared" si="106"/>
        <v>123.651</v>
      </c>
      <c r="AB182" s="138">
        <f>IF(AA$176=0,"N.D.",AA182/AA$176)</f>
        <v>5.2397089177726175E-2</v>
      </c>
    </row>
    <row r="183" spans="2:28" x14ac:dyDescent="0.25">
      <c r="B183" s="9" t="s">
        <v>43</v>
      </c>
      <c r="C183" s="314">
        <v>14.724</v>
      </c>
      <c r="D183" s="445">
        <f>IF(C$176=0,"N.D.",C183/C$176)</f>
        <v>4.5861586716211968E-2</v>
      </c>
      <c r="E183" s="314">
        <v>14.724</v>
      </c>
      <c r="F183" s="445">
        <f>IF(E$176=0,"N.D.",E183/E$176)</f>
        <v>4.6322280249166299E-2</v>
      </c>
      <c r="G183" s="314">
        <v>14.724</v>
      </c>
      <c r="H183" s="445">
        <f>IF(G$176=0,"N.D.",G183/G$176)</f>
        <v>4.0181312578628364E-2</v>
      </c>
      <c r="I183" s="314">
        <v>14.724</v>
      </c>
      <c r="J183" s="445">
        <f>IF(I$176=0,"N.D.",I183/I$176)</f>
        <v>4.4798325387238991E-2</v>
      </c>
      <c r="K183" s="314">
        <v>14.724</v>
      </c>
      <c r="L183" s="445">
        <f>IF(K$176=0,"N.D.",K183/K$176)</f>
        <v>4.1400485873672843E-2</v>
      </c>
      <c r="M183" s="314">
        <v>14.724</v>
      </c>
      <c r="N183" s="445">
        <f>IF(M$176=0,"N.D.",M183/M$176)</f>
        <v>4.3938467047641781E-2</v>
      </c>
      <c r="O183" s="314">
        <v>14.724</v>
      </c>
      <c r="P183" s="445">
        <f>IF(O$176=0,"N.D.",O183/O$176)</f>
        <v>4.3938467047641781E-2</v>
      </c>
      <c r="Q183" s="314"/>
      <c r="R183" s="445" t="str">
        <f>IF(Q$176=0,"N.D.",Q183/Q$176)</f>
        <v>N.D.</v>
      </c>
      <c r="S183" s="314"/>
      <c r="T183" s="445" t="str">
        <f>IF(S$176=0,"N.D.",S183/S$176)</f>
        <v>N.D.</v>
      </c>
      <c r="U183" s="314"/>
      <c r="V183" s="445" t="str">
        <f>IF(U$176=0,"N.D.",U183/U$176)</f>
        <v>N.D.</v>
      </c>
      <c r="W183" s="314"/>
      <c r="X183" s="445" t="str">
        <f>IF(W$176=0,"N.D.",W183/W$176)</f>
        <v>N.D.</v>
      </c>
      <c r="Y183" s="314"/>
      <c r="Z183" s="445" t="str">
        <f>IF(Y$176=0,"N.D.",Y183/Y$176)</f>
        <v>N.D.</v>
      </c>
      <c r="AA183" s="314">
        <f t="shared" si="106"/>
        <v>103.06800000000001</v>
      </c>
      <c r="AB183" s="147">
        <f>IF(AA$176=0,"N.D.",AA183/AA$176)</f>
        <v>4.3675046601886619E-2</v>
      </c>
    </row>
    <row r="184" spans="2:28" ht="13" x14ac:dyDescent="0.3">
      <c r="B184" s="102" t="s">
        <v>44</v>
      </c>
      <c r="C184" s="381">
        <v>245.24</v>
      </c>
      <c r="D184" s="440">
        <f>IF(C$176=0,"N.D.",C184/C$176)</f>
        <v>0.7638614185196837</v>
      </c>
      <c r="E184" s="381">
        <v>232.947</v>
      </c>
      <c r="F184" s="440">
        <f>IF(E$176=0,"N.D.",E184/E$176)</f>
        <v>0.73286037878311205</v>
      </c>
      <c r="G184" s="381">
        <v>248.91500000000002</v>
      </c>
      <c r="H184" s="440">
        <f>IF(G$176=0,"N.D.",G184/G$176)</f>
        <v>0.67928086257194242</v>
      </c>
      <c r="I184" s="381">
        <v>236.82299999999998</v>
      </c>
      <c r="J184" s="440">
        <f>IF(I$176=0,"N.D.",I184/I$176)</f>
        <v>0.72054291043073204</v>
      </c>
      <c r="K184" s="381">
        <v>249.94499999999999</v>
      </c>
      <c r="L184" s="440">
        <f>IF(K$176=0,"N.D.",K184/K$176)</f>
        <v>0.70278758772719085</v>
      </c>
      <c r="M184" s="381">
        <v>235.06299999999999</v>
      </c>
      <c r="N184" s="440">
        <f>IF(M$176=0,"N.D.",M184/M$176)</f>
        <v>0.70146073618716509</v>
      </c>
      <c r="O184" s="381">
        <v>233.10399999999998</v>
      </c>
      <c r="P184" s="440">
        <f>IF(O$176=0,"N.D.",O184/O$176)</f>
        <v>0.69561480729920466</v>
      </c>
      <c r="Q184" s="381"/>
      <c r="R184" s="440" t="str">
        <f>IF(Q$176=0,"N.D.",Q184/Q$176)</f>
        <v>N.D.</v>
      </c>
      <c r="S184" s="381"/>
      <c r="T184" s="440" t="str">
        <f>IF(S$176=0,"N.D.",S184/S$176)</f>
        <v>N.D.</v>
      </c>
      <c r="U184" s="381"/>
      <c r="V184" s="440" t="str">
        <f>IF(U$176=0,"N.D.",U184/U$176)</f>
        <v>N.D.</v>
      </c>
      <c r="W184" s="381"/>
      <c r="X184" s="440" t="str">
        <f>IF(W$176=0,"N.D.",W184/W$176)</f>
        <v>N.D.</v>
      </c>
      <c r="Y184" s="381"/>
      <c r="Z184" s="440" t="str">
        <f>IF(Y$176=0,"N.D.",Y184/Y$176)</f>
        <v>N.D.</v>
      </c>
      <c r="AA184" s="381">
        <f t="shared" si="106"/>
        <v>1682.037</v>
      </c>
      <c r="AB184" s="139">
        <f>IF(AA$176=0,"N.D.",AA184/AA$176)</f>
        <v>0.7127628784986374</v>
      </c>
    </row>
    <row r="185" spans="2:28" ht="13" x14ac:dyDescent="0.3">
      <c r="B185" s="9" t="s">
        <v>45</v>
      </c>
      <c r="C185" s="381">
        <v>-33.665999999999997</v>
      </c>
      <c r="D185" s="440">
        <f>IF(C$176=0,"N.D.",C185/C$176)</f>
        <v>-0.1048611911428954</v>
      </c>
      <c r="E185" s="381">
        <v>-23.476999999999975</v>
      </c>
      <c r="F185" s="440">
        <f>IF(E$176=0,"N.D.",E185/E$176)</f>
        <v>-7.3859560812936431E-2</v>
      </c>
      <c r="G185" s="381">
        <v>-7.4320000000000164</v>
      </c>
      <c r="H185" s="440">
        <f>IF(G$176=0,"N.D.",G185/G$176)</f>
        <v>-2.0281683991059948E-2</v>
      </c>
      <c r="I185" s="381">
        <v>-20.22799999999998</v>
      </c>
      <c r="J185" s="440">
        <f>IF(I$176=0,"N.D.",I185/I$176)</f>
        <v>-6.1544452997355975E-2</v>
      </c>
      <c r="K185" s="381">
        <v>-15.572999999999979</v>
      </c>
      <c r="L185" s="440">
        <f>IF(K$176=0,"N.D.",K185/K$176)</f>
        <v>-4.3787677703796948E-2</v>
      </c>
      <c r="M185" s="381">
        <v>-14.228999999999985</v>
      </c>
      <c r="N185" s="440">
        <f>IF(M$176=0,"N.D.",M185/M$176)</f>
        <v>-4.2461318094328598E-2</v>
      </c>
      <c r="O185" s="381">
        <v>-12.269999999999982</v>
      </c>
      <c r="P185" s="440">
        <f>IF(O$176=0,"N.D.",O185/O$176)</f>
        <v>-3.6615389206368094E-2</v>
      </c>
      <c r="Q185" s="381"/>
      <c r="R185" s="440" t="str">
        <f>IF(Q$176=0,"N.D.",Q185/Q$176)</f>
        <v>N.D.</v>
      </c>
      <c r="S185" s="381"/>
      <c r="T185" s="440" t="str">
        <f>IF(S$176=0,"N.D.",S185/S$176)</f>
        <v>N.D.</v>
      </c>
      <c r="U185" s="381"/>
      <c r="V185" s="440" t="str">
        <f>IF(U$176=0,"N.D.",U185/U$176)</f>
        <v>N.D.</v>
      </c>
      <c r="W185" s="381"/>
      <c r="X185" s="440" t="str">
        <f>IF(W$176=0,"N.D.",W185/W$176)</f>
        <v>N.D.</v>
      </c>
      <c r="Y185" s="381"/>
      <c r="Z185" s="440" t="str">
        <f>IF(Y$176=0,"N.D.",Y185/Y$176)</f>
        <v>N.D.</v>
      </c>
      <c r="AA185" s="381">
        <f t="shared" si="106"/>
        <v>-126.87499999999991</v>
      </c>
      <c r="AB185" s="139">
        <f>IF(AA$176=0,"N.D.",AA185/AA$176)</f>
        <v>-5.3763258602227269E-2</v>
      </c>
    </row>
    <row r="186" spans="2:28" x14ac:dyDescent="0.25">
      <c r="C186" s="419"/>
      <c r="D186" s="441"/>
      <c r="E186" s="419"/>
      <c r="F186" s="441"/>
      <c r="G186" s="419"/>
      <c r="H186" s="441"/>
      <c r="I186" s="419"/>
      <c r="J186" s="441"/>
      <c r="K186" s="419"/>
      <c r="L186" s="441"/>
      <c r="M186" s="419"/>
      <c r="N186" s="441"/>
      <c r="O186" s="419"/>
      <c r="P186" s="441"/>
      <c r="Q186" s="419"/>
      <c r="R186" s="441"/>
      <c r="S186" s="419"/>
      <c r="T186" s="441"/>
      <c r="U186" s="419"/>
      <c r="V186" s="441"/>
      <c r="W186" s="419"/>
      <c r="X186" s="441"/>
      <c r="Y186" s="419"/>
      <c r="Z186" s="441"/>
      <c r="AA186" s="419"/>
      <c r="AB186" s="141"/>
    </row>
    <row r="187" spans="2:28" x14ac:dyDescent="0.25">
      <c r="B187" s="9"/>
      <c r="C187" s="418"/>
      <c r="D187" s="442"/>
      <c r="E187" s="418"/>
      <c r="F187" s="442"/>
      <c r="G187" s="418"/>
      <c r="H187" s="442"/>
      <c r="I187" s="418"/>
      <c r="J187" s="442"/>
      <c r="K187" s="418"/>
      <c r="L187" s="442"/>
      <c r="M187" s="418"/>
      <c r="N187" s="442"/>
      <c r="O187" s="418"/>
      <c r="P187" s="442"/>
      <c r="Q187" s="418"/>
      <c r="R187" s="442"/>
      <c r="S187" s="418"/>
      <c r="T187" s="442"/>
      <c r="U187" s="418"/>
      <c r="V187" s="442"/>
      <c r="W187" s="418"/>
      <c r="X187" s="442"/>
      <c r="Y187" s="418"/>
      <c r="Z187" s="442"/>
      <c r="AA187" s="418">
        <f t="shared" si="106"/>
        <v>0</v>
      </c>
      <c r="AB187" s="142"/>
    </row>
    <row r="188" spans="2:28" x14ac:dyDescent="0.25">
      <c r="B188" s="9" t="s">
        <v>52</v>
      </c>
      <c r="C188" s="314">
        <v>0</v>
      </c>
      <c r="D188" s="439">
        <f>IF(C$176=0,"N.D.",C188/C$176)</f>
        <v>0</v>
      </c>
      <c r="E188" s="314">
        <v>-2.1680000000000001</v>
      </c>
      <c r="F188" s="439">
        <f>IF(E$176=0,"N.D.",E188/E$176)</f>
        <v>-6.8206128484238349E-3</v>
      </c>
      <c r="G188" s="314">
        <v>-2.1680000000000001</v>
      </c>
      <c r="H188" s="439">
        <f>IF(G$176=0,"N.D.",G188/G$176)</f>
        <v>-5.9164008197817369E-3</v>
      </c>
      <c r="I188" s="314">
        <v>-2.1680000000000001</v>
      </c>
      <c r="J188" s="439">
        <f>IF(I$176=0,"N.D.",I188/I$176)</f>
        <v>-6.5962217766594765E-3</v>
      </c>
      <c r="K188" s="314">
        <v>-2.1680000000000001</v>
      </c>
      <c r="L188" s="439">
        <f>IF(K$176=0,"N.D.",K188/K$176)</f>
        <v>-6.0959150620838584E-3</v>
      </c>
      <c r="M188" s="314">
        <v>-2.1680000000000001</v>
      </c>
      <c r="N188" s="439">
        <f>IF(M$176=0,"N.D.",M188/M$176)</f>
        <v>-6.4696140015815936E-3</v>
      </c>
      <c r="O188" s="314">
        <v>-2.1680000000000001</v>
      </c>
      <c r="P188" s="439">
        <f>IF(O$176=0,"N.D.",O188/O$176)</f>
        <v>-6.4696140015815936E-3</v>
      </c>
      <c r="Q188" s="314"/>
      <c r="R188" s="439" t="str">
        <f>IF(Q$176=0,"N.D.",Q188/Q$176)</f>
        <v>N.D.</v>
      </c>
      <c r="S188" s="314"/>
      <c r="T188" s="439" t="str">
        <f>IF(S$176=0,"N.D.",S188/S$176)</f>
        <v>N.D.</v>
      </c>
      <c r="U188" s="314"/>
      <c r="V188" s="439" t="str">
        <f>IF(U$176=0,"N.D.",U188/U$176)</f>
        <v>N.D.</v>
      </c>
      <c r="W188" s="314"/>
      <c r="X188" s="439" t="str">
        <f>IF(W$176=0,"N.D.",W188/W$176)</f>
        <v>N.D.</v>
      </c>
      <c r="Y188" s="314"/>
      <c r="Z188" s="439" t="str">
        <f>IF(Y$176=0,"N.D.",Y188/Y$176)</f>
        <v>N.D.</v>
      </c>
      <c r="AA188" s="314">
        <f t="shared" si="106"/>
        <v>-13.007999999999999</v>
      </c>
      <c r="AB188" s="138">
        <f>IF(AA$176=0,"N.D.",AA188/AA$176)</f>
        <v>-5.5121376780120019E-3</v>
      </c>
    </row>
    <row r="189" spans="2:28" x14ac:dyDescent="0.25">
      <c r="B189" s="9" t="s">
        <v>46</v>
      </c>
      <c r="C189" s="314">
        <v>0</v>
      </c>
      <c r="D189" s="439">
        <f>IF(C$176=0,"N.D.",C189/C$176)</f>
        <v>0</v>
      </c>
      <c r="E189" s="314">
        <v>0</v>
      </c>
      <c r="F189" s="439">
        <f>IF(E$176=0,"N.D.",E189/E$176)</f>
        <v>0</v>
      </c>
      <c r="G189" s="314">
        <v>0</v>
      </c>
      <c r="H189" s="439">
        <f>IF(G$176=0,"N.D.",G189/G$176)</f>
        <v>0</v>
      </c>
      <c r="I189" s="314">
        <v>0</v>
      </c>
      <c r="J189" s="439">
        <f>IF(I$176=0,"N.D.",I189/I$176)</f>
        <v>0</v>
      </c>
      <c r="K189" s="314">
        <v>0</v>
      </c>
      <c r="L189" s="439">
        <f>IF(K$176=0,"N.D.",K189/K$176)</f>
        <v>0</v>
      </c>
      <c r="M189" s="314">
        <v>0</v>
      </c>
      <c r="N189" s="439">
        <f>IF(M$176=0,"N.D.",M189/M$176)</f>
        <v>0</v>
      </c>
      <c r="O189" s="314">
        <v>0</v>
      </c>
      <c r="P189" s="439">
        <f>IF(O$176=0,"N.D.",O189/O$176)</f>
        <v>0</v>
      </c>
      <c r="Q189" s="314"/>
      <c r="R189" s="439" t="str">
        <f>IF(Q$176=0,"N.D.",Q189/Q$176)</f>
        <v>N.D.</v>
      </c>
      <c r="S189" s="314"/>
      <c r="T189" s="439" t="str">
        <f>IF(S$176=0,"N.D.",S189/S$176)</f>
        <v>N.D.</v>
      </c>
      <c r="U189" s="314"/>
      <c r="V189" s="439" t="str">
        <f>IF(U$176=0,"N.D.",U189/U$176)</f>
        <v>N.D.</v>
      </c>
      <c r="W189" s="314"/>
      <c r="X189" s="439" t="str">
        <f>IF(W$176=0,"N.D.",W189/W$176)</f>
        <v>N.D.</v>
      </c>
      <c r="Y189" s="314"/>
      <c r="Z189" s="439" t="str">
        <f>IF(Y$176=0,"N.D.",Y189/Y$176)</f>
        <v>N.D.</v>
      </c>
      <c r="AA189" s="314">
        <f t="shared" si="106"/>
        <v>0</v>
      </c>
      <c r="AB189" s="138">
        <f>IF(AA$176=0,"N.D.",AA189/AA$176)</f>
        <v>0</v>
      </c>
    </row>
    <row r="190" spans="2:28" x14ac:dyDescent="0.25">
      <c r="B190" s="9" t="s">
        <v>47</v>
      </c>
      <c r="C190" s="314">
        <v>0</v>
      </c>
      <c r="D190" s="439">
        <f>IF(C$176=0,"N.D.",C190/C$176)</f>
        <v>0</v>
      </c>
      <c r="E190" s="314">
        <v>0</v>
      </c>
      <c r="F190" s="439">
        <f>IF(E$176=0,"N.D.",E190/E$176)</f>
        <v>0</v>
      </c>
      <c r="G190" s="314">
        <v>0</v>
      </c>
      <c r="H190" s="439">
        <f>IF(G$176=0,"N.D.",G190/G$176)</f>
        <v>0</v>
      </c>
      <c r="I190" s="314">
        <v>0</v>
      </c>
      <c r="J190" s="439">
        <f>IF(I$176=0,"N.D.",I190/I$176)</f>
        <v>0</v>
      </c>
      <c r="K190" s="314">
        <v>0</v>
      </c>
      <c r="L190" s="439">
        <f>IF(K$176=0,"N.D.",K190/K$176)</f>
        <v>0</v>
      </c>
      <c r="M190" s="314">
        <v>0</v>
      </c>
      <c r="N190" s="439">
        <f>IF(M$176=0,"N.D.",M190/M$176)</f>
        <v>0</v>
      </c>
      <c r="O190" s="314">
        <v>0</v>
      </c>
      <c r="P190" s="439">
        <f>IF(O$176=0,"N.D.",O190/O$176)</f>
        <v>0</v>
      </c>
      <c r="Q190" s="314"/>
      <c r="R190" s="439" t="str">
        <f>IF(Q$176=0,"N.D.",Q190/Q$176)</f>
        <v>N.D.</v>
      </c>
      <c r="S190" s="314"/>
      <c r="T190" s="439" t="str">
        <f>IF(S$176=0,"N.D.",S190/S$176)</f>
        <v>N.D.</v>
      </c>
      <c r="U190" s="314"/>
      <c r="V190" s="439" t="str">
        <f>IF(U$176=0,"N.D.",U190/U$176)</f>
        <v>N.D.</v>
      </c>
      <c r="W190" s="314"/>
      <c r="X190" s="439" t="str">
        <f>IF(W$176=0,"N.D.",W190/W$176)</f>
        <v>N.D.</v>
      </c>
      <c r="Y190" s="314"/>
      <c r="Z190" s="439" t="str">
        <f>IF(Y$176=0,"N.D.",Y190/Y$176)</f>
        <v>N.D.</v>
      </c>
      <c r="AA190" s="314">
        <f t="shared" si="106"/>
        <v>0</v>
      </c>
      <c r="AB190" s="138">
        <f>IF(AA$176=0,"N.D.",AA190/AA$176)</f>
        <v>0</v>
      </c>
    </row>
    <row r="191" spans="2:28" x14ac:dyDescent="0.25">
      <c r="C191" s="314"/>
      <c r="D191" s="439"/>
      <c r="E191" s="314"/>
      <c r="F191" s="439"/>
      <c r="G191" s="314"/>
      <c r="H191" s="439"/>
      <c r="I191" s="314"/>
      <c r="J191" s="439"/>
      <c r="K191" s="314"/>
      <c r="L191" s="439"/>
      <c r="M191" s="314"/>
      <c r="N191" s="439"/>
      <c r="O191" s="314"/>
      <c r="P191" s="439"/>
      <c r="Q191" s="314"/>
      <c r="R191" s="439"/>
      <c r="S191" s="314"/>
      <c r="T191" s="439"/>
      <c r="U191" s="314"/>
      <c r="V191" s="439"/>
      <c r="W191" s="314"/>
      <c r="X191" s="439"/>
      <c r="Y191" s="314"/>
      <c r="Z191" s="439"/>
      <c r="AA191" s="314">
        <f t="shared" si="106"/>
        <v>0</v>
      </c>
      <c r="AB191" s="138"/>
    </row>
    <row r="192" spans="2:28" ht="13" x14ac:dyDescent="0.3">
      <c r="B192" s="9" t="s">
        <v>48</v>
      </c>
      <c r="C192" s="381">
        <v>0</v>
      </c>
      <c r="D192" s="440">
        <f>IF(C$176=0,"N.D.",C192/C$176)</f>
        <v>0</v>
      </c>
      <c r="E192" s="381">
        <v>-2.1680000000000001</v>
      </c>
      <c r="F192" s="440">
        <f>IF(E$176=0,"N.D.",E192/E$176)</f>
        <v>-6.8206128484238349E-3</v>
      </c>
      <c r="G192" s="381">
        <v>-2.1680000000000001</v>
      </c>
      <c r="H192" s="440">
        <f>IF(G$176=0,"N.D.",G192/G$176)</f>
        <v>-5.9164008197817369E-3</v>
      </c>
      <c r="I192" s="381">
        <v>-2.1680000000000001</v>
      </c>
      <c r="J192" s="440">
        <f>IF(I$176=0,"N.D.",I192/I$176)</f>
        <v>-6.5962217766594765E-3</v>
      </c>
      <c r="K192" s="381">
        <v>-2.1680000000000001</v>
      </c>
      <c r="L192" s="440">
        <f>IF(K$176=0,"N.D.",K192/K$176)</f>
        <v>-6.0959150620838584E-3</v>
      </c>
      <c r="M192" s="381">
        <v>-2.1680000000000001</v>
      </c>
      <c r="N192" s="440">
        <f>IF(M$176=0,"N.D.",M192/M$176)</f>
        <v>-6.4696140015815936E-3</v>
      </c>
      <c r="O192" s="381">
        <v>-2.1680000000000001</v>
      </c>
      <c r="P192" s="440">
        <f>IF(O$176=0,"N.D.",O192/O$176)</f>
        <v>-6.4696140015815936E-3</v>
      </c>
      <c r="Q192" s="381"/>
      <c r="R192" s="440" t="str">
        <f>IF(Q$176=0,"N.D.",Q192/Q$176)</f>
        <v>N.D.</v>
      </c>
      <c r="S192" s="381"/>
      <c r="T192" s="440" t="str">
        <f>IF(S$176=0,"N.D.",S192/S$176)</f>
        <v>N.D.</v>
      </c>
      <c r="U192" s="381"/>
      <c r="V192" s="440" t="str">
        <f>IF(U$176=0,"N.D.",U192/U$176)</f>
        <v>N.D.</v>
      </c>
      <c r="W192" s="381"/>
      <c r="X192" s="440" t="str">
        <f>IF(W$176=0,"N.D.",W192/W$176)</f>
        <v>N.D.</v>
      </c>
      <c r="Y192" s="381"/>
      <c r="Z192" s="440" t="str">
        <f>IF(Y$176=0,"N.D.",Y192/Y$176)</f>
        <v>N.D.</v>
      </c>
      <c r="AA192" s="381">
        <f t="shared" si="106"/>
        <v>-13.007999999999999</v>
      </c>
      <c r="AB192" s="139">
        <f>IF(AA$176=0,"N.D.",AA192/AA$176)</f>
        <v>-5.5121376780120019E-3</v>
      </c>
    </row>
    <row r="193" spans="2:28" ht="13" x14ac:dyDescent="0.3">
      <c r="B193" s="9" t="s">
        <v>49</v>
      </c>
      <c r="C193" s="381">
        <v>-33.665999999999997</v>
      </c>
      <c r="D193" s="440">
        <f>IF(C$176=0,"N.D.",C193/C$176)</f>
        <v>-0.1048611911428954</v>
      </c>
      <c r="E193" s="381">
        <v>-21.308999999999976</v>
      </c>
      <c r="F193" s="440">
        <f>IF(E$176=0,"N.D.",E193/E$176)</f>
        <v>-6.7038947964512596E-2</v>
      </c>
      <c r="G193" s="381">
        <v>-5.2640000000000162</v>
      </c>
      <c r="H193" s="440">
        <f>IF(G$176=0,"N.D.",G193/G$176)</f>
        <v>-1.436528317127821E-2</v>
      </c>
      <c r="I193" s="381">
        <v>-18.059999999999981</v>
      </c>
      <c r="J193" s="440">
        <f>IF(I$176=0,"N.D.",I193/I$176)</f>
        <v>-5.4948231220696503E-2</v>
      </c>
      <c r="K193" s="381">
        <v>-13.40499999999998</v>
      </c>
      <c r="L193" s="440">
        <f>IF(K$176=0,"N.D.",K193/K$176)</f>
        <v>-3.7691762641713096E-2</v>
      </c>
      <c r="M193" s="381">
        <v>-12.060999999999986</v>
      </c>
      <c r="N193" s="440">
        <f>IF(M$176=0,"N.D.",M193/M$176)</f>
        <v>-3.5991704092747004E-2</v>
      </c>
      <c r="O193" s="381">
        <v>-10.101999999999983</v>
      </c>
      <c r="P193" s="440">
        <f>IF(O$176=0,"N.D.",O193/O$176)</f>
        <v>-3.0145775204786507E-2</v>
      </c>
      <c r="Q193" s="381"/>
      <c r="R193" s="440" t="str">
        <f>IF(Q$176=0,"N.D.",Q193/Q$176)</f>
        <v>N.D.</v>
      </c>
      <c r="S193" s="381"/>
      <c r="T193" s="440" t="str">
        <f>IF(S$176=0,"N.D.",S193/S$176)</f>
        <v>N.D.</v>
      </c>
      <c r="U193" s="381"/>
      <c r="V193" s="440" t="str">
        <f>IF(U$176=0,"N.D.",U193/U$176)</f>
        <v>N.D.</v>
      </c>
      <c r="W193" s="381"/>
      <c r="X193" s="440" t="str">
        <f>IF(W$176=0,"N.D.",W193/W$176)</f>
        <v>N.D.</v>
      </c>
      <c r="Y193" s="381"/>
      <c r="Z193" s="440" t="str">
        <f>IF(Y$176=0,"N.D.",Y193/Y$176)</f>
        <v>N.D.</v>
      </c>
      <c r="AA193" s="381">
        <f t="shared" si="106"/>
        <v>-113.86699999999992</v>
      </c>
      <c r="AB193" s="139">
        <f>IF(AA$176=0,"N.D.",AA193/AA$176)</f>
        <v>-4.8251120924215268E-2</v>
      </c>
    </row>
    <row r="194" spans="2:28" x14ac:dyDescent="0.25">
      <c r="C194" s="419"/>
      <c r="D194" s="441"/>
      <c r="E194" s="419"/>
      <c r="F194" s="441"/>
      <c r="G194" s="419"/>
      <c r="H194" s="441"/>
      <c r="I194" s="419"/>
      <c r="J194" s="441"/>
      <c r="K194" s="419"/>
      <c r="L194" s="441"/>
      <c r="M194" s="419"/>
      <c r="N194" s="441"/>
      <c r="O194" s="419"/>
      <c r="P194" s="441"/>
      <c r="Q194" s="419"/>
      <c r="R194" s="441"/>
      <c r="S194" s="419"/>
      <c r="T194" s="441"/>
      <c r="U194" s="419"/>
      <c r="V194" s="441"/>
      <c r="W194" s="419"/>
      <c r="X194" s="441"/>
      <c r="Y194" s="419"/>
      <c r="Z194" s="441"/>
      <c r="AA194" s="419"/>
      <c r="AB194" s="141"/>
    </row>
    <row r="195" spans="2:28" x14ac:dyDescent="0.25">
      <c r="B195" s="9" t="s">
        <v>50</v>
      </c>
      <c r="C195" s="418">
        <v>0</v>
      </c>
      <c r="D195" s="442">
        <f t="shared" ref="D195:D204" si="107">IF(C$176=0,"N.D.",C195/C$176)</f>
        <v>0</v>
      </c>
      <c r="E195" s="418">
        <v>0</v>
      </c>
      <c r="F195" s="442">
        <f t="shared" ref="F195:F204" si="108">IF(E$176=0,"N.D.",E195/E$176)</f>
        <v>0</v>
      </c>
      <c r="G195" s="418">
        <v>0</v>
      </c>
      <c r="H195" s="442">
        <f t="shared" ref="H195:H204" si="109">IF(G$176=0,"N.D.",G195/G$176)</f>
        <v>0</v>
      </c>
      <c r="I195" s="418">
        <v>0</v>
      </c>
      <c r="J195" s="442">
        <f t="shared" ref="J195:J204" si="110">IF(I$176=0,"N.D.",I195/I$176)</f>
        <v>0</v>
      </c>
      <c r="K195" s="418">
        <v>0</v>
      </c>
      <c r="L195" s="442">
        <f t="shared" ref="L195:L204" si="111">IF(K$176=0,"N.D.",K195/K$176)</f>
        <v>0</v>
      </c>
      <c r="M195" s="418">
        <v>0</v>
      </c>
      <c r="N195" s="442">
        <f t="shared" ref="N195:N204" si="112">IF(M$176=0,"N.D.",M195/M$176)</f>
        <v>0</v>
      </c>
      <c r="O195" s="418">
        <v>0</v>
      </c>
      <c r="P195" s="442">
        <f t="shared" ref="P195:P204" si="113">IF(O$176=0,"N.D.",O195/O$176)</f>
        <v>0</v>
      </c>
      <c r="Q195" s="418"/>
      <c r="R195" s="442" t="str">
        <f t="shared" ref="R195:R204" si="114">IF(Q$176=0,"N.D.",Q195/Q$176)</f>
        <v>N.D.</v>
      </c>
      <c r="S195" s="418"/>
      <c r="T195" s="442" t="str">
        <f t="shared" ref="T195:T204" si="115">IF(S$176=0,"N.D.",S195/S$176)</f>
        <v>N.D.</v>
      </c>
      <c r="U195" s="418"/>
      <c r="V195" s="442" t="str">
        <f t="shared" ref="V195:V204" si="116">IF(U$176=0,"N.D.",U195/U$176)</f>
        <v>N.D.</v>
      </c>
      <c r="W195" s="418"/>
      <c r="X195" s="442" t="str">
        <f t="shared" ref="X195:X204" si="117">IF(W$176=0,"N.D.",W195/W$176)</f>
        <v>N.D.</v>
      </c>
      <c r="Y195" s="418"/>
      <c r="Z195" s="442" t="str">
        <f t="shared" ref="Z195:Z204" si="118">IF(Y$176=0,"N.D.",Y195/Y$176)</f>
        <v>N.D.</v>
      </c>
      <c r="AA195" s="418">
        <f t="shared" si="106"/>
        <v>0</v>
      </c>
      <c r="AB195" s="142">
        <f t="shared" ref="AB195:AB204" si="119">IF(AA$176=0,"N.D.",AA195/AA$176)</f>
        <v>0</v>
      </c>
    </row>
    <row r="196" spans="2:28" x14ac:dyDescent="0.25">
      <c r="B196" s="9" t="s">
        <v>51</v>
      </c>
      <c r="C196" s="314">
        <v>0</v>
      </c>
      <c r="D196" s="439">
        <f t="shared" si="107"/>
        <v>0</v>
      </c>
      <c r="E196" s="314">
        <v>0</v>
      </c>
      <c r="F196" s="439">
        <f t="shared" si="108"/>
        <v>0</v>
      </c>
      <c r="G196" s="314">
        <v>0</v>
      </c>
      <c r="H196" s="439">
        <f t="shared" si="109"/>
        <v>0</v>
      </c>
      <c r="I196" s="314">
        <v>0</v>
      </c>
      <c r="J196" s="439">
        <f t="shared" si="110"/>
        <v>0</v>
      </c>
      <c r="K196" s="314">
        <v>0</v>
      </c>
      <c r="L196" s="439">
        <f t="shared" si="111"/>
        <v>0</v>
      </c>
      <c r="M196" s="314">
        <v>0</v>
      </c>
      <c r="N196" s="439">
        <f t="shared" si="112"/>
        <v>0</v>
      </c>
      <c r="O196" s="314">
        <v>0</v>
      </c>
      <c r="P196" s="439">
        <f t="shared" si="113"/>
        <v>0</v>
      </c>
      <c r="Q196" s="314"/>
      <c r="R196" s="439" t="str">
        <f t="shared" si="114"/>
        <v>N.D.</v>
      </c>
      <c r="S196" s="314"/>
      <c r="T196" s="439" t="str">
        <f t="shared" si="115"/>
        <v>N.D.</v>
      </c>
      <c r="U196" s="314"/>
      <c r="V196" s="439" t="str">
        <f t="shared" si="116"/>
        <v>N.D.</v>
      </c>
      <c r="W196" s="314"/>
      <c r="X196" s="439" t="str">
        <f t="shared" si="117"/>
        <v>N.D.</v>
      </c>
      <c r="Y196" s="314"/>
      <c r="Z196" s="439" t="str">
        <f t="shared" si="118"/>
        <v>N.D.</v>
      </c>
      <c r="AA196" s="314">
        <f t="shared" si="106"/>
        <v>0</v>
      </c>
      <c r="AB196" s="138">
        <f t="shared" si="119"/>
        <v>0</v>
      </c>
    </row>
    <row r="197" spans="2:28" ht="13" x14ac:dyDescent="0.3">
      <c r="B197" s="1" t="s">
        <v>53</v>
      </c>
      <c r="C197" s="381">
        <v>-33.665999999999997</v>
      </c>
      <c r="D197" s="440">
        <f t="shared" si="107"/>
        <v>-0.1048611911428954</v>
      </c>
      <c r="E197" s="381">
        <v>-21.308999999999976</v>
      </c>
      <c r="F197" s="440">
        <f t="shared" si="108"/>
        <v>-6.7038947964512596E-2</v>
      </c>
      <c r="G197" s="381">
        <v>-5.2640000000000162</v>
      </c>
      <c r="H197" s="440">
        <f t="shared" si="109"/>
        <v>-1.436528317127821E-2</v>
      </c>
      <c r="I197" s="381">
        <v>-18.059999999999981</v>
      </c>
      <c r="J197" s="440">
        <f t="shared" si="110"/>
        <v>-5.4948231220696503E-2</v>
      </c>
      <c r="K197" s="381">
        <v>-13.40499999999998</v>
      </c>
      <c r="L197" s="440">
        <f t="shared" si="111"/>
        <v>-3.7691762641713096E-2</v>
      </c>
      <c r="M197" s="381">
        <v>-12.060999999999986</v>
      </c>
      <c r="N197" s="440">
        <f t="shared" si="112"/>
        <v>-3.5991704092747004E-2</v>
      </c>
      <c r="O197" s="381">
        <v>-10.101999999999983</v>
      </c>
      <c r="P197" s="440">
        <f t="shared" si="113"/>
        <v>-3.0145775204786507E-2</v>
      </c>
      <c r="Q197" s="381"/>
      <c r="R197" s="440" t="str">
        <f t="shared" si="114"/>
        <v>N.D.</v>
      </c>
      <c r="S197" s="381"/>
      <c r="T197" s="440" t="str">
        <f t="shared" si="115"/>
        <v>N.D.</v>
      </c>
      <c r="U197" s="381"/>
      <c r="V197" s="440" t="str">
        <f t="shared" si="116"/>
        <v>N.D.</v>
      </c>
      <c r="W197" s="381"/>
      <c r="X197" s="440" t="str">
        <f t="shared" si="117"/>
        <v>N.D.</v>
      </c>
      <c r="Y197" s="381"/>
      <c r="Z197" s="440" t="str">
        <f t="shared" si="118"/>
        <v>N.D.</v>
      </c>
      <c r="AA197" s="381">
        <f t="shared" si="106"/>
        <v>-113.86699999999992</v>
      </c>
      <c r="AB197" s="139">
        <f t="shared" si="119"/>
        <v>-4.8251120924215268E-2</v>
      </c>
    </row>
    <row r="198" spans="2:28" ht="13" x14ac:dyDescent="0.3">
      <c r="B198" s="1" t="s">
        <v>122</v>
      </c>
      <c r="C198" s="381">
        <v>-18.941999999999997</v>
      </c>
      <c r="D198" s="440">
        <f t="shared" si="107"/>
        <v>-5.8999604426683436E-2</v>
      </c>
      <c r="E198" s="381">
        <v>-8.7529999999999752</v>
      </c>
      <c r="F198" s="440">
        <f t="shared" si="108"/>
        <v>-2.7537280563770136E-2</v>
      </c>
      <c r="G198" s="381">
        <v>7.2919999999999838</v>
      </c>
      <c r="H198" s="440">
        <f t="shared" si="109"/>
        <v>1.9899628587568417E-2</v>
      </c>
      <c r="I198" s="381">
        <v>-5.50399999999998</v>
      </c>
      <c r="J198" s="440">
        <f t="shared" si="110"/>
        <v>-1.6746127610116984E-2</v>
      </c>
      <c r="K198" s="381">
        <v>-0.84899999999997888</v>
      </c>
      <c r="L198" s="440">
        <f t="shared" si="111"/>
        <v>-2.3871918301241082E-3</v>
      </c>
      <c r="M198" s="381">
        <v>0.49500000000001521</v>
      </c>
      <c r="N198" s="440">
        <f t="shared" si="112"/>
        <v>1.4771489533131859E-3</v>
      </c>
      <c r="O198" s="381">
        <v>2.4540000000000184</v>
      </c>
      <c r="P198" s="440">
        <f t="shared" si="113"/>
        <v>7.3230778412736851E-3</v>
      </c>
      <c r="Q198" s="381"/>
      <c r="R198" s="440" t="str">
        <f t="shared" si="114"/>
        <v>N.D.</v>
      </c>
      <c r="S198" s="381"/>
      <c r="T198" s="440" t="str">
        <f t="shared" si="115"/>
        <v>N.D.</v>
      </c>
      <c r="U198" s="381"/>
      <c r="V198" s="440" t="str">
        <f t="shared" si="116"/>
        <v>N.D.</v>
      </c>
      <c r="W198" s="381"/>
      <c r="X198" s="440" t="str">
        <f t="shared" si="117"/>
        <v>N.D.</v>
      </c>
      <c r="Y198" s="381"/>
      <c r="Z198" s="440" t="str">
        <f t="shared" si="118"/>
        <v>N.D.</v>
      </c>
      <c r="AA198" s="381">
        <f t="shared" si="106"/>
        <v>-23.806999999999913</v>
      </c>
      <c r="AB198" s="139">
        <f t="shared" si="119"/>
        <v>-1.0088212000340657E-2</v>
      </c>
    </row>
    <row r="199" spans="2:28" s="130" customFormat="1" ht="13" x14ac:dyDescent="0.3">
      <c r="B199" s="1" t="s">
        <v>194</v>
      </c>
      <c r="C199" s="373"/>
      <c r="D199" s="407">
        <f t="shared" si="107"/>
        <v>0</v>
      </c>
      <c r="E199" s="373"/>
      <c r="F199" s="407">
        <f t="shared" si="108"/>
        <v>0</v>
      </c>
      <c r="G199" s="373">
        <v>0</v>
      </c>
      <c r="H199" s="407">
        <f t="shared" si="109"/>
        <v>0</v>
      </c>
      <c r="I199" s="373">
        <v>0</v>
      </c>
      <c r="J199" s="407">
        <f t="shared" si="110"/>
        <v>0</v>
      </c>
      <c r="K199" s="373">
        <v>0</v>
      </c>
      <c r="L199" s="407">
        <f t="shared" si="111"/>
        <v>0</v>
      </c>
      <c r="M199" s="373">
        <v>0</v>
      </c>
      <c r="N199" s="407">
        <f t="shared" si="112"/>
        <v>0</v>
      </c>
      <c r="O199" s="373">
        <v>0</v>
      </c>
      <c r="P199" s="407">
        <f t="shared" si="113"/>
        <v>0</v>
      </c>
      <c r="Q199" s="373"/>
      <c r="R199" s="407" t="str">
        <f t="shared" si="114"/>
        <v>N.D.</v>
      </c>
      <c r="S199" s="373"/>
      <c r="T199" s="407" t="str">
        <f t="shared" si="115"/>
        <v>N.D.</v>
      </c>
      <c r="U199" s="373"/>
      <c r="V199" s="407" t="str">
        <f t="shared" si="116"/>
        <v>N.D.</v>
      </c>
      <c r="W199" s="373"/>
      <c r="X199" s="407" t="str">
        <f t="shared" si="117"/>
        <v>N.D.</v>
      </c>
      <c r="Y199" s="373"/>
      <c r="Z199" s="407" t="str">
        <f t="shared" si="118"/>
        <v>N.D.</v>
      </c>
      <c r="AA199" s="373"/>
      <c r="AB199" s="360">
        <f t="shared" si="119"/>
        <v>0</v>
      </c>
    </row>
    <row r="200" spans="2:28" s="130" customFormat="1" ht="13" x14ac:dyDescent="0.3">
      <c r="B200" s="1" t="s">
        <v>123</v>
      </c>
      <c r="C200" s="408"/>
      <c r="D200" s="409">
        <f t="shared" si="107"/>
        <v>0</v>
      </c>
      <c r="E200" s="408"/>
      <c r="F200" s="409">
        <f t="shared" si="108"/>
        <v>0</v>
      </c>
      <c r="G200" s="408"/>
      <c r="H200" s="409">
        <f t="shared" si="109"/>
        <v>0</v>
      </c>
      <c r="I200" s="408"/>
      <c r="J200" s="409">
        <f t="shared" si="110"/>
        <v>0</v>
      </c>
      <c r="K200" s="408"/>
      <c r="L200" s="409">
        <f t="shared" si="111"/>
        <v>0</v>
      </c>
      <c r="M200" s="408"/>
      <c r="N200" s="409">
        <f t="shared" si="112"/>
        <v>0</v>
      </c>
      <c r="O200" s="408"/>
      <c r="P200" s="409">
        <f t="shared" si="113"/>
        <v>0</v>
      </c>
      <c r="Q200" s="408"/>
      <c r="R200" s="409" t="str">
        <f t="shared" si="114"/>
        <v>N.D.</v>
      </c>
      <c r="S200" s="408"/>
      <c r="T200" s="409" t="str">
        <f t="shared" si="115"/>
        <v>N.D.</v>
      </c>
      <c r="U200" s="408"/>
      <c r="V200" s="409" t="str">
        <f t="shared" si="116"/>
        <v>N.D.</v>
      </c>
      <c r="W200" s="408"/>
      <c r="X200" s="409" t="str">
        <f t="shared" si="117"/>
        <v>N.D.</v>
      </c>
      <c r="Y200" s="408"/>
      <c r="Z200" s="409" t="str">
        <f t="shared" si="118"/>
        <v>N.D.</v>
      </c>
      <c r="AA200" s="408"/>
      <c r="AB200" s="361">
        <f t="shared" si="119"/>
        <v>0</v>
      </c>
    </row>
    <row r="201" spans="2:28" s="130" customFormat="1" ht="13" x14ac:dyDescent="0.3">
      <c r="B201" s="7" t="s">
        <v>190</v>
      </c>
      <c r="C201" s="410">
        <f>+C197+C199+C200+C183</f>
        <v>-18.941999999999997</v>
      </c>
      <c r="D201" s="409">
        <f t="shared" si="107"/>
        <v>-5.8999604426683436E-2</v>
      </c>
      <c r="E201" s="410">
        <f>+E197+E199+E200+E183</f>
        <v>-6.584999999999976</v>
      </c>
      <c r="F201" s="409">
        <f t="shared" si="108"/>
        <v>-2.0716667715346304E-2</v>
      </c>
      <c r="G201" s="410">
        <v>9.4599999999999831</v>
      </c>
      <c r="H201" s="409">
        <f t="shared" si="109"/>
        <v>2.5816029407350151E-2</v>
      </c>
      <c r="I201" s="410">
        <v>-3.3359999999999808</v>
      </c>
      <c r="J201" s="409">
        <f t="shared" si="110"/>
        <v>-1.0149905833457512E-2</v>
      </c>
      <c r="K201" s="410">
        <v>1.3190000000000204</v>
      </c>
      <c r="L201" s="409">
        <f t="shared" si="111"/>
        <v>3.7087232319597476E-3</v>
      </c>
      <c r="M201" s="410">
        <v>2.6630000000000145</v>
      </c>
      <c r="N201" s="409">
        <f t="shared" si="112"/>
        <v>7.9467629548947774E-3</v>
      </c>
      <c r="O201" s="410">
        <v>4.6220000000000176</v>
      </c>
      <c r="P201" s="409">
        <f t="shared" si="113"/>
        <v>1.3792691842855276E-2</v>
      </c>
      <c r="Q201" s="410"/>
      <c r="R201" s="409" t="str">
        <f t="shared" si="114"/>
        <v>N.D.</v>
      </c>
      <c r="S201" s="410"/>
      <c r="T201" s="409" t="str">
        <f t="shared" si="115"/>
        <v>N.D.</v>
      </c>
      <c r="U201" s="410"/>
      <c r="V201" s="409" t="str">
        <f t="shared" si="116"/>
        <v>N.D.</v>
      </c>
      <c r="W201" s="410"/>
      <c r="X201" s="409" t="str">
        <f t="shared" si="117"/>
        <v>N.D.</v>
      </c>
      <c r="Y201" s="410"/>
      <c r="Z201" s="409" t="str">
        <f t="shared" si="118"/>
        <v>N.D.</v>
      </c>
      <c r="AA201" s="410"/>
      <c r="AB201" s="361">
        <f t="shared" si="119"/>
        <v>0</v>
      </c>
    </row>
    <row r="202" spans="2:28" s="130" customFormat="1" ht="13" x14ac:dyDescent="0.3">
      <c r="B202" s="7" t="s">
        <v>191</v>
      </c>
      <c r="C202" s="516">
        <v>0</v>
      </c>
      <c r="D202" s="411">
        <f t="shared" si="107"/>
        <v>0</v>
      </c>
      <c r="E202" s="516">
        <v>0</v>
      </c>
      <c r="F202" s="411">
        <f t="shared" si="108"/>
        <v>0</v>
      </c>
      <c r="G202" s="516">
        <v>0</v>
      </c>
      <c r="H202" s="411">
        <f t="shared" si="109"/>
        <v>0</v>
      </c>
      <c r="I202" s="516">
        <v>0</v>
      </c>
      <c r="J202" s="411">
        <f t="shared" si="110"/>
        <v>0</v>
      </c>
      <c r="K202" s="516">
        <v>0</v>
      </c>
      <c r="L202" s="411">
        <f t="shared" si="111"/>
        <v>0</v>
      </c>
      <c r="M202" s="516">
        <v>0</v>
      </c>
      <c r="N202" s="411">
        <f t="shared" si="112"/>
        <v>0</v>
      </c>
      <c r="O202" s="516">
        <v>0</v>
      </c>
      <c r="P202" s="411">
        <f t="shared" si="113"/>
        <v>0</v>
      </c>
      <c r="Q202" s="516"/>
      <c r="R202" s="411" t="str">
        <f t="shared" si="114"/>
        <v>N.D.</v>
      </c>
      <c r="S202" s="516"/>
      <c r="T202" s="411" t="str">
        <f t="shared" si="115"/>
        <v>N.D.</v>
      </c>
      <c r="U202" s="516"/>
      <c r="V202" s="411" t="str">
        <f t="shared" si="116"/>
        <v>N.D.</v>
      </c>
      <c r="W202" s="516"/>
      <c r="X202" s="411" t="str">
        <f t="shared" si="117"/>
        <v>N.D.</v>
      </c>
      <c r="Y202" s="516"/>
      <c r="Z202" s="411" t="str">
        <f t="shared" si="118"/>
        <v>N.D.</v>
      </c>
      <c r="AA202" s="381"/>
      <c r="AB202" s="151">
        <f t="shared" si="119"/>
        <v>0</v>
      </c>
    </row>
    <row r="203" spans="2:28" s="130" customFormat="1" ht="13" x14ac:dyDescent="0.3">
      <c r="B203" s="7" t="s">
        <v>84</v>
      </c>
      <c r="C203" s="381">
        <f>+C201-C202</f>
        <v>-18.941999999999997</v>
      </c>
      <c r="D203" s="411">
        <f t="shared" si="107"/>
        <v>-5.8999604426683436E-2</v>
      </c>
      <c r="E203" s="381">
        <f>+E201-E202</f>
        <v>-6.584999999999976</v>
      </c>
      <c r="F203" s="411">
        <f t="shared" si="108"/>
        <v>-2.0716667715346304E-2</v>
      </c>
      <c r="G203" s="381">
        <v>9.4599999999999831</v>
      </c>
      <c r="H203" s="411">
        <f t="shared" si="109"/>
        <v>2.5816029407350151E-2</v>
      </c>
      <c r="I203" s="381">
        <v>-3.3359999999999808</v>
      </c>
      <c r="J203" s="411">
        <f t="shared" si="110"/>
        <v>-1.0149905833457512E-2</v>
      </c>
      <c r="K203" s="381">
        <v>1.3190000000000204</v>
      </c>
      <c r="L203" s="411">
        <f t="shared" si="111"/>
        <v>3.7087232319597476E-3</v>
      </c>
      <c r="M203" s="381">
        <v>2.6630000000000145</v>
      </c>
      <c r="N203" s="411">
        <f t="shared" si="112"/>
        <v>7.9467629548947774E-3</v>
      </c>
      <c r="O203" s="381">
        <v>4.6220000000000176</v>
      </c>
      <c r="P203" s="411">
        <f t="shared" si="113"/>
        <v>1.3792691842855276E-2</v>
      </c>
      <c r="Q203" s="381"/>
      <c r="R203" s="411" t="str">
        <f t="shared" si="114"/>
        <v>N.D.</v>
      </c>
      <c r="S203" s="381"/>
      <c r="T203" s="411" t="str">
        <f t="shared" si="115"/>
        <v>N.D.</v>
      </c>
      <c r="U203" s="381"/>
      <c r="V203" s="411" t="str">
        <f t="shared" si="116"/>
        <v>N.D.</v>
      </c>
      <c r="W203" s="381"/>
      <c r="X203" s="411" t="str">
        <f t="shared" si="117"/>
        <v>N.D.</v>
      </c>
      <c r="Y203" s="381"/>
      <c r="Z203" s="411" t="str">
        <f t="shared" si="118"/>
        <v>N.D.</v>
      </c>
      <c r="AA203" s="381"/>
      <c r="AB203" s="151">
        <f t="shared" si="119"/>
        <v>0</v>
      </c>
    </row>
    <row r="204" spans="2:28" s="130" customFormat="1" ht="13" x14ac:dyDescent="0.3">
      <c r="B204" s="1" t="s">
        <v>193</v>
      </c>
      <c r="C204" s="412"/>
      <c r="D204" s="411">
        <f t="shared" si="107"/>
        <v>0</v>
      </c>
      <c r="E204" s="412"/>
      <c r="F204" s="411">
        <f t="shared" si="108"/>
        <v>0</v>
      </c>
      <c r="G204" s="412" t="s">
        <v>451</v>
      </c>
      <c r="H204" s="411" t="e">
        <f t="shared" si="109"/>
        <v>#VALUE!</v>
      </c>
      <c r="I204" s="412" t="s">
        <v>451</v>
      </c>
      <c r="J204" s="411" t="e">
        <f t="shared" si="110"/>
        <v>#VALUE!</v>
      </c>
      <c r="K204" s="412" t="s">
        <v>451</v>
      </c>
      <c r="L204" s="411" t="e">
        <f t="shared" si="111"/>
        <v>#VALUE!</v>
      </c>
      <c r="M204" s="412" t="s">
        <v>451</v>
      </c>
      <c r="N204" s="411" t="e">
        <f t="shared" si="112"/>
        <v>#VALUE!</v>
      </c>
      <c r="O204" s="412" t="s">
        <v>451</v>
      </c>
      <c r="P204" s="411" t="e">
        <f t="shared" si="113"/>
        <v>#VALUE!</v>
      </c>
      <c r="Q204" s="412"/>
      <c r="R204" s="411" t="str">
        <f t="shared" si="114"/>
        <v>N.D.</v>
      </c>
      <c r="S204" s="412"/>
      <c r="T204" s="411" t="str">
        <f t="shared" si="115"/>
        <v>N.D.</v>
      </c>
      <c r="U204" s="412"/>
      <c r="V204" s="411" t="str">
        <f t="shared" si="116"/>
        <v>N.D.</v>
      </c>
      <c r="W204" s="412"/>
      <c r="X204" s="411" t="str">
        <f t="shared" si="117"/>
        <v>N.D.</v>
      </c>
      <c r="Y204" s="412"/>
      <c r="Z204" s="411" t="str">
        <f t="shared" si="118"/>
        <v>N.D.</v>
      </c>
      <c r="AA204" s="412"/>
      <c r="AB204" s="151">
        <f t="shared" si="119"/>
        <v>0</v>
      </c>
    </row>
    <row r="205" spans="2:28" x14ac:dyDescent="0.25">
      <c r="D205" s="429"/>
      <c r="F205" s="429"/>
      <c r="H205" s="429"/>
      <c r="J205" s="429"/>
      <c r="L205" s="429"/>
      <c r="N205" s="429"/>
      <c r="P205" s="429"/>
      <c r="R205" s="429"/>
      <c r="T205" s="429"/>
      <c r="V205" s="429"/>
      <c r="X205" s="429"/>
      <c r="Z205" s="429"/>
      <c r="AB205" s="130"/>
    </row>
    <row r="206" spans="2:28" x14ac:dyDescent="0.25">
      <c r="D206" s="429"/>
      <c r="F206" s="429"/>
      <c r="H206" s="429"/>
      <c r="J206" s="429"/>
      <c r="L206" s="429"/>
      <c r="N206" s="429"/>
      <c r="P206" s="429"/>
      <c r="R206" s="429"/>
      <c r="T206" s="429"/>
      <c r="V206" s="429"/>
      <c r="X206" s="429"/>
      <c r="Z206" s="429"/>
      <c r="AB206" s="130"/>
    </row>
    <row r="207" spans="2:28" ht="13" x14ac:dyDescent="0.3">
      <c r="D207" s="430"/>
      <c r="F207" s="430"/>
      <c r="H207" s="430"/>
      <c r="J207" s="430"/>
      <c r="L207" s="430"/>
      <c r="N207" s="430"/>
      <c r="P207" s="430"/>
      <c r="R207" s="430"/>
      <c r="T207" s="430"/>
      <c r="V207" s="430"/>
      <c r="X207" s="430"/>
      <c r="Z207" s="430"/>
      <c r="AB207" s="135"/>
    </row>
    <row r="208" spans="2:28" ht="13" x14ac:dyDescent="0.3">
      <c r="B208" s="250" t="s">
        <v>340</v>
      </c>
      <c r="C208" s="396" t="s">
        <v>418</v>
      </c>
      <c r="D208" s="397"/>
      <c r="E208" s="396" t="s">
        <v>419</v>
      </c>
      <c r="F208" s="397"/>
      <c r="G208" s="396" t="s">
        <v>417</v>
      </c>
      <c r="H208" s="397"/>
      <c r="I208" s="396" t="s">
        <v>420</v>
      </c>
      <c r="J208" s="397"/>
      <c r="K208" s="396" t="s">
        <v>421</v>
      </c>
      <c r="L208" s="397"/>
      <c r="M208" s="396" t="s">
        <v>422</v>
      </c>
      <c r="N208" s="397"/>
      <c r="O208" s="396" t="s">
        <v>423</v>
      </c>
      <c r="P208" s="397"/>
      <c r="Q208" s="396" t="s">
        <v>428</v>
      </c>
      <c r="R208" s="397"/>
      <c r="S208" s="396" t="s">
        <v>424</v>
      </c>
      <c r="T208" s="397"/>
      <c r="U208" s="396" t="s">
        <v>425</v>
      </c>
      <c r="V208" s="397"/>
      <c r="W208" s="396" t="s">
        <v>426</v>
      </c>
      <c r="X208" s="397"/>
      <c r="Y208" s="396" t="s">
        <v>427</v>
      </c>
      <c r="Z208" s="431"/>
      <c r="AA208" s="396" t="s">
        <v>497</v>
      </c>
      <c r="AB208" s="136"/>
    </row>
    <row r="209" spans="2:28" x14ac:dyDescent="0.25">
      <c r="B209" s="9" t="s">
        <v>38</v>
      </c>
      <c r="C209" s="314">
        <v>116.2</v>
      </c>
      <c r="D209" s="439">
        <f>IF(C$209=0,"N.D.",C209/C$209)</f>
        <v>1</v>
      </c>
      <c r="E209" s="314">
        <v>116.2</v>
      </c>
      <c r="F209" s="439">
        <f>IF(E$209=0,"N.D.",E209/E$209)</f>
        <v>1</v>
      </c>
      <c r="G209" s="314">
        <v>116.2</v>
      </c>
      <c r="H209" s="439">
        <f>IF(G$209=0,"N.D.",G209/G$209)</f>
        <v>1</v>
      </c>
      <c r="I209" s="314">
        <v>116.3</v>
      </c>
      <c r="J209" s="439">
        <f>IF(I$209=0,"N.D.",I209/I$209)</f>
        <v>1</v>
      </c>
      <c r="K209" s="314">
        <v>116.3</v>
      </c>
      <c r="L209" s="439">
        <f>IF(K$209=0,"N.D.",K209/K$209)</f>
        <v>1</v>
      </c>
      <c r="M209" s="314">
        <v>116.3</v>
      </c>
      <c r="N209" s="439">
        <f>IF(M$209=0,"N.D.",M209/M$209)</f>
        <v>1</v>
      </c>
      <c r="O209" s="314">
        <v>116.3</v>
      </c>
      <c r="P209" s="439">
        <f>IF(O$209=0,"N.D.",O209/O$209)</f>
        <v>1</v>
      </c>
      <c r="Q209" s="314"/>
      <c r="R209" s="439" t="str">
        <f>IF(Q$209=0,"N.D.",Q209/Q$209)</f>
        <v>N.D.</v>
      </c>
      <c r="S209" s="314"/>
      <c r="T209" s="439" t="str">
        <f>IF(S$209=0,"N.D.",S209/S$209)</f>
        <v>N.D.</v>
      </c>
      <c r="U209" s="314"/>
      <c r="V209" s="439" t="str">
        <f>IF(U$209=0,"N.D.",U209/U$209)</f>
        <v>N.D.</v>
      </c>
      <c r="W209" s="314"/>
      <c r="X209" s="439" t="str">
        <f>IF(W$209=0,"N.D.",W209/W$209)</f>
        <v>N.D.</v>
      </c>
      <c r="Y209" s="314"/>
      <c r="Z209" s="439" t="str">
        <f>IF(Y$209=0,"N.D.",Y209/Y$209)</f>
        <v>N.D.</v>
      </c>
      <c r="AA209" s="314">
        <f>+Y209+W209+U209+S209+Q209+O209+M209+K209+I209+G209+E209+C209</f>
        <v>813.80000000000007</v>
      </c>
      <c r="AB209" s="138">
        <f>IF(AA$209=0,"N.D.",AA209/AA$209)</f>
        <v>1</v>
      </c>
    </row>
    <row r="210" spans="2:28" x14ac:dyDescent="0.25">
      <c r="B210" s="9" t="s">
        <v>219</v>
      </c>
      <c r="C210" s="314">
        <v>0</v>
      </c>
      <c r="D210" s="439">
        <f>IF(C$209=0,"N.D.",C210/C$209)</f>
        <v>0</v>
      </c>
      <c r="E210" s="314">
        <v>0</v>
      </c>
      <c r="F210" s="439">
        <f>IF(E$209=0,"N.D.",E210/E$209)</f>
        <v>0</v>
      </c>
      <c r="G210" s="314">
        <v>0</v>
      </c>
      <c r="H210" s="439">
        <f>IF(G$209=0,"N.D.",G210/G$209)</f>
        <v>0</v>
      </c>
      <c r="I210" s="314">
        <v>0</v>
      </c>
      <c r="J210" s="439">
        <f>IF(I$209=0,"N.D.",I210/I$209)</f>
        <v>0</v>
      </c>
      <c r="K210" s="314">
        <v>0</v>
      </c>
      <c r="L210" s="439">
        <f>IF(K$209=0,"N.D.",K210/K$209)</f>
        <v>0</v>
      </c>
      <c r="M210" s="314">
        <v>0</v>
      </c>
      <c r="N210" s="439">
        <f>IF(M$209=0,"N.D.",M210/M$209)</f>
        <v>0</v>
      </c>
      <c r="O210" s="314">
        <v>0</v>
      </c>
      <c r="P210" s="439">
        <f>IF(O$209=0,"N.D.",O210/O$209)</f>
        <v>0</v>
      </c>
      <c r="Q210" s="314"/>
      <c r="R210" s="439" t="str">
        <f>IF(Q$209=0,"N.D.",Q210/Q$209)</f>
        <v>N.D.</v>
      </c>
      <c r="S210" s="314"/>
      <c r="T210" s="439" t="str">
        <f>IF(S$209=0,"N.D.",S210/S$209)</f>
        <v>N.D.</v>
      </c>
      <c r="U210" s="314"/>
      <c r="V210" s="439" t="str">
        <f>IF(U$209=0,"N.D.",U210/U$209)</f>
        <v>N.D.</v>
      </c>
      <c r="W210" s="314"/>
      <c r="X210" s="439" t="str">
        <f>IF(W$209=0,"N.D.",W210/W$209)</f>
        <v>N.D.</v>
      </c>
      <c r="Y210" s="314"/>
      <c r="Z210" s="439" t="str">
        <f>IF(Y$209=0,"N.D.",Y210/Y$209)</f>
        <v>N.D.</v>
      </c>
      <c r="AA210" s="314"/>
      <c r="AB210" s="138">
        <f>IF(AA$209=0,"N.D.",AA210/AA$209)</f>
        <v>0</v>
      </c>
    </row>
    <row r="211" spans="2:28" hidden="1" x14ac:dyDescent="0.25">
      <c r="B211" s="102" t="s">
        <v>39</v>
      </c>
      <c r="C211" s="314">
        <v>0</v>
      </c>
      <c r="D211" s="439">
        <f>IF(C$209=0,"N.D.",C211/C$209)</f>
        <v>0</v>
      </c>
      <c r="E211" s="314">
        <v>0</v>
      </c>
      <c r="F211" s="439">
        <f>IF(E$209=0,"N.D.",E211/E$209)</f>
        <v>0</v>
      </c>
      <c r="G211" s="314">
        <v>0</v>
      </c>
      <c r="H211" s="439">
        <f>IF(G$209=0,"N.D.",G211/G$209)</f>
        <v>0</v>
      </c>
      <c r="I211" s="314">
        <v>0</v>
      </c>
      <c r="J211" s="439">
        <f>IF(I$209=0,"N.D.",I211/I$209)</f>
        <v>0</v>
      </c>
      <c r="K211" s="314">
        <v>0</v>
      </c>
      <c r="L211" s="439">
        <f>IF(K$209=0,"N.D.",K211/K$209)</f>
        <v>0</v>
      </c>
      <c r="M211" s="314">
        <v>0</v>
      </c>
      <c r="N211" s="439">
        <f>IF(M$209=0,"N.D.",M211/M$209)</f>
        <v>0</v>
      </c>
      <c r="O211" s="314">
        <v>0</v>
      </c>
      <c r="P211" s="439">
        <f>IF(O$209=0,"N.D.",O211/O$209)</f>
        <v>0</v>
      </c>
      <c r="Q211" s="314"/>
      <c r="R211" s="439" t="str">
        <f>IF(Q$209=0,"N.D.",Q211/Q$209)</f>
        <v>N.D.</v>
      </c>
      <c r="S211" s="314"/>
      <c r="T211" s="439" t="str">
        <f>IF(S$209=0,"N.D.",S211/S$209)</f>
        <v>N.D.</v>
      </c>
      <c r="U211" s="314"/>
      <c r="V211" s="439" t="str">
        <f>IF(U$209=0,"N.D.",U211/U$209)</f>
        <v>N.D.</v>
      </c>
      <c r="W211" s="314"/>
      <c r="X211" s="439" t="str">
        <f>IF(W$209=0,"N.D.",W211/W$209)</f>
        <v>N.D.</v>
      </c>
      <c r="Y211" s="314"/>
      <c r="Z211" s="439" t="str">
        <f>IF(Y$209=0,"N.D.",Y211/Y$209)</f>
        <v>N.D.</v>
      </c>
      <c r="AA211" s="314">
        <f t="shared" ref="AA211:AA231" si="120">+Y211+W211+U211+S211+Q211+O211+M211+K211+I211+G211+E211+C211</f>
        <v>0</v>
      </c>
      <c r="AB211" s="138">
        <f>IF(AA$209=0,"N.D.",AA211/AA$209)</f>
        <v>0</v>
      </c>
    </row>
    <row r="212" spans="2:28" ht="13" x14ac:dyDescent="0.3">
      <c r="B212" s="9" t="s">
        <v>40</v>
      </c>
      <c r="C212" s="381">
        <v>116.2</v>
      </c>
      <c r="D212" s="440">
        <f>IF(C$209=0,"N.D.",C212/C$209)</f>
        <v>1</v>
      </c>
      <c r="E212" s="381">
        <v>116.2</v>
      </c>
      <c r="F212" s="440">
        <f>IF(E$209=0,"N.D.",E212/E$209)</f>
        <v>1</v>
      </c>
      <c r="G212" s="381">
        <v>116.2</v>
      </c>
      <c r="H212" s="440">
        <f>IF(G$209=0,"N.D.",G212/G$209)</f>
        <v>1</v>
      </c>
      <c r="I212" s="381">
        <v>116.3</v>
      </c>
      <c r="J212" s="440">
        <f>IF(I$209=0,"N.D.",I212/I$209)</f>
        <v>1</v>
      </c>
      <c r="K212" s="381">
        <v>116.3</v>
      </c>
      <c r="L212" s="440">
        <f>IF(K$209=0,"N.D.",K212/K$209)</f>
        <v>1</v>
      </c>
      <c r="M212" s="381">
        <v>116.3</v>
      </c>
      <c r="N212" s="440">
        <f>IF(M$209=0,"N.D.",M212/M$209)</f>
        <v>1</v>
      </c>
      <c r="O212" s="381">
        <v>116.3</v>
      </c>
      <c r="P212" s="440">
        <f>IF(O$209=0,"N.D.",O212/O$209)</f>
        <v>1</v>
      </c>
      <c r="Q212" s="381"/>
      <c r="R212" s="440" t="str">
        <f>IF(Q$209=0,"N.D.",Q212/Q$209)</f>
        <v>N.D.</v>
      </c>
      <c r="S212" s="381"/>
      <c r="T212" s="440" t="str">
        <f>IF(S$209=0,"N.D.",S212/S$209)</f>
        <v>N.D.</v>
      </c>
      <c r="U212" s="381"/>
      <c r="V212" s="440" t="str">
        <f>IF(U$209=0,"N.D.",U212/U$209)</f>
        <v>N.D.</v>
      </c>
      <c r="W212" s="381"/>
      <c r="X212" s="440" t="str">
        <f>IF(W$209=0,"N.D.",W212/W$209)</f>
        <v>N.D.</v>
      </c>
      <c r="Y212" s="381"/>
      <c r="Z212" s="440" t="str">
        <f>IF(Y$209=0,"N.D.",Y212/Y$209)</f>
        <v>N.D.</v>
      </c>
      <c r="AA212" s="381">
        <f t="shared" si="120"/>
        <v>813.80000000000007</v>
      </c>
      <c r="AB212" s="139">
        <f>IF(AA$209=0,"N.D.",AA212/AA$209)</f>
        <v>1</v>
      </c>
    </row>
    <row r="213" spans="2:28" x14ac:dyDescent="0.25">
      <c r="B213" s="9"/>
      <c r="C213" s="419"/>
      <c r="D213" s="441"/>
      <c r="E213" s="419"/>
      <c r="F213" s="441"/>
      <c r="G213" s="419"/>
      <c r="H213" s="441"/>
      <c r="I213" s="419"/>
      <c r="J213" s="441"/>
      <c r="K213" s="419"/>
      <c r="L213" s="441"/>
      <c r="M213" s="419"/>
      <c r="N213" s="441"/>
      <c r="O213" s="419"/>
      <c r="P213" s="441"/>
      <c r="Q213" s="419"/>
      <c r="R213" s="441"/>
      <c r="S213" s="419"/>
      <c r="T213" s="441"/>
      <c r="U213" s="419"/>
      <c r="V213" s="441"/>
      <c r="W213" s="419"/>
      <c r="X213" s="441"/>
      <c r="Y213" s="419"/>
      <c r="Z213" s="441"/>
      <c r="AA213" s="419"/>
      <c r="AB213" s="141"/>
    </row>
    <row r="214" spans="2:28" x14ac:dyDescent="0.25">
      <c r="B214" s="9" t="s">
        <v>41</v>
      </c>
      <c r="C214" s="418">
        <v>6.2</v>
      </c>
      <c r="D214" s="442">
        <f>IF(C$209=0,"N.D.",C214/C$209)</f>
        <v>5.3356282271944923E-2</v>
      </c>
      <c r="E214" s="418">
        <v>6.2</v>
      </c>
      <c r="F214" s="442">
        <f>IF(E$209=0,"N.D.",E214/E$209)</f>
        <v>5.3356282271944923E-2</v>
      </c>
      <c r="G214" s="418">
        <v>6.2</v>
      </c>
      <c r="H214" s="442">
        <f>IF(G$209=0,"N.D.",G214/G$209)</f>
        <v>5.3356282271944923E-2</v>
      </c>
      <c r="I214" s="418">
        <v>6.2</v>
      </c>
      <c r="J214" s="442">
        <f>IF(I$209=0,"N.D.",I214/I$209)</f>
        <v>5.3310404127257099E-2</v>
      </c>
      <c r="K214" s="418">
        <v>6.2</v>
      </c>
      <c r="L214" s="442">
        <f>IF(K$209=0,"N.D.",K214/K$209)</f>
        <v>5.3310404127257099E-2</v>
      </c>
      <c r="M214" s="418">
        <v>6.2</v>
      </c>
      <c r="N214" s="442">
        <f>IF(M$209=0,"N.D.",M214/M$209)</f>
        <v>5.3310404127257099E-2</v>
      </c>
      <c r="O214" s="418">
        <v>6.2</v>
      </c>
      <c r="P214" s="442">
        <f>IF(O$209=0,"N.D.",O214/O$209)</f>
        <v>5.3310404127257099E-2</v>
      </c>
      <c r="Q214" s="418"/>
      <c r="R214" s="442" t="str">
        <f>IF(Q$209=0,"N.D.",Q214/Q$209)</f>
        <v>N.D.</v>
      </c>
      <c r="S214" s="418"/>
      <c r="T214" s="442" t="str">
        <f>IF(S$209=0,"N.D.",S214/S$209)</f>
        <v>N.D.</v>
      </c>
      <c r="U214" s="418"/>
      <c r="V214" s="442" t="str">
        <f>IF(U$209=0,"N.D.",U214/U$209)</f>
        <v>N.D.</v>
      </c>
      <c r="W214" s="418"/>
      <c r="X214" s="442" t="str">
        <f>IF(W$209=0,"N.D.",W214/W$209)</f>
        <v>N.D.</v>
      </c>
      <c r="Y214" s="418"/>
      <c r="Z214" s="442" t="str">
        <f>IF(Y$209=0,"N.D.",Y214/Y$209)</f>
        <v>N.D.</v>
      </c>
      <c r="AA214" s="418">
        <f t="shared" si="120"/>
        <v>43.400000000000006</v>
      </c>
      <c r="AB214" s="142">
        <f>IF(AA$209=0,"N.D.",AA214/AA$209)</f>
        <v>5.3330056524944706E-2</v>
      </c>
    </row>
    <row r="215" spans="2:28" x14ac:dyDescent="0.25">
      <c r="B215" s="9" t="s">
        <v>42</v>
      </c>
      <c r="C215" s="314">
        <v>0.35599999999999998</v>
      </c>
      <c r="D215" s="439">
        <f>IF(C$209=0,"N.D.",C215/C$209)</f>
        <v>3.0636833046471597E-3</v>
      </c>
      <c r="E215" s="314">
        <v>4.25</v>
      </c>
      <c r="F215" s="439">
        <f>IF(E$209=0,"N.D.",E215/E$209)</f>
        <v>3.6574870912220309E-2</v>
      </c>
      <c r="G215" s="314">
        <v>4.25</v>
      </c>
      <c r="H215" s="439">
        <f>IF(G$209=0,"N.D.",G215/G$209)</f>
        <v>3.6574870912220309E-2</v>
      </c>
      <c r="I215" s="314">
        <v>4.25</v>
      </c>
      <c r="J215" s="439">
        <f>IF(I$209=0,"N.D.",I215/I$209)</f>
        <v>3.6543422184006878E-2</v>
      </c>
      <c r="K215" s="314">
        <v>4.25</v>
      </c>
      <c r="L215" s="439">
        <f>IF(K$209=0,"N.D.",K215/K$209)</f>
        <v>3.6543422184006878E-2</v>
      </c>
      <c r="M215" s="314">
        <v>4.25</v>
      </c>
      <c r="N215" s="439">
        <f>IF(M$209=0,"N.D.",M215/M$209)</f>
        <v>3.6543422184006878E-2</v>
      </c>
      <c r="O215" s="314">
        <v>4.25</v>
      </c>
      <c r="P215" s="439">
        <f>IF(O$209=0,"N.D.",O215/O$209)</f>
        <v>3.6543422184006878E-2</v>
      </c>
      <c r="Q215" s="314"/>
      <c r="R215" s="439" t="str">
        <f>IF(Q$209=0,"N.D.",Q215/Q$209)</f>
        <v>N.D.</v>
      </c>
      <c r="S215" s="314"/>
      <c r="T215" s="439" t="str">
        <f>IF(S$209=0,"N.D.",S215/S$209)</f>
        <v>N.D.</v>
      </c>
      <c r="U215" s="314"/>
      <c r="V215" s="439" t="str">
        <f>IF(U$209=0,"N.D.",U215/U$209)</f>
        <v>N.D.</v>
      </c>
      <c r="W215" s="314"/>
      <c r="X215" s="439" t="str">
        <f>IF(W$209=0,"N.D.",W215/W$209)</f>
        <v>N.D.</v>
      </c>
      <c r="Y215" s="314"/>
      <c r="Z215" s="439" t="str">
        <f>IF(Y$209=0,"N.D.",Y215/Y$209)</f>
        <v>N.D.</v>
      </c>
      <c r="AA215" s="314">
        <f t="shared" si="120"/>
        <v>25.856000000000002</v>
      </c>
      <c r="AB215" s="138">
        <f>IF(AA$209=0,"N.D.",AA215/AA$209)</f>
        <v>3.177193413615139E-2</v>
      </c>
    </row>
    <row r="216" spans="2:28" x14ac:dyDescent="0.25">
      <c r="B216" s="9" t="s">
        <v>43</v>
      </c>
      <c r="C216" s="314">
        <v>21.1</v>
      </c>
      <c r="D216" s="445">
        <f>IF(C$209=0,"N.D.",C216/C$209)</f>
        <v>0.18158347676419967</v>
      </c>
      <c r="E216" s="314">
        <v>21.1</v>
      </c>
      <c r="F216" s="445">
        <f>IF(E$209=0,"N.D.",E216/E$209)</f>
        <v>0.18158347676419967</v>
      </c>
      <c r="G216" s="314">
        <v>21.1</v>
      </c>
      <c r="H216" s="445">
        <f>IF(G$209=0,"N.D.",G216/G$209)</f>
        <v>0.18158347676419967</v>
      </c>
      <c r="I216" s="314">
        <v>21.1</v>
      </c>
      <c r="J216" s="445">
        <f>IF(I$209=0,"N.D.",I216/I$209)</f>
        <v>0.18142734307824593</v>
      </c>
      <c r="K216" s="314">
        <v>21.1</v>
      </c>
      <c r="L216" s="445">
        <f>IF(K$209=0,"N.D.",K216/K$209)</f>
        <v>0.18142734307824593</v>
      </c>
      <c r="M216" s="314">
        <v>21.1</v>
      </c>
      <c r="N216" s="445">
        <f>IF(M$209=0,"N.D.",M216/M$209)</f>
        <v>0.18142734307824593</v>
      </c>
      <c r="O216" s="314">
        <v>21.1</v>
      </c>
      <c r="P216" s="445">
        <f>IF(O$209=0,"N.D.",O216/O$209)</f>
        <v>0.18142734307824593</v>
      </c>
      <c r="Q216" s="314"/>
      <c r="R216" s="445" t="str">
        <f>IF(Q$209=0,"N.D.",Q216/Q$209)</f>
        <v>N.D.</v>
      </c>
      <c r="S216" s="314"/>
      <c r="T216" s="445" t="str">
        <f>IF(S$209=0,"N.D.",S216/S$209)</f>
        <v>N.D.</v>
      </c>
      <c r="U216" s="314"/>
      <c r="V216" s="445" t="str">
        <f>IF(U$209=0,"N.D.",U216/U$209)</f>
        <v>N.D.</v>
      </c>
      <c r="W216" s="314"/>
      <c r="X216" s="445" t="str">
        <f>IF(W$209=0,"N.D.",W216/W$209)</f>
        <v>N.D.</v>
      </c>
      <c r="Y216" s="314"/>
      <c r="Z216" s="445" t="str">
        <f>IF(Y$209=0,"N.D.",Y216/Y$209)</f>
        <v>N.D.</v>
      </c>
      <c r="AA216" s="314">
        <f t="shared" si="120"/>
        <v>147.69999999999999</v>
      </c>
      <c r="AB216" s="147">
        <f>IF(AA$209=0,"N.D.",AA216/AA$209)</f>
        <v>0.181494224625215</v>
      </c>
    </row>
    <row r="217" spans="2:28" ht="13" x14ac:dyDescent="0.3">
      <c r="B217" s="102" t="s">
        <v>44</v>
      </c>
      <c r="C217" s="381">
        <v>27.656000000000002</v>
      </c>
      <c r="D217" s="440">
        <f>IF(C$209=0,"N.D.",C217/C$209)</f>
        <v>0.23800344234079177</v>
      </c>
      <c r="E217" s="381">
        <v>31.55</v>
      </c>
      <c r="F217" s="440">
        <f>IF(E$209=0,"N.D.",E217/E$209)</f>
        <v>0.27151462994836489</v>
      </c>
      <c r="G217" s="381">
        <v>31.55</v>
      </c>
      <c r="H217" s="440">
        <f>IF(G$209=0,"N.D.",G217/G$209)</f>
        <v>0.27151462994836489</v>
      </c>
      <c r="I217" s="381">
        <v>31.55</v>
      </c>
      <c r="J217" s="440">
        <f>IF(I$209=0,"N.D.",I217/I$209)</f>
        <v>0.27128116938950991</v>
      </c>
      <c r="K217" s="381">
        <v>31.55</v>
      </c>
      <c r="L217" s="440">
        <f>IF(K$209=0,"N.D.",K217/K$209)</f>
        <v>0.27128116938950991</v>
      </c>
      <c r="M217" s="381">
        <v>31.55</v>
      </c>
      <c r="N217" s="440">
        <f>IF(M$209=0,"N.D.",M217/M$209)</f>
        <v>0.27128116938950991</v>
      </c>
      <c r="O217" s="381">
        <v>31.55</v>
      </c>
      <c r="P217" s="440">
        <f>IF(O$209=0,"N.D.",O217/O$209)</f>
        <v>0.27128116938950991</v>
      </c>
      <c r="Q217" s="381"/>
      <c r="R217" s="440" t="str">
        <f>IF(Q$209=0,"N.D.",Q217/Q$209)</f>
        <v>N.D.</v>
      </c>
      <c r="S217" s="381"/>
      <c r="T217" s="440" t="str">
        <f>IF(S$209=0,"N.D.",S217/S$209)</f>
        <v>N.D.</v>
      </c>
      <c r="U217" s="381"/>
      <c r="V217" s="440" t="str">
        <f>IF(U$209=0,"N.D.",U217/U$209)</f>
        <v>N.D.</v>
      </c>
      <c r="W217" s="381"/>
      <c r="X217" s="440" t="str">
        <f>IF(W$209=0,"N.D.",W217/W$209)</f>
        <v>N.D.</v>
      </c>
      <c r="Y217" s="381"/>
      <c r="Z217" s="440" t="str">
        <f>IF(Y$209=0,"N.D.",Y217/Y$209)</f>
        <v>N.D.</v>
      </c>
      <c r="AA217" s="381">
        <f t="shared" si="120"/>
        <v>216.95600000000002</v>
      </c>
      <c r="AB217" s="139">
        <f>IF(AA$209=0,"N.D.",AA217/AA$209)</f>
        <v>0.26659621528631111</v>
      </c>
    </row>
    <row r="218" spans="2:28" ht="13" x14ac:dyDescent="0.3">
      <c r="B218" s="9" t="s">
        <v>45</v>
      </c>
      <c r="C218" s="381">
        <v>88.543999999999997</v>
      </c>
      <c r="D218" s="440">
        <f>IF(C$209=0,"N.D.",C218/C$209)</f>
        <v>0.76199655765920826</v>
      </c>
      <c r="E218" s="381">
        <v>84.65</v>
      </c>
      <c r="F218" s="440">
        <f>IF(E$209=0,"N.D.",E218/E$209)</f>
        <v>0.72848537005163516</v>
      </c>
      <c r="G218" s="381">
        <v>84.65</v>
      </c>
      <c r="H218" s="440">
        <f>IF(G$209=0,"N.D.",G218/G$209)</f>
        <v>0.72848537005163516</v>
      </c>
      <c r="I218" s="381">
        <v>84.75</v>
      </c>
      <c r="J218" s="440">
        <f>IF(I$209=0,"N.D.",I218/I$209)</f>
        <v>0.72871883061049014</v>
      </c>
      <c r="K218" s="381">
        <v>84.75</v>
      </c>
      <c r="L218" s="440">
        <f>IF(K$209=0,"N.D.",K218/K$209)</f>
        <v>0.72871883061049014</v>
      </c>
      <c r="M218" s="381">
        <v>84.75</v>
      </c>
      <c r="N218" s="440">
        <f>IF(M$209=0,"N.D.",M218/M$209)</f>
        <v>0.72871883061049014</v>
      </c>
      <c r="O218" s="381">
        <v>84.75</v>
      </c>
      <c r="P218" s="440">
        <f>IF(O$209=0,"N.D.",O218/O$209)</f>
        <v>0.72871883061049014</v>
      </c>
      <c r="Q218" s="381"/>
      <c r="R218" s="440" t="str">
        <f>IF(Q$209=0,"N.D.",Q218/Q$209)</f>
        <v>N.D.</v>
      </c>
      <c r="S218" s="381"/>
      <c r="T218" s="440" t="str">
        <f>IF(S$209=0,"N.D.",S218/S$209)</f>
        <v>N.D.</v>
      </c>
      <c r="U218" s="381"/>
      <c r="V218" s="440" t="str">
        <f>IF(U$209=0,"N.D.",U218/U$209)</f>
        <v>N.D.</v>
      </c>
      <c r="W218" s="381"/>
      <c r="X218" s="440" t="str">
        <f>IF(W$209=0,"N.D.",W218/W$209)</f>
        <v>N.D.</v>
      </c>
      <c r="Y218" s="381"/>
      <c r="Z218" s="440" t="str">
        <f>IF(Y$209=0,"N.D.",Y218/Y$209)</f>
        <v>N.D.</v>
      </c>
      <c r="AA218" s="381">
        <f t="shared" si="120"/>
        <v>596.84399999999994</v>
      </c>
      <c r="AB218" s="139">
        <f>IF(AA$209=0,"N.D.",AA218/AA$209)</f>
        <v>0.73340378471368872</v>
      </c>
    </row>
    <row r="219" spans="2:28" x14ac:dyDescent="0.25">
      <c r="C219" s="419"/>
      <c r="D219" s="441"/>
      <c r="E219" s="419"/>
      <c r="F219" s="441"/>
      <c r="G219" s="419"/>
      <c r="H219" s="441"/>
      <c r="I219" s="419"/>
      <c r="J219" s="441"/>
      <c r="K219" s="419"/>
      <c r="L219" s="441"/>
      <c r="M219" s="419"/>
      <c r="N219" s="441"/>
      <c r="O219" s="419"/>
      <c r="P219" s="441"/>
      <c r="Q219" s="419"/>
      <c r="R219" s="441"/>
      <c r="S219" s="419"/>
      <c r="T219" s="441"/>
      <c r="U219" s="419"/>
      <c r="V219" s="441"/>
      <c r="W219" s="419"/>
      <c r="X219" s="441"/>
      <c r="Y219" s="419"/>
      <c r="Z219" s="441"/>
      <c r="AA219" s="419"/>
      <c r="AB219" s="141"/>
    </row>
    <row r="220" spans="2:28" x14ac:dyDescent="0.25">
      <c r="B220" s="9"/>
      <c r="C220" s="418"/>
      <c r="D220" s="442"/>
      <c r="E220" s="418"/>
      <c r="F220" s="442"/>
      <c r="G220" s="418"/>
      <c r="H220" s="442"/>
      <c r="I220" s="418"/>
      <c r="J220" s="442"/>
      <c r="K220" s="418"/>
      <c r="L220" s="442"/>
      <c r="M220" s="418"/>
      <c r="N220" s="442"/>
      <c r="O220" s="418"/>
      <c r="P220" s="442"/>
      <c r="Q220" s="418"/>
      <c r="R220" s="442"/>
      <c r="S220" s="418"/>
      <c r="T220" s="442"/>
      <c r="U220" s="418"/>
      <c r="V220" s="442"/>
      <c r="W220" s="418"/>
      <c r="X220" s="442"/>
      <c r="Y220" s="418"/>
      <c r="Z220" s="442"/>
      <c r="AA220" s="418">
        <f t="shared" si="120"/>
        <v>0</v>
      </c>
      <c r="AB220" s="142"/>
    </row>
    <row r="221" spans="2:28" x14ac:dyDescent="0.25">
      <c r="B221" s="9" t="s">
        <v>52</v>
      </c>
      <c r="C221" s="314">
        <v>0</v>
      </c>
      <c r="D221" s="439">
        <f>IF(C$209=0,"N.D.",C221/C$209)</f>
        <v>0</v>
      </c>
      <c r="E221" s="314">
        <v>0</v>
      </c>
      <c r="F221" s="439">
        <f>IF(E$209=0,"N.D.",E221/E$209)</f>
        <v>0</v>
      </c>
      <c r="G221" s="314">
        <v>0</v>
      </c>
      <c r="H221" s="439">
        <f>IF(G$209=0,"N.D.",G221/G$209)</f>
        <v>0</v>
      </c>
      <c r="I221" s="314">
        <v>0</v>
      </c>
      <c r="J221" s="439">
        <f>IF(I$209=0,"N.D.",I221/I$209)</f>
        <v>0</v>
      </c>
      <c r="K221" s="314">
        <v>0</v>
      </c>
      <c r="L221" s="439">
        <f>IF(K$209=0,"N.D.",K221/K$209)</f>
        <v>0</v>
      </c>
      <c r="M221" s="314">
        <v>0</v>
      </c>
      <c r="N221" s="439">
        <f>IF(M$209=0,"N.D.",M221/M$209)</f>
        <v>0</v>
      </c>
      <c r="O221" s="314">
        <v>0</v>
      </c>
      <c r="P221" s="439">
        <f>IF(O$209=0,"N.D.",O221/O$209)</f>
        <v>0</v>
      </c>
      <c r="Q221" s="314"/>
      <c r="R221" s="439" t="str">
        <f>IF(Q$209=0,"N.D.",Q221/Q$209)</f>
        <v>N.D.</v>
      </c>
      <c r="S221" s="314"/>
      <c r="T221" s="439" t="str">
        <f>IF(S$209=0,"N.D.",S221/S$209)</f>
        <v>N.D.</v>
      </c>
      <c r="U221" s="314"/>
      <c r="V221" s="439" t="str">
        <f>IF(U$209=0,"N.D.",U221/U$209)</f>
        <v>N.D.</v>
      </c>
      <c r="W221" s="314"/>
      <c r="X221" s="439" t="str">
        <f>IF(W$209=0,"N.D.",W221/W$209)</f>
        <v>N.D.</v>
      </c>
      <c r="Y221" s="314"/>
      <c r="Z221" s="439" t="str">
        <f>IF(Y$209=0,"N.D.",Y221/Y$209)</f>
        <v>N.D.</v>
      </c>
      <c r="AA221" s="314">
        <f t="shared" si="120"/>
        <v>0</v>
      </c>
      <c r="AB221" s="138">
        <f>IF(AA$209=0,"N.D.",AA221/AA$209)</f>
        <v>0</v>
      </c>
    </row>
    <row r="222" spans="2:28" x14ac:dyDescent="0.25">
      <c r="B222" s="9" t="s">
        <v>184</v>
      </c>
      <c r="C222" s="314">
        <v>27.884</v>
      </c>
      <c r="D222" s="439">
        <f>IF(C$209=0,"N.D.",C222/C$209)</f>
        <v>0.23996557659208262</v>
      </c>
      <c r="E222" s="314">
        <v>26.710999999999999</v>
      </c>
      <c r="F222" s="439">
        <f>IF(E$209=0,"N.D.",E222/E$209)</f>
        <v>0.22987091222030978</v>
      </c>
      <c r="G222" s="314">
        <v>26.538</v>
      </c>
      <c r="H222" s="439">
        <f>IF(G$209=0,"N.D.",G222/G$209)</f>
        <v>0.22838209982788296</v>
      </c>
      <c r="I222" s="314">
        <v>26.364999999999998</v>
      </c>
      <c r="J222" s="439">
        <f>IF(I$209=0,"N.D.",I222/I$209)</f>
        <v>0.2266981943250215</v>
      </c>
      <c r="K222" s="314">
        <v>26.192</v>
      </c>
      <c r="L222" s="439">
        <f>IF(K$209=0,"N.D.",K222/K$209)</f>
        <v>0.22521066208082546</v>
      </c>
      <c r="M222" s="314">
        <v>26.018999999999998</v>
      </c>
      <c r="N222" s="439">
        <f>IF(M$209=0,"N.D.",M222/M$209)</f>
        <v>0.2237231298366294</v>
      </c>
      <c r="O222" s="314">
        <v>26.018999999999998</v>
      </c>
      <c r="P222" s="439">
        <f>IF(O$209=0,"N.D.",O222/O$209)</f>
        <v>0.2237231298366294</v>
      </c>
      <c r="Q222" s="314"/>
      <c r="R222" s="439" t="str">
        <f>IF(Q$209=0,"N.D.",Q222/Q$209)</f>
        <v>N.D.</v>
      </c>
      <c r="S222" s="314"/>
      <c r="T222" s="439" t="str">
        <f>IF(S$209=0,"N.D.",S222/S$209)</f>
        <v>N.D.</v>
      </c>
      <c r="U222" s="314"/>
      <c r="V222" s="439" t="str">
        <f>IF(U$209=0,"N.D.",U222/U$209)</f>
        <v>N.D.</v>
      </c>
      <c r="W222" s="314"/>
      <c r="X222" s="439" t="str">
        <f>IF(W$209=0,"N.D.",W222/W$209)</f>
        <v>N.D.</v>
      </c>
      <c r="Y222" s="314"/>
      <c r="Z222" s="439" t="str">
        <f>IF(Y$209=0,"N.D.",Y222/Y$209)</f>
        <v>N.D.</v>
      </c>
      <c r="AA222" s="314">
        <f t="shared" si="120"/>
        <v>185.72800000000001</v>
      </c>
      <c r="AB222" s="138">
        <f>IF(AA$209=0,"N.D.",AA222/AA$209)</f>
        <v>0.22822315065126567</v>
      </c>
    </row>
    <row r="223" spans="2:28" x14ac:dyDescent="0.25">
      <c r="B223" s="9" t="s">
        <v>47</v>
      </c>
      <c r="C223" s="314">
        <v>0</v>
      </c>
      <c r="D223" s="439">
        <f>IF(C$209=0,"N.D.",C223/C$209)</f>
        <v>0</v>
      </c>
      <c r="E223" s="314">
        <v>0</v>
      </c>
      <c r="F223" s="439">
        <f>IF(E$209=0,"N.D.",E223/E$209)</f>
        <v>0</v>
      </c>
      <c r="G223" s="314">
        <v>0</v>
      </c>
      <c r="H223" s="439">
        <f>IF(G$209=0,"N.D.",G223/G$209)</f>
        <v>0</v>
      </c>
      <c r="I223" s="314">
        <v>0</v>
      </c>
      <c r="J223" s="439">
        <f>IF(I$209=0,"N.D.",I223/I$209)</f>
        <v>0</v>
      </c>
      <c r="K223" s="314">
        <v>0</v>
      </c>
      <c r="L223" s="439">
        <f>IF(K$209=0,"N.D.",K223/K$209)</f>
        <v>0</v>
      </c>
      <c r="M223" s="314">
        <v>0</v>
      </c>
      <c r="N223" s="439">
        <f>IF(M$209=0,"N.D.",M223/M$209)</f>
        <v>0</v>
      </c>
      <c r="O223" s="314">
        <v>0</v>
      </c>
      <c r="P223" s="439">
        <f>IF(O$209=0,"N.D.",O223/O$209)</f>
        <v>0</v>
      </c>
      <c r="Q223" s="314"/>
      <c r="R223" s="439" t="str">
        <f>IF(Q$209=0,"N.D.",Q223/Q$209)</f>
        <v>N.D.</v>
      </c>
      <c r="S223" s="314"/>
      <c r="T223" s="439" t="str">
        <f>IF(S$209=0,"N.D.",S223/S$209)</f>
        <v>N.D.</v>
      </c>
      <c r="U223" s="314"/>
      <c r="V223" s="439" t="str">
        <f>IF(U$209=0,"N.D.",U223/U$209)</f>
        <v>N.D.</v>
      </c>
      <c r="W223" s="314"/>
      <c r="X223" s="439" t="str">
        <f>IF(W$209=0,"N.D.",W223/W$209)</f>
        <v>N.D.</v>
      </c>
      <c r="Y223" s="314"/>
      <c r="Z223" s="439" t="str">
        <f>IF(Y$209=0,"N.D.",Y223/Y$209)</f>
        <v>N.D.</v>
      </c>
      <c r="AA223" s="314">
        <f t="shared" si="120"/>
        <v>0</v>
      </c>
      <c r="AB223" s="138">
        <f>IF(AA$209=0,"N.D.",AA223/AA$209)</f>
        <v>0</v>
      </c>
    </row>
    <row r="224" spans="2:28" x14ac:dyDescent="0.25">
      <c r="C224" s="314"/>
      <c r="D224" s="439"/>
      <c r="E224" s="314"/>
      <c r="F224" s="439"/>
      <c r="G224" s="314"/>
      <c r="H224" s="439"/>
      <c r="I224" s="314"/>
      <c r="J224" s="439"/>
      <c r="K224" s="314"/>
      <c r="L224" s="439"/>
      <c r="M224" s="314"/>
      <c r="N224" s="439"/>
      <c r="O224" s="314"/>
      <c r="P224" s="439"/>
      <c r="Q224" s="314"/>
      <c r="R224" s="439"/>
      <c r="S224" s="314"/>
      <c r="T224" s="439"/>
      <c r="U224" s="314"/>
      <c r="V224" s="439"/>
      <c r="W224" s="314"/>
      <c r="X224" s="439"/>
      <c r="Y224" s="314"/>
      <c r="Z224" s="439"/>
      <c r="AA224" s="314">
        <f t="shared" si="120"/>
        <v>0</v>
      </c>
      <c r="AB224" s="138"/>
    </row>
    <row r="225" spans="2:28" ht="13" x14ac:dyDescent="0.3">
      <c r="B225" s="9" t="s">
        <v>48</v>
      </c>
      <c r="C225" s="381">
        <v>27.884</v>
      </c>
      <c r="D225" s="440">
        <f>IF(C$209=0,"N.D.",C225/C$209)</f>
        <v>0.23996557659208262</v>
      </c>
      <c r="E225" s="381">
        <v>26.710999999999999</v>
      </c>
      <c r="F225" s="440">
        <f>IF(E$209=0,"N.D.",E225/E$209)</f>
        <v>0.22987091222030978</v>
      </c>
      <c r="G225" s="381">
        <v>26.538</v>
      </c>
      <c r="H225" s="440">
        <f>IF(G$209=0,"N.D.",G225/G$209)</f>
        <v>0.22838209982788296</v>
      </c>
      <c r="I225" s="381">
        <v>26.364999999999998</v>
      </c>
      <c r="J225" s="440">
        <f>IF(I$209=0,"N.D.",I225/I$209)</f>
        <v>0.2266981943250215</v>
      </c>
      <c r="K225" s="381">
        <v>26.192</v>
      </c>
      <c r="L225" s="440">
        <f>IF(K$209=0,"N.D.",K225/K$209)</f>
        <v>0.22521066208082546</v>
      </c>
      <c r="M225" s="381">
        <v>26.018999999999998</v>
      </c>
      <c r="N225" s="440">
        <f>IF(M$209=0,"N.D.",M225/M$209)</f>
        <v>0.2237231298366294</v>
      </c>
      <c r="O225" s="381">
        <v>26.018999999999998</v>
      </c>
      <c r="P225" s="440">
        <f>IF(O$209=0,"N.D.",O225/O$209)</f>
        <v>0.2237231298366294</v>
      </c>
      <c r="Q225" s="381"/>
      <c r="R225" s="440" t="str">
        <f>IF(Q$209=0,"N.D.",Q225/Q$209)</f>
        <v>N.D.</v>
      </c>
      <c r="S225" s="381"/>
      <c r="T225" s="440" t="str">
        <f>IF(S$209=0,"N.D.",S225/S$209)</f>
        <v>N.D.</v>
      </c>
      <c r="U225" s="381"/>
      <c r="V225" s="440" t="str">
        <f>IF(U$209=0,"N.D.",U225/U$209)</f>
        <v>N.D.</v>
      </c>
      <c r="W225" s="381"/>
      <c r="X225" s="440" t="str">
        <f>IF(W$209=0,"N.D.",W225/W$209)</f>
        <v>N.D.</v>
      </c>
      <c r="Y225" s="381"/>
      <c r="Z225" s="440" t="str">
        <f>IF(Y$209=0,"N.D.",Y225/Y$209)</f>
        <v>N.D.</v>
      </c>
      <c r="AA225" s="381">
        <f t="shared" si="120"/>
        <v>185.72800000000001</v>
      </c>
      <c r="AB225" s="139">
        <f>IF(AA$209=0,"N.D.",AA225/AA$209)</f>
        <v>0.22822315065126567</v>
      </c>
    </row>
    <row r="226" spans="2:28" ht="13" x14ac:dyDescent="0.3">
      <c r="B226" s="9" t="s">
        <v>49</v>
      </c>
      <c r="C226" s="381">
        <v>60.66</v>
      </c>
      <c r="D226" s="440">
        <f>IF(C$209=0,"N.D.",C226/C$209)</f>
        <v>0.52203098106712564</v>
      </c>
      <c r="E226" s="381">
        <v>57.939000000000007</v>
      </c>
      <c r="F226" s="440">
        <f>IF(E$209=0,"N.D.",E226/E$209)</f>
        <v>0.49861445783132535</v>
      </c>
      <c r="G226" s="381">
        <v>58.112000000000009</v>
      </c>
      <c r="H226" s="440">
        <f>IF(G$209=0,"N.D.",G226/G$209)</f>
        <v>0.50010327022375223</v>
      </c>
      <c r="I226" s="381">
        <v>58.385000000000005</v>
      </c>
      <c r="J226" s="440">
        <f>IF(I$209=0,"N.D.",I226/I$209)</f>
        <v>0.50202063628546867</v>
      </c>
      <c r="K226" s="381">
        <v>58.558</v>
      </c>
      <c r="L226" s="440">
        <f>IF(K$209=0,"N.D.",K226/K$209)</f>
        <v>0.50350816852966462</v>
      </c>
      <c r="M226" s="381">
        <v>58.731000000000002</v>
      </c>
      <c r="N226" s="440">
        <f>IF(M$209=0,"N.D.",M226/M$209)</f>
        <v>0.50499570077386069</v>
      </c>
      <c r="O226" s="381">
        <v>58.731000000000002</v>
      </c>
      <c r="P226" s="440">
        <f>IF(O$209=0,"N.D.",O226/O$209)</f>
        <v>0.50499570077386069</v>
      </c>
      <c r="Q226" s="381"/>
      <c r="R226" s="440" t="str">
        <f>IF(Q$209=0,"N.D.",Q226/Q$209)</f>
        <v>N.D.</v>
      </c>
      <c r="S226" s="381"/>
      <c r="T226" s="440" t="str">
        <f>IF(S$209=0,"N.D.",S226/S$209)</f>
        <v>N.D.</v>
      </c>
      <c r="U226" s="381"/>
      <c r="V226" s="440" t="str">
        <f>IF(U$209=0,"N.D.",U226/U$209)</f>
        <v>N.D.</v>
      </c>
      <c r="W226" s="381"/>
      <c r="X226" s="440" t="str">
        <f>IF(W$209=0,"N.D.",W226/W$209)</f>
        <v>N.D.</v>
      </c>
      <c r="Y226" s="381"/>
      <c r="Z226" s="440" t="str">
        <f>IF(Y$209=0,"N.D.",Y226/Y$209)</f>
        <v>N.D.</v>
      </c>
      <c r="AA226" s="381">
        <f t="shared" si="120"/>
        <v>411.1160000000001</v>
      </c>
      <c r="AB226" s="139">
        <f>IF(AA$209=0,"N.D.",AA226/AA$209)</f>
        <v>0.50518063406242331</v>
      </c>
    </row>
    <row r="227" spans="2:28" x14ac:dyDescent="0.25">
      <c r="C227" s="419"/>
      <c r="D227" s="441"/>
      <c r="E227" s="419"/>
      <c r="F227" s="441"/>
      <c r="G227" s="419"/>
      <c r="H227" s="441"/>
      <c r="I227" s="419"/>
      <c r="J227" s="441"/>
      <c r="K227" s="419"/>
      <c r="L227" s="441"/>
      <c r="M227" s="419"/>
      <c r="N227" s="441"/>
      <c r="O227" s="419"/>
      <c r="P227" s="441"/>
      <c r="Q227" s="419"/>
      <c r="R227" s="441"/>
      <c r="S227" s="419"/>
      <c r="T227" s="441"/>
      <c r="U227" s="419"/>
      <c r="V227" s="441"/>
      <c r="W227" s="419"/>
      <c r="X227" s="441"/>
      <c r="Y227" s="419"/>
      <c r="Z227" s="441"/>
      <c r="AA227" s="419"/>
      <c r="AB227" s="141"/>
    </row>
    <row r="228" spans="2:28" x14ac:dyDescent="0.25">
      <c r="B228" s="9" t="s">
        <v>50</v>
      </c>
      <c r="C228" s="418">
        <v>0</v>
      </c>
      <c r="D228" s="442">
        <f>IF(C$209=0,"N.D.",C228/C$209)</f>
        <v>0</v>
      </c>
      <c r="E228" s="418">
        <v>0</v>
      </c>
      <c r="F228" s="442">
        <f>IF(E$209=0,"N.D.",E228/E$209)</f>
        <v>0</v>
      </c>
      <c r="G228" s="418">
        <v>0</v>
      </c>
      <c r="H228" s="442">
        <f t="shared" ref="H228:H237" si="121">IF(G$209=0,"N.D.",G228/G$209)</f>
        <v>0</v>
      </c>
      <c r="I228" s="418">
        <v>0</v>
      </c>
      <c r="J228" s="442">
        <f t="shared" ref="J228:J237" si="122">IF(I$209=0,"N.D.",I228/I$209)</f>
        <v>0</v>
      </c>
      <c r="K228" s="418">
        <v>0</v>
      </c>
      <c r="L228" s="442">
        <f t="shared" ref="L228:L237" si="123">IF(K$209=0,"N.D.",K228/K$209)</f>
        <v>0</v>
      </c>
      <c r="M228" s="418">
        <v>0</v>
      </c>
      <c r="N228" s="442">
        <f t="shared" ref="N228:N237" si="124">IF(M$209=0,"N.D.",M228/M$209)</f>
        <v>0</v>
      </c>
      <c r="O228" s="418">
        <v>0</v>
      </c>
      <c r="P228" s="442">
        <f t="shared" ref="P228:P237" si="125">IF(O$209=0,"N.D.",O228/O$209)</f>
        <v>0</v>
      </c>
      <c r="Q228" s="418"/>
      <c r="R228" s="442" t="str">
        <f t="shared" ref="R228:R237" si="126">IF(Q$209=0,"N.D.",Q228/Q$209)</f>
        <v>N.D.</v>
      </c>
      <c r="S228" s="418"/>
      <c r="T228" s="442" t="str">
        <f t="shared" ref="T228:T237" si="127">IF(S$209=0,"N.D.",S228/S$209)</f>
        <v>N.D.</v>
      </c>
      <c r="U228" s="418"/>
      <c r="V228" s="442" t="str">
        <f t="shared" ref="V228:V237" si="128">IF(U$209=0,"N.D.",U228/U$209)</f>
        <v>N.D.</v>
      </c>
      <c r="W228" s="418"/>
      <c r="X228" s="442" t="str">
        <f t="shared" ref="X228:X237" si="129">IF(W$209=0,"N.D.",W228/W$209)</f>
        <v>N.D.</v>
      </c>
      <c r="Y228" s="418"/>
      <c r="Z228" s="442" t="str">
        <f t="shared" ref="Z228:Z237" si="130">IF(Y$209=0,"N.D.",Y228/Y$209)</f>
        <v>N.D.</v>
      </c>
      <c r="AA228" s="418">
        <f t="shared" si="120"/>
        <v>0</v>
      </c>
      <c r="AB228" s="142">
        <f t="shared" ref="AB228:AB237" si="131">IF(AA$209=0,"N.D.",AA228/AA$209)</f>
        <v>0</v>
      </c>
    </row>
    <row r="229" spans="2:28" x14ac:dyDescent="0.25">
      <c r="B229" s="9" t="s">
        <v>51</v>
      </c>
      <c r="C229" s="314">
        <v>0</v>
      </c>
      <c r="D229" s="439">
        <f>IF(C$209=0,"N.D.",C229/C$209)</f>
        <v>0</v>
      </c>
      <c r="E229" s="314">
        <v>0</v>
      </c>
      <c r="F229" s="439">
        <f>IF(E$209=0,"N.D.",E229/E$209)</f>
        <v>0</v>
      </c>
      <c r="G229" s="314">
        <v>0</v>
      </c>
      <c r="H229" s="439">
        <f t="shared" si="121"/>
        <v>0</v>
      </c>
      <c r="I229" s="314">
        <v>0</v>
      </c>
      <c r="J229" s="439">
        <f t="shared" si="122"/>
        <v>0</v>
      </c>
      <c r="K229" s="314">
        <v>0</v>
      </c>
      <c r="L229" s="439">
        <f t="shared" si="123"/>
        <v>0</v>
      </c>
      <c r="M229" s="314">
        <v>0</v>
      </c>
      <c r="N229" s="439">
        <f t="shared" si="124"/>
        <v>0</v>
      </c>
      <c r="O229" s="314">
        <v>0</v>
      </c>
      <c r="P229" s="439">
        <f t="shared" si="125"/>
        <v>0</v>
      </c>
      <c r="Q229" s="314"/>
      <c r="R229" s="439" t="str">
        <f t="shared" si="126"/>
        <v>N.D.</v>
      </c>
      <c r="S229" s="314"/>
      <c r="T229" s="439" t="str">
        <f t="shared" si="127"/>
        <v>N.D.</v>
      </c>
      <c r="U229" s="314"/>
      <c r="V229" s="439" t="str">
        <f t="shared" si="128"/>
        <v>N.D.</v>
      </c>
      <c r="W229" s="314"/>
      <c r="X229" s="439" t="str">
        <f t="shared" si="129"/>
        <v>N.D.</v>
      </c>
      <c r="Y229" s="314"/>
      <c r="Z229" s="439" t="str">
        <f t="shared" si="130"/>
        <v>N.D.</v>
      </c>
      <c r="AA229" s="314">
        <f t="shared" si="120"/>
        <v>0</v>
      </c>
      <c r="AB229" s="138">
        <f t="shared" si="131"/>
        <v>0</v>
      </c>
    </row>
    <row r="230" spans="2:28" ht="13" x14ac:dyDescent="0.3">
      <c r="B230" s="1" t="s">
        <v>53</v>
      </c>
      <c r="C230" s="381">
        <v>60.66</v>
      </c>
      <c r="D230" s="440">
        <f>IF(C$209=0,"N.D.",C230/C$209)</f>
        <v>0.52203098106712564</v>
      </c>
      <c r="E230" s="381">
        <v>57.939000000000007</v>
      </c>
      <c r="F230" s="440">
        <f>IF(E$209=0,"N.D.",E230/E$209)</f>
        <v>0.49861445783132535</v>
      </c>
      <c r="G230" s="381">
        <v>58.112000000000009</v>
      </c>
      <c r="H230" s="440">
        <f t="shared" si="121"/>
        <v>0.50010327022375223</v>
      </c>
      <c r="I230" s="381">
        <v>58.385000000000005</v>
      </c>
      <c r="J230" s="440">
        <f t="shared" si="122"/>
        <v>0.50202063628546867</v>
      </c>
      <c r="K230" s="381">
        <v>58.558</v>
      </c>
      <c r="L230" s="440">
        <f t="shared" si="123"/>
        <v>0.50350816852966462</v>
      </c>
      <c r="M230" s="381">
        <v>58.731000000000002</v>
      </c>
      <c r="N230" s="440">
        <f t="shared" si="124"/>
        <v>0.50499570077386069</v>
      </c>
      <c r="O230" s="381">
        <v>58.731000000000002</v>
      </c>
      <c r="P230" s="440">
        <f t="shared" si="125"/>
        <v>0.50499570077386069</v>
      </c>
      <c r="Q230" s="381"/>
      <c r="R230" s="440" t="str">
        <f t="shared" si="126"/>
        <v>N.D.</v>
      </c>
      <c r="S230" s="381"/>
      <c r="T230" s="440" t="str">
        <f t="shared" si="127"/>
        <v>N.D.</v>
      </c>
      <c r="U230" s="381"/>
      <c r="V230" s="440" t="str">
        <f t="shared" si="128"/>
        <v>N.D.</v>
      </c>
      <c r="W230" s="381"/>
      <c r="X230" s="440" t="str">
        <f t="shared" si="129"/>
        <v>N.D.</v>
      </c>
      <c r="Y230" s="381"/>
      <c r="Z230" s="440" t="str">
        <f t="shared" si="130"/>
        <v>N.D.</v>
      </c>
      <c r="AA230" s="381">
        <f t="shared" si="120"/>
        <v>411.1160000000001</v>
      </c>
      <c r="AB230" s="139">
        <f t="shared" si="131"/>
        <v>0.50518063406242331</v>
      </c>
    </row>
    <row r="231" spans="2:28" ht="13" x14ac:dyDescent="0.3">
      <c r="B231" s="1" t="s">
        <v>122</v>
      </c>
      <c r="C231" s="381">
        <v>109.64400000000001</v>
      </c>
      <c r="D231" s="440">
        <f t="shared" ref="D231:F237" si="132">IF(C$209=0,"N.D.",C231/C$209)</f>
        <v>0.94358003442340799</v>
      </c>
      <c r="E231" s="381">
        <v>105.75</v>
      </c>
      <c r="F231" s="440">
        <f>IF(E$209=0,"N.D.",E231/E$209)</f>
        <v>0.91006884681583478</v>
      </c>
      <c r="G231" s="381">
        <v>105.75</v>
      </c>
      <c r="H231" s="440">
        <f t="shared" si="121"/>
        <v>0.91006884681583478</v>
      </c>
      <c r="I231" s="381">
        <v>105.85</v>
      </c>
      <c r="J231" s="440">
        <f t="shared" si="122"/>
        <v>0.91014617368873596</v>
      </c>
      <c r="K231" s="381">
        <v>105.85</v>
      </c>
      <c r="L231" s="440">
        <f t="shared" si="123"/>
        <v>0.91014617368873596</v>
      </c>
      <c r="M231" s="381">
        <v>105.85</v>
      </c>
      <c r="N231" s="440">
        <f t="shared" si="124"/>
        <v>0.91014617368873596</v>
      </c>
      <c r="O231" s="381">
        <v>105.85</v>
      </c>
      <c r="P231" s="440">
        <f t="shared" si="125"/>
        <v>0.91014617368873596</v>
      </c>
      <c r="Q231" s="381"/>
      <c r="R231" s="440" t="str">
        <f t="shared" si="126"/>
        <v>N.D.</v>
      </c>
      <c r="S231" s="381"/>
      <c r="T231" s="440" t="str">
        <f t="shared" si="127"/>
        <v>N.D.</v>
      </c>
      <c r="U231" s="381"/>
      <c r="V231" s="440" t="str">
        <f t="shared" si="128"/>
        <v>N.D.</v>
      </c>
      <c r="W231" s="381"/>
      <c r="X231" s="440" t="str">
        <f t="shared" si="129"/>
        <v>N.D.</v>
      </c>
      <c r="Y231" s="381"/>
      <c r="Z231" s="440" t="str">
        <f t="shared" si="130"/>
        <v>N.D.</v>
      </c>
      <c r="AA231" s="381">
        <f t="shared" si="120"/>
        <v>744.54399999999998</v>
      </c>
      <c r="AB231" s="139">
        <f t="shared" si="131"/>
        <v>0.91489800933890386</v>
      </c>
    </row>
    <row r="232" spans="2:28" s="130" customFormat="1" ht="13" x14ac:dyDescent="0.3">
      <c r="B232" s="1" t="s">
        <v>194</v>
      </c>
      <c r="C232" s="373"/>
      <c r="D232" s="407">
        <f t="shared" si="132"/>
        <v>0</v>
      </c>
      <c r="E232" s="373"/>
      <c r="F232" s="407">
        <f t="shared" si="132"/>
        <v>0</v>
      </c>
      <c r="G232" s="373">
        <v>0</v>
      </c>
      <c r="H232" s="407">
        <f t="shared" si="121"/>
        <v>0</v>
      </c>
      <c r="I232" s="373">
        <v>0</v>
      </c>
      <c r="J232" s="407">
        <f t="shared" si="122"/>
        <v>0</v>
      </c>
      <c r="K232" s="373">
        <v>0</v>
      </c>
      <c r="L232" s="407">
        <f t="shared" si="123"/>
        <v>0</v>
      </c>
      <c r="M232" s="373">
        <v>0</v>
      </c>
      <c r="N232" s="407">
        <f t="shared" si="124"/>
        <v>0</v>
      </c>
      <c r="O232" s="373">
        <v>0</v>
      </c>
      <c r="P232" s="407">
        <f t="shared" si="125"/>
        <v>0</v>
      </c>
      <c r="Q232" s="373"/>
      <c r="R232" s="407" t="str">
        <f t="shared" si="126"/>
        <v>N.D.</v>
      </c>
      <c r="S232" s="373"/>
      <c r="T232" s="407" t="str">
        <f t="shared" si="127"/>
        <v>N.D.</v>
      </c>
      <c r="U232" s="373"/>
      <c r="V232" s="407" t="str">
        <f t="shared" si="128"/>
        <v>N.D.</v>
      </c>
      <c r="W232" s="373"/>
      <c r="X232" s="407" t="str">
        <f t="shared" si="129"/>
        <v>N.D.</v>
      </c>
      <c r="Y232" s="373"/>
      <c r="Z232" s="407" t="str">
        <f t="shared" si="130"/>
        <v>N.D.</v>
      </c>
      <c r="AA232" s="373"/>
      <c r="AB232" s="360">
        <f t="shared" si="131"/>
        <v>0</v>
      </c>
    </row>
    <row r="233" spans="2:28" s="130" customFormat="1" ht="13" x14ac:dyDescent="0.3">
      <c r="B233" s="1" t="s">
        <v>123</v>
      </c>
      <c r="C233" s="408"/>
      <c r="D233" s="409">
        <f t="shared" si="132"/>
        <v>0</v>
      </c>
      <c r="E233" s="408"/>
      <c r="F233" s="409">
        <f t="shared" si="132"/>
        <v>0</v>
      </c>
      <c r="G233" s="408"/>
      <c r="H233" s="409">
        <f t="shared" si="121"/>
        <v>0</v>
      </c>
      <c r="I233" s="408"/>
      <c r="J233" s="409">
        <f t="shared" si="122"/>
        <v>0</v>
      </c>
      <c r="K233" s="408"/>
      <c r="L233" s="409">
        <f t="shared" si="123"/>
        <v>0</v>
      </c>
      <c r="M233" s="408"/>
      <c r="N233" s="409">
        <f t="shared" si="124"/>
        <v>0</v>
      </c>
      <c r="O233" s="408"/>
      <c r="P233" s="409">
        <f t="shared" si="125"/>
        <v>0</v>
      </c>
      <c r="Q233" s="408"/>
      <c r="R233" s="409" t="str">
        <f t="shared" si="126"/>
        <v>N.D.</v>
      </c>
      <c r="S233" s="408"/>
      <c r="T233" s="409" t="str">
        <f t="shared" si="127"/>
        <v>N.D.</v>
      </c>
      <c r="U233" s="408"/>
      <c r="V233" s="409" t="str">
        <f t="shared" si="128"/>
        <v>N.D.</v>
      </c>
      <c r="W233" s="408"/>
      <c r="X233" s="409" t="str">
        <f t="shared" si="129"/>
        <v>N.D.</v>
      </c>
      <c r="Y233" s="408"/>
      <c r="Z233" s="409" t="str">
        <f t="shared" si="130"/>
        <v>N.D.</v>
      </c>
      <c r="AA233" s="408"/>
      <c r="AB233" s="361">
        <f t="shared" si="131"/>
        <v>0</v>
      </c>
    </row>
    <row r="234" spans="2:28" s="130" customFormat="1" ht="13" x14ac:dyDescent="0.3">
      <c r="B234" s="7" t="s">
        <v>190</v>
      </c>
      <c r="C234" s="410">
        <f>+C230+C232+C233+C216</f>
        <v>81.759999999999991</v>
      </c>
      <c r="D234" s="409">
        <f t="shared" si="132"/>
        <v>0.70361445783132526</v>
      </c>
      <c r="E234" s="410">
        <f>+E230+E232+E233+E216</f>
        <v>79.039000000000016</v>
      </c>
      <c r="F234" s="409">
        <f t="shared" si="132"/>
        <v>0.68019793459552502</v>
      </c>
      <c r="G234" s="410">
        <v>79.212000000000018</v>
      </c>
      <c r="H234" s="409">
        <f t="shared" si="121"/>
        <v>0.68168674698795195</v>
      </c>
      <c r="I234" s="410">
        <v>79.485000000000014</v>
      </c>
      <c r="J234" s="409">
        <f t="shared" si="122"/>
        <v>0.68344797936371471</v>
      </c>
      <c r="K234" s="410">
        <v>79.658000000000001</v>
      </c>
      <c r="L234" s="409">
        <f t="shared" si="123"/>
        <v>0.68493551160791055</v>
      </c>
      <c r="M234" s="410">
        <v>79.831000000000003</v>
      </c>
      <c r="N234" s="409">
        <f t="shared" si="124"/>
        <v>0.68642304385210662</v>
      </c>
      <c r="O234" s="410">
        <v>79.831000000000003</v>
      </c>
      <c r="P234" s="409">
        <f t="shared" si="125"/>
        <v>0.68642304385210662</v>
      </c>
      <c r="Q234" s="410"/>
      <c r="R234" s="409" t="str">
        <f t="shared" si="126"/>
        <v>N.D.</v>
      </c>
      <c r="S234" s="410"/>
      <c r="T234" s="409" t="str">
        <f t="shared" si="127"/>
        <v>N.D.</v>
      </c>
      <c r="U234" s="410"/>
      <c r="V234" s="409" t="str">
        <f t="shared" si="128"/>
        <v>N.D.</v>
      </c>
      <c r="W234" s="410"/>
      <c r="X234" s="409" t="str">
        <f t="shared" si="129"/>
        <v>N.D.</v>
      </c>
      <c r="Y234" s="410"/>
      <c r="Z234" s="409" t="str">
        <f t="shared" si="130"/>
        <v>N.D.</v>
      </c>
      <c r="AA234" s="410"/>
      <c r="AB234" s="361">
        <f t="shared" si="131"/>
        <v>0</v>
      </c>
    </row>
    <row r="235" spans="2:28" s="130" customFormat="1" ht="13" x14ac:dyDescent="0.3">
      <c r="B235" s="7" t="s">
        <v>191</v>
      </c>
      <c r="C235" s="516">
        <v>27.815650000000002</v>
      </c>
      <c r="D235" s="411">
        <f t="shared" si="132"/>
        <v>0.23937736660929432</v>
      </c>
      <c r="E235" s="516">
        <v>27.815650000000002</v>
      </c>
      <c r="F235" s="411">
        <f t="shared" si="132"/>
        <v>0.23937736660929432</v>
      </c>
      <c r="G235" s="516">
        <v>27.815650000000002</v>
      </c>
      <c r="H235" s="411">
        <f t="shared" si="121"/>
        <v>0.23937736660929432</v>
      </c>
      <c r="I235" s="516">
        <v>28.44135</v>
      </c>
      <c r="J235" s="411">
        <f t="shared" si="122"/>
        <v>0.24455159071367155</v>
      </c>
      <c r="K235" s="516">
        <v>27</v>
      </c>
      <c r="L235" s="411">
        <f t="shared" si="123"/>
        <v>0.23215821152192606</v>
      </c>
      <c r="M235" s="516">
        <v>47</v>
      </c>
      <c r="N235" s="411">
        <f t="shared" si="124"/>
        <v>0.40412725709372316</v>
      </c>
      <c r="O235" s="516">
        <v>47</v>
      </c>
      <c r="P235" s="411">
        <f t="shared" si="125"/>
        <v>0.40412725709372316</v>
      </c>
      <c r="Q235" s="516"/>
      <c r="R235" s="411" t="str">
        <f t="shared" si="126"/>
        <v>N.D.</v>
      </c>
      <c r="S235" s="516"/>
      <c r="T235" s="411" t="str">
        <f t="shared" si="127"/>
        <v>N.D.</v>
      </c>
      <c r="U235" s="516"/>
      <c r="V235" s="411" t="str">
        <f t="shared" si="128"/>
        <v>N.D.</v>
      </c>
      <c r="W235" s="516"/>
      <c r="X235" s="411" t="str">
        <f t="shared" si="129"/>
        <v>N.D.</v>
      </c>
      <c r="Y235" s="516"/>
      <c r="Z235" s="411" t="str">
        <f t="shared" si="130"/>
        <v>N.D.</v>
      </c>
      <c r="AA235" s="381"/>
      <c r="AB235" s="151">
        <f t="shared" si="131"/>
        <v>0</v>
      </c>
    </row>
    <row r="236" spans="2:28" s="130" customFormat="1" ht="13" x14ac:dyDescent="0.3">
      <c r="B236" s="7" t="s">
        <v>84</v>
      </c>
      <c r="C236" s="381">
        <f>+C234-C235</f>
        <v>53.944349999999986</v>
      </c>
      <c r="D236" s="411">
        <f t="shared" si="132"/>
        <v>0.46423709122203083</v>
      </c>
      <c r="E236" s="381">
        <f>+E234-E235</f>
        <v>51.223350000000011</v>
      </c>
      <c r="F236" s="411">
        <f t="shared" si="132"/>
        <v>0.4408205679862307</v>
      </c>
      <c r="G236" s="381">
        <v>51.396350000000012</v>
      </c>
      <c r="H236" s="411">
        <f t="shared" si="121"/>
        <v>0.44230938037865758</v>
      </c>
      <c r="I236" s="381">
        <v>51.043650000000014</v>
      </c>
      <c r="J236" s="411">
        <f t="shared" si="122"/>
        <v>0.4388963886500431</v>
      </c>
      <c r="K236" s="381">
        <v>52.658000000000001</v>
      </c>
      <c r="L236" s="411">
        <f t="shared" si="123"/>
        <v>0.45277730008598455</v>
      </c>
      <c r="M236" s="381">
        <v>32.831000000000003</v>
      </c>
      <c r="N236" s="411">
        <f t="shared" si="124"/>
        <v>0.28229578675838352</v>
      </c>
      <c r="O236" s="381">
        <v>32.831000000000003</v>
      </c>
      <c r="P236" s="411">
        <f t="shared" si="125"/>
        <v>0.28229578675838352</v>
      </c>
      <c r="Q236" s="381"/>
      <c r="R236" s="411" t="str">
        <f t="shared" si="126"/>
        <v>N.D.</v>
      </c>
      <c r="S236" s="381"/>
      <c r="T236" s="411" t="str">
        <f t="shared" si="127"/>
        <v>N.D.</v>
      </c>
      <c r="U236" s="381"/>
      <c r="V236" s="411" t="str">
        <f t="shared" si="128"/>
        <v>N.D.</v>
      </c>
      <c r="W236" s="381"/>
      <c r="X236" s="411" t="str">
        <f t="shared" si="129"/>
        <v>N.D.</v>
      </c>
      <c r="Y236" s="381"/>
      <c r="Z236" s="411" t="str">
        <f t="shared" si="130"/>
        <v>N.D.</v>
      </c>
      <c r="AA236" s="381"/>
      <c r="AB236" s="151">
        <f t="shared" si="131"/>
        <v>0</v>
      </c>
    </row>
    <row r="237" spans="2:28" s="130" customFormat="1" ht="13" x14ac:dyDescent="0.3">
      <c r="B237" s="1" t="s">
        <v>193</v>
      </c>
      <c r="C237" s="412"/>
      <c r="D237" s="411">
        <f t="shared" si="132"/>
        <v>0</v>
      </c>
      <c r="E237" s="412"/>
      <c r="F237" s="411">
        <f t="shared" si="132"/>
        <v>0</v>
      </c>
      <c r="G237" s="412">
        <v>2.8477493784973573</v>
      </c>
      <c r="H237" s="411">
        <f t="shared" si="121"/>
        <v>2.4507309625622697E-2</v>
      </c>
      <c r="I237" s="412">
        <v>2.7946985638867359</v>
      </c>
      <c r="J237" s="411">
        <f t="shared" si="122"/>
        <v>2.4030082234623697E-2</v>
      </c>
      <c r="K237" s="412">
        <v>2.9502962962962962</v>
      </c>
      <c r="L237" s="411">
        <f t="shared" si="123"/>
        <v>2.5367981911404096E-2</v>
      </c>
      <c r="M237" s="412">
        <v>1.6985319148936171</v>
      </c>
      <c r="N237" s="411">
        <f t="shared" si="124"/>
        <v>1.460474561387461E-2</v>
      </c>
      <c r="O237" s="412">
        <v>1.6985319148936171</v>
      </c>
      <c r="P237" s="411">
        <f t="shared" si="125"/>
        <v>1.460474561387461E-2</v>
      </c>
      <c r="Q237" s="412"/>
      <c r="R237" s="411" t="str">
        <f t="shared" si="126"/>
        <v>N.D.</v>
      </c>
      <c r="S237" s="412"/>
      <c r="T237" s="411" t="str">
        <f t="shared" si="127"/>
        <v>N.D.</v>
      </c>
      <c r="U237" s="412"/>
      <c r="V237" s="411" t="str">
        <f t="shared" si="128"/>
        <v>N.D.</v>
      </c>
      <c r="W237" s="412"/>
      <c r="X237" s="411" t="str">
        <f t="shared" si="129"/>
        <v>N.D.</v>
      </c>
      <c r="Y237" s="412"/>
      <c r="Z237" s="411" t="str">
        <f t="shared" si="130"/>
        <v>N.D.</v>
      </c>
      <c r="AA237" s="412"/>
      <c r="AB237" s="151">
        <f t="shared" si="131"/>
        <v>0</v>
      </c>
    </row>
    <row r="238" spans="2:28" ht="13" x14ac:dyDescent="0.3">
      <c r="C238" s="446"/>
      <c r="D238" s="438"/>
      <c r="E238" s="446"/>
      <c r="F238" s="438"/>
      <c r="G238" s="446"/>
      <c r="H238" s="438"/>
      <c r="I238" s="446"/>
      <c r="J238" s="438"/>
      <c r="K238" s="446"/>
      <c r="L238" s="438"/>
      <c r="M238" s="446"/>
      <c r="N238" s="438"/>
      <c r="O238" s="446"/>
      <c r="P238" s="438"/>
      <c r="Q238" s="446"/>
      <c r="R238" s="438"/>
      <c r="S238" s="446"/>
      <c r="T238" s="438"/>
      <c r="U238" s="446"/>
      <c r="V238" s="438"/>
      <c r="W238" s="446"/>
      <c r="X238" s="438"/>
      <c r="Y238" s="446"/>
      <c r="Z238" s="438"/>
      <c r="AA238" s="446"/>
      <c r="AB238" s="148"/>
    </row>
    <row r="239" spans="2:28" x14ac:dyDescent="0.25">
      <c r="D239" s="429"/>
      <c r="F239" s="429"/>
      <c r="H239" s="429"/>
      <c r="J239" s="429"/>
      <c r="L239" s="429"/>
      <c r="N239" s="429"/>
      <c r="P239" s="429"/>
      <c r="R239" s="429"/>
      <c r="T239" s="429"/>
      <c r="V239" s="429"/>
      <c r="X239" s="429"/>
      <c r="Z239" s="429"/>
      <c r="AB239" s="130"/>
    </row>
    <row r="240" spans="2:28" x14ac:dyDescent="0.25">
      <c r="D240" s="429"/>
      <c r="F240" s="429"/>
      <c r="H240" s="429"/>
      <c r="J240" s="429"/>
      <c r="L240" s="429"/>
      <c r="N240" s="429"/>
      <c r="P240" s="429"/>
      <c r="R240" s="429"/>
      <c r="T240" s="429"/>
      <c r="V240" s="429"/>
      <c r="X240" s="429"/>
      <c r="Z240" s="429"/>
      <c r="AB240" s="130"/>
    </row>
    <row r="241" spans="3:28" x14ac:dyDescent="0.25">
      <c r="D241" s="429"/>
      <c r="F241" s="429"/>
      <c r="H241" s="429"/>
      <c r="J241" s="429"/>
      <c r="L241" s="429"/>
      <c r="N241" s="429"/>
      <c r="P241" s="429"/>
      <c r="R241" s="429"/>
      <c r="T241" s="429"/>
      <c r="V241" s="429"/>
      <c r="X241" s="429"/>
      <c r="Z241" s="429"/>
      <c r="AB241" s="130"/>
    </row>
    <row r="242" spans="3:28" ht="13" x14ac:dyDescent="0.3">
      <c r="C242" s="394"/>
      <c r="D242" s="430"/>
      <c r="E242" s="394"/>
      <c r="F242" s="430"/>
      <c r="G242" s="394"/>
      <c r="H242" s="430"/>
      <c r="I242" s="394"/>
      <c r="J242" s="430"/>
      <c r="K242" s="394"/>
      <c r="L242" s="430"/>
      <c r="M242" s="394"/>
      <c r="N242" s="430"/>
      <c r="O242" s="394"/>
      <c r="P242" s="430"/>
      <c r="Q242" s="394"/>
      <c r="R242" s="430"/>
      <c r="S242" s="394"/>
      <c r="T242" s="430"/>
      <c r="U242" s="394"/>
      <c r="V242" s="430"/>
      <c r="W242" s="394"/>
      <c r="X242" s="430"/>
      <c r="Y242" s="394"/>
      <c r="Z242" s="430"/>
      <c r="AA242" s="394"/>
      <c r="AB242" s="135"/>
    </row>
    <row r="244" spans="3:28" x14ac:dyDescent="0.25">
      <c r="D244" s="429"/>
      <c r="F244" s="429"/>
      <c r="H244" s="429"/>
      <c r="J244" s="429"/>
      <c r="L244" s="429"/>
      <c r="N244" s="429"/>
      <c r="P244" s="429"/>
      <c r="R244" s="429"/>
      <c r="T244" s="429"/>
      <c r="V244" s="429"/>
      <c r="X244" s="429"/>
      <c r="Z244" s="429"/>
      <c r="AB244" s="130"/>
    </row>
    <row r="245" spans="3:28" x14ac:dyDescent="0.25">
      <c r="D245" s="429"/>
      <c r="F245" s="429"/>
      <c r="H245" s="429"/>
      <c r="J245" s="429"/>
      <c r="L245" s="429"/>
      <c r="N245" s="429"/>
      <c r="P245" s="429"/>
      <c r="R245" s="429"/>
      <c r="T245" s="429"/>
      <c r="V245" s="429"/>
      <c r="X245" s="429"/>
      <c r="Z245" s="429"/>
      <c r="AB245" s="130"/>
    </row>
    <row r="246" spans="3:28" x14ac:dyDescent="0.25">
      <c r="D246" s="429"/>
      <c r="F246" s="429"/>
      <c r="H246" s="429"/>
      <c r="J246" s="429"/>
      <c r="L246" s="429"/>
      <c r="N246" s="429"/>
      <c r="P246" s="429"/>
      <c r="R246" s="429"/>
      <c r="T246" s="429"/>
      <c r="V246" s="429"/>
      <c r="X246" s="429"/>
      <c r="Z246" s="429"/>
      <c r="AB246" s="130"/>
    </row>
    <row r="247" spans="3:28" ht="13" x14ac:dyDescent="0.3">
      <c r="D247" s="430"/>
      <c r="F247" s="430"/>
      <c r="H247" s="430"/>
      <c r="J247" s="430"/>
      <c r="L247" s="430"/>
      <c r="N247" s="430"/>
      <c r="P247" s="430"/>
      <c r="R247" s="430"/>
      <c r="T247" s="430"/>
      <c r="V247" s="430"/>
      <c r="X247" s="430"/>
      <c r="Z247" s="430"/>
      <c r="AB247" s="135"/>
    </row>
    <row r="248" spans="3:28" ht="13" x14ac:dyDescent="0.3">
      <c r="C248" s="394"/>
      <c r="E248" s="394"/>
      <c r="G248" s="394"/>
      <c r="I248" s="394"/>
      <c r="K248" s="394"/>
      <c r="M248" s="394"/>
      <c r="O248" s="394"/>
      <c r="Q248" s="394"/>
      <c r="S248" s="394"/>
      <c r="U248" s="394"/>
      <c r="W248" s="394"/>
      <c r="Y248" s="394"/>
      <c r="AA248" s="394"/>
    </row>
    <row r="250" spans="3:28" x14ac:dyDescent="0.25">
      <c r="D250" s="429"/>
      <c r="F250" s="429"/>
      <c r="H250" s="429"/>
      <c r="J250" s="429"/>
      <c r="L250" s="429"/>
      <c r="N250" s="429"/>
      <c r="P250" s="429"/>
      <c r="R250" s="429"/>
      <c r="T250" s="429"/>
      <c r="V250" s="429"/>
      <c r="X250" s="429"/>
      <c r="Z250" s="429"/>
      <c r="AB250" s="130"/>
    </row>
    <row r="251" spans="3:28" x14ac:dyDescent="0.25">
      <c r="D251" s="429"/>
      <c r="F251" s="429"/>
      <c r="H251" s="429"/>
      <c r="J251" s="429"/>
      <c r="L251" s="429"/>
      <c r="N251" s="429"/>
      <c r="P251" s="429"/>
      <c r="R251" s="429"/>
      <c r="T251" s="429"/>
      <c r="V251" s="429"/>
      <c r="X251" s="429"/>
      <c r="Z251" s="429"/>
      <c r="AB251" s="130"/>
    </row>
    <row r="252" spans="3:28" x14ac:dyDescent="0.25">
      <c r="D252" s="429"/>
      <c r="F252" s="429"/>
      <c r="H252" s="429"/>
      <c r="J252" s="429"/>
      <c r="L252" s="429"/>
      <c r="N252" s="429"/>
      <c r="P252" s="429"/>
      <c r="R252" s="429"/>
      <c r="T252" s="429"/>
      <c r="V252" s="429"/>
      <c r="X252" s="429"/>
      <c r="Z252" s="429"/>
      <c r="AB252" s="130"/>
    </row>
  </sheetData>
  <pageMargins left="0.7" right="0.7" top="0.75" bottom="0.75" header="0.3" footer="0.3"/>
  <pageSetup scale="8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_AA_Empresas">
    <tabColor rgb="FF00B0F0"/>
  </sheetPr>
  <dimension ref="A1:AC252"/>
  <sheetViews>
    <sheetView showGridLines="0" topLeftCell="C1" zoomScale="79" zoomScaleNormal="79" workbookViewId="0">
      <selection activeCell="Y2" sqref="Y2"/>
    </sheetView>
  </sheetViews>
  <sheetFormatPr baseColWidth="10" defaultColWidth="9.1796875" defaultRowHeight="12.5" x14ac:dyDescent="0.25"/>
  <cols>
    <col min="1" max="1" width="4.1796875" style="220" customWidth="1"/>
    <col min="2" max="2" width="22.81640625" style="274" customWidth="1"/>
    <col min="3" max="3" width="11.08984375" style="315" customWidth="1"/>
    <col min="4" max="4" width="7.36328125" style="393" bestFit="1" customWidth="1"/>
    <col min="5" max="5" width="11.08984375" style="315" customWidth="1"/>
    <col min="6" max="6" width="9.26953125" style="393" bestFit="1" customWidth="1"/>
    <col min="7" max="7" width="11.08984375" style="315" customWidth="1"/>
    <col min="8" max="8" width="7.36328125" style="393" bestFit="1" customWidth="1"/>
    <col min="9" max="9" width="6.08984375" style="315" bestFit="1" customWidth="1"/>
    <col min="10" max="10" width="7.36328125" style="393" bestFit="1" customWidth="1"/>
    <col min="11" max="11" width="6.81640625" style="315" bestFit="1" customWidth="1"/>
    <col min="12" max="12" width="7.36328125" style="393" bestFit="1" customWidth="1"/>
    <col min="13" max="13" width="7" style="315" bestFit="1" customWidth="1"/>
    <col min="14" max="14" width="7.36328125" style="393" bestFit="1" customWidth="1"/>
    <col min="15" max="15" width="6.36328125" style="315" bestFit="1" customWidth="1"/>
    <col min="16" max="16" width="7.36328125" style="393" bestFit="1" customWidth="1"/>
    <col min="17" max="17" width="8.36328125" style="315" bestFit="1" customWidth="1"/>
    <col min="18" max="18" width="7.36328125" style="393" bestFit="1" customWidth="1"/>
    <col min="19" max="19" width="12" style="315" bestFit="1" customWidth="1"/>
    <col min="20" max="20" width="7.36328125" style="393" bestFit="1" customWidth="1"/>
    <col min="21" max="21" width="9.08984375" style="315" bestFit="1" customWidth="1"/>
    <col min="22" max="22" width="7.36328125" style="393" bestFit="1" customWidth="1"/>
    <col min="23" max="23" width="11.54296875" style="315" bestFit="1" customWidth="1"/>
    <col min="24" max="24" width="9.26953125" style="393" bestFit="1" customWidth="1"/>
    <col min="25" max="25" width="11" style="315" bestFit="1" customWidth="1"/>
    <col min="26" max="26" width="9.26953125" style="393" bestFit="1" customWidth="1"/>
    <col min="27" max="27" width="16.7265625" style="315" bestFit="1" customWidth="1"/>
    <col min="28" max="28" width="9.26953125" style="276" bestFit="1" customWidth="1"/>
    <col min="29" max="16384" width="9.1796875" style="220"/>
  </cols>
  <sheetData>
    <row r="1" spans="1:28" x14ac:dyDescent="0.25">
      <c r="C1" s="347" t="str">
        <f>TEXT(DATE(YEAR(MES_CIERRE),1,1),"MMMM")</f>
        <v>enero</v>
      </c>
      <c r="D1" s="429"/>
      <c r="E1" s="347" t="str">
        <f>TEXT(DATE(YEAR(MES_CIERRE),2,1),"MMMM")</f>
        <v>febrero</v>
      </c>
      <c r="F1" s="429"/>
      <c r="G1" s="347" t="str">
        <f>TEXT(DATE(YEAR(MES_CIERRE),3,1),"MMMM")</f>
        <v>marzo</v>
      </c>
      <c r="H1" s="429"/>
      <c r="I1" s="347" t="str">
        <f>TEXT(DATE(YEAR(MES_CIERRE),4,1),"MMMM")</f>
        <v>abril</v>
      </c>
      <c r="J1" s="429"/>
      <c r="K1" s="347" t="str">
        <f>TEXT(DATE(YEAR(MES_CIERRE),5,1),"MMMM")</f>
        <v>mayo</v>
      </c>
      <c r="L1" s="429"/>
      <c r="M1" s="347" t="str">
        <f>TEXT(DATE(YEAR(MES_CIERRE),6,1),"MMMM")</f>
        <v>junio</v>
      </c>
      <c r="N1" s="429"/>
      <c r="O1" s="347" t="str">
        <f>TEXT(DATE(YEAR(MES_CIERRE),7,1),"MMMM")</f>
        <v>julio</v>
      </c>
      <c r="P1" s="429"/>
      <c r="Q1" s="347" t="str">
        <f>TEXT(DATE(YEAR(MES_CIERRE),8,1),"MMMM")</f>
        <v>agosto</v>
      </c>
      <c r="R1" s="429"/>
      <c r="S1" s="347" t="str">
        <f>TEXT(DATE(YEAR(MES_CIERRE),9,1),"MMMM")</f>
        <v>septiembre</v>
      </c>
      <c r="T1" s="429"/>
      <c r="U1" s="347" t="str">
        <f>TEXT(DATE(YEAR(MES_CIERRE),10,1),"MMMM")</f>
        <v>octubre</v>
      </c>
      <c r="V1" s="429"/>
      <c r="W1" s="347" t="str">
        <f>TEXT(DATE(YEAR(MES_CIERRE),11,1),"MMMM")</f>
        <v>noviembre</v>
      </c>
      <c r="X1" s="429"/>
      <c r="Y1" s="347" t="str">
        <f>TEXT(DATE(YEAR(MES_CIERRE),12,1),"MMMM")</f>
        <v>diciembre</v>
      </c>
      <c r="Z1" s="392"/>
      <c r="AA1" s="391"/>
      <c r="AB1" s="275"/>
    </row>
    <row r="2" spans="1:28" x14ac:dyDescent="0.25">
      <c r="C2" s="347"/>
      <c r="D2" s="428"/>
      <c r="E2" s="347"/>
      <c r="F2" s="428"/>
      <c r="G2" s="347"/>
      <c r="H2" s="428"/>
      <c r="I2" s="347"/>
      <c r="J2" s="428"/>
      <c r="K2" s="347"/>
      <c r="L2" s="428"/>
      <c r="M2" s="347"/>
      <c r="N2" s="428"/>
      <c r="O2" s="347"/>
      <c r="P2" s="428"/>
      <c r="Q2" s="347"/>
      <c r="R2" s="428"/>
      <c r="S2" s="347"/>
      <c r="T2" s="428"/>
      <c r="U2" s="347"/>
      <c r="V2" s="428"/>
      <c r="W2" s="347"/>
      <c r="X2" s="428"/>
      <c r="Y2" s="347"/>
    </row>
    <row r="3" spans="1:28" x14ac:dyDescent="0.25">
      <c r="C3" s="347"/>
      <c r="D3" s="428"/>
      <c r="E3" s="347"/>
      <c r="F3" s="428"/>
      <c r="G3" s="347"/>
      <c r="H3" s="428"/>
      <c r="I3" s="347"/>
      <c r="J3" s="428"/>
      <c r="K3" s="347"/>
      <c r="L3" s="428"/>
      <c r="M3" s="347"/>
      <c r="N3" s="428"/>
      <c r="O3" s="347"/>
      <c r="P3" s="428"/>
      <c r="Q3" s="347"/>
      <c r="R3" s="428"/>
      <c r="S3" s="347"/>
      <c r="T3" s="428"/>
      <c r="U3" s="347"/>
      <c r="V3" s="428"/>
      <c r="W3" s="347"/>
      <c r="X3" s="428"/>
      <c r="Y3" s="347"/>
    </row>
    <row r="4" spans="1:28" x14ac:dyDescent="0.25">
      <c r="C4" s="347"/>
      <c r="D4" s="429"/>
      <c r="E4" s="347"/>
      <c r="F4" s="429"/>
      <c r="G4" s="347"/>
      <c r="H4" s="429"/>
      <c r="I4" s="347"/>
      <c r="J4" s="429"/>
      <c r="K4" s="347"/>
      <c r="L4" s="429"/>
      <c r="M4" s="347"/>
      <c r="N4" s="429"/>
      <c r="O4" s="347"/>
      <c r="P4" s="429"/>
      <c r="Q4" s="347"/>
      <c r="R4" s="429"/>
      <c r="S4" s="347"/>
      <c r="T4" s="429"/>
      <c r="U4" s="347"/>
      <c r="V4" s="429"/>
      <c r="W4" s="347"/>
      <c r="X4" s="429"/>
      <c r="Y4" s="347"/>
      <c r="Z4" s="315"/>
      <c r="AB4" s="220"/>
    </row>
    <row r="5" spans="1:28" x14ac:dyDescent="0.25">
      <c r="C5" s="347"/>
      <c r="D5" s="428"/>
      <c r="E5" s="347"/>
      <c r="F5" s="428"/>
      <c r="G5" s="347"/>
      <c r="H5" s="428"/>
      <c r="I5" s="347"/>
      <c r="J5" s="428"/>
      <c r="K5" s="347"/>
      <c r="L5" s="428"/>
      <c r="M5" s="347"/>
      <c r="N5" s="428"/>
      <c r="O5" s="347"/>
      <c r="P5" s="428"/>
      <c r="Q5" s="347"/>
      <c r="R5" s="428"/>
      <c r="S5" s="347"/>
      <c r="T5" s="428"/>
      <c r="U5" s="347"/>
      <c r="V5" s="428"/>
      <c r="W5" s="347"/>
      <c r="X5" s="428"/>
      <c r="Y5" s="347"/>
      <c r="Z5" s="315"/>
      <c r="AB5" s="220"/>
    </row>
    <row r="6" spans="1:28" ht="13" x14ac:dyDescent="0.3">
      <c r="A6" s="222" t="str">
        <f>YEAR(MES_CIERRE)-1&amp;" Actual"</f>
        <v>2018 Actual</v>
      </c>
      <c r="C6" s="347"/>
      <c r="D6" s="429"/>
      <c r="E6" s="347"/>
      <c r="F6" s="429"/>
      <c r="G6" s="347"/>
      <c r="H6" s="429"/>
      <c r="I6" s="347"/>
      <c r="J6" s="429"/>
      <c r="K6" s="347"/>
      <c r="L6" s="429"/>
      <c r="M6" s="347"/>
      <c r="N6" s="429"/>
      <c r="O6" s="347"/>
      <c r="P6" s="429"/>
      <c r="Q6" s="347"/>
      <c r="R6" s="429"/>
      <c r="S6" s="347"/>
      <c r="T6" s="429"/>
      <c r="U6" s="347"/>
      <c r="V6" s="429"/>
      <c r="W6" s="347"/>
      <c r="X6" s="429"/>
      <c r="Y6" s="347"/>
      <c r="Z6" s="315"/>
      <c r="AB6" s="220"/>
    </row>
    <row r="7" spans="1:28" ht="13" x14ac:dyDescent="0.3">
      <c r="C7" s="394"/>
      <c r="D7" s="395"/>
      <c r="E7" s="394"/>
      <c r="F7" s="395"/>
      <c r="G7" s="394"/>
      <c r="H7" s="395"/>
      <c r="I7" s="394"/>
      <c r="J7" s="395"/>
      <c r="K7" s="394"/>
      <c r="L7" s="395"/>
      <c r="M7" s="394"/>
      <c r="N7" s="395"/>
      <c r="O7" s="394"/>
      <c r="P7" s="395"/>
      <c r="Q7" s="394"/>
      <c r="R7" s="395"/>
      <c r="S7" s="394"/>
      <c r="T7" s="395"/>
      <c r="U7" s="394"/>
      <c r="V7" s="395"/>
      <c r="W7" s="394"/>
      <c r="X7" s="395"/>
      <c r="Y7" s="394"/>
      <c r="Z7" s="395"/>
      <c r="AA7" s="394"/>
      <c r="AB7" s="23"/>
    </row>
    <row r="8" spans="1:28" ht="13" x14ac:dyDescent="0.3">
      <c r="C8" s="394"/>
      <c r="D8" s="395"/>
      <c r="E8" s="394"/>
      <c r="F8" s="395"/>
      <c r="G8" s="394"/>
      <c r="H8" s="395"/>
      <c r="I8" s="394"/>
      <c r="J8" s="395"/>
      <c r="K8" s="394"/>
      <c r="L8" s="395"/>
      <c r="M8" s="394"/>
      <c r="N8" s="395"/>
      <c r="O8" s="394"/>
      <c r="P8" s="395"/>
      <c r="Q8" s="394"/>
      <c r="R8" s="395"/>
      <c r="S8" s="394"/>
      <c r="T8" s="395"/>
      <c r="U8" s="394"/>
      <c r="V8" s="395"/>
      <c r="W8" s="394"/>
      <c r="X8" s="395"/>
      <c r="Y8" s="394"/>
      <c r="Z8" s="395"/>
      <c r="AA8" s="394"/>
      <c r="AB8" s="23"/>
    </row>
    <row r="9" spans="1:28" ht="13" x14ac:dyDescent="0.3">
      <c r="C9" s="394"/>
      <c r="D9" s="395"/>
      <c r="E9" s="394"/>
      <c r="F9" s="395"/>
      <c r="G9" s="394"/>
      <c r="H9" s="395"/>
      <c r="I9" s="394"/>
      <c r="J9" s="395"/>
      <c r="K9" s="394"/>
      <c r="L9" s="395"/>
      <c r="M9" s="394"/>
      <c r="N9" s="395"/>
      <c r="O9" s="394"/>
      <c r="P9" s="395"/>
      <c r="Q9" s="394"/>
      <c r="R9" s="395"/>
      <c r="S9" s="394"/>
      <c r="T9" s="395"/>
      <c r="U9" s="394"/>
      <c r="V9" s="395"/>
      <c r="W9" s="394"/>
      <c r="X9" s="395"/>
      <c r="Y9" s="394"/>
      <c r="Z9" s="395"/>
      <c r="AA9" s="394"/>
      <c r="AB9" s="23"/>
    </row>
    <row r="10" spans="1:28" ht="13" x14ac:dyDescent="0.3">
      <c r="B10" s="277" t="s">
        <v>196</v>
      </c>
      <c r="C10" s="396" t="s">
        <v>195</v>
      </c>
      <c r="D10" s="397"/>
      <c r="E10" s="396" t="s">
        <v>197</v>
      </c>
      <c r="F10" s="397"/>
      <c r="G10" s="396" t="s">
        <v>198</v>
      </c>
      <c r="H10" s="397"/>
      <c r="I10" s="396" t="s">
        <v>199</v>
      </c>
      <c r="J10" s="397"/>
      <c r="K10" s="396" t="s">
        <v>200</v>
      </c>
      <c r="L10" s="397"/>
      <c r="M10" s="396" t="s">
        <v>201</v>
      </c>
      <c r="N10" s="397"/>
      <c r="O10" s="396" t="s">
        <v>202</v>
      </c>
      <c r="P10" s="397"/>
      <c r="Q10" s="396" t="s">
        <v>203</v>
      </c>
      <c r="R10" s="397"/>
      <c r="S10" s="396" t="s">
        <v>204</v>
      </c>
      <c r="T10" s="397"/>
      <c r="U10" s="396" t="s">
        <v>205</v>
      </c>
      <c r="V10" s="397"/>
      <c r="W10" s="396" t="s">
        <v>206</v>
      </c>
      <c r="X10" s="397"/>
      <c r="Y10" s="396" t="s">
        <v>207</v>
      </c>
      <c r="Z10" s="397"/>
      <c r="AA10" s="396" t="s">
        <v>218</v>
      </c>
      <c r="AB10" s="115"/>
    </row>
    <row r="11" spans="1:28" x14ac:dyDescent="0.25">
      <c r="B11" s="278" t="s">
        <v>38</v>
      </c>
      <c r="C11" s="398">
        <f>+C44+C79+C110+C144+C209+C176</f>
        <v>3178.3583800000001</v>
      </c>
      <c r="D11" s="399">
        <f>IF(C$11=0,"N.D.",C11/C$11)</f>
        <v>1</v>
      </c>
      <c r="E11" s="398">
        <f>+E44+E79+E110+E144+E209+E176</f>
        <v>3128.6740000000004</v>
      </c>
      <c r="F11" s="399">
        <f>IF(E$11=0,"N.D.",E11/E$11)</f>
        <v>1</v>
      </c>
      <c r="G11" s="398">
        <f>+G44+G79+G110+G144+G209+G176</f>
        <v>3756.1959999999999</v>
      </c>
      <c r="H11" s="399">
        <f>IF(G$11=0,"N.D.",G11/G$11)</f>
        <v>1</v>
      </c>
      <c r="I11" s="398">
        <f>+I44+I79+I110+I144+I209+I176</f>
        <v>3357.0819999999994</v>
      </c>
      <c r="J11" s="399">
        <f>IF(I$11=0,"N.D.",I11/I$11)</f>
        <v>1</v>
      </c>
      <c r="K11" s="398">
        <f>+K44+K79+K110+K144+K209+K176</f>
        <v>1676.7920000000001</v>
      </c>
      <c r="L11" s="399">
        <f>IF(K$11=0,"N.D.",K11/K$11)</f>
        <v>1</v>
      </c>
      <c r="M11" s="398">
        <f>+M44+M79+M110+M144+M209+M176</f>
        <v>1650.8429999999998</v>
      </c>
      <c r="N11" s="399">
        <f>IF(M$11=0,"N.D.",M11/M$11)</f>
        <v>1</v>
      </c>
      <c r="O11" s="398">
        <f>+O44+O79+O110+O144+O209+O176</f>
        <v>1650.8427799999999</v>
      </c>
      <c r="P11" s="399">
        <f>IF(O$11=0,"N.D.",O11/O$11)</f>
        <v>1</v>
      </c>
      <c r="Q11" s="398">
        <f>+Q44+Q79+Q110+Q144+Q209+Q176</f>
        <v>3512.7522899999999</v>
      </c>
      <c r="R11" s="399">
        <f>IF(Q$11=0,"N.D.",Q11/Q$11)</f>
        <v>1</v>
      </c>
      <c r="S11" s="398">
        <f>+S44+S79+S110+S144+S209+S176</f>
        <v>3240.3201499999996</v>
      </c>
      <c r="T11" s="399">
        <f>IF(S$11=0,"N.D.",S11/S$11)</f>
        <v>1</v>
      </c>
      <c r="U11" s="398">
        <f>+U44+U79+U110+U144+U209+U176</f>
        <v>3342.05</v>
      </c>
      <c r="V11" s="399">
        <f>IF(U$11=0,"N.D.",U11/U$11)</f>
        <v>1</v>
      </c>
      <c r="W11" s="398">
        <f>+W44+W79+W110+W144+W209+W176</f>
        <v>3198.1239999999998</v>
      </c>
      <c r="X11" s="399">
        <f>IF(W$11=0,"N.D.",W11/W$11)</f>
        <v>1</v>
      </c>
      <c r="Y11" s="398">
        <f>+Y44+Y79+Y110+Y144+Y209+Y176</f>
        <v>3407.6059999999998</v>
      </c>
      <c r="Z11" s="399">
        <f>IF(Y$11=0,"N.D.",Y11/Y$11)</f>
        <v>1</v>
      </c>
      <c r="AA11" s="400">
        <f>+AA44+AA79+AA110+AA144+AA209+AA176</f>
        <v>35099.640599999999</v>
      </c>
      <c r="AB11" s="165">
        <f>IF(AA$11=0,"N.D.",AA11/AA$11)</f>
        <v>1</v>
      </c>
    </row>
    <row r="12" spans="1:28" x14ac:dyDescent="0.25">
      <c r="B12" s="279" t="s">
        <v>39</v>
      </c>
      <c r="C12" s="398">
        <f>+C45+C80+C111+C145+C210+C177</f>
        <v>2033.6368499999999</v>
      </c>
      <c r="D12" s="401">
        <f>IF(C$11=0,"N.D.",C12/C$11)</f>
        <v>0.63983874908404748</v>
      </c>
      <c r="E12" s="398">
        <f>+E45+E80+E111+E145+E210+E177</f>
        <v>1086.1690000000001</v>
      </c>
      <c r="F12" s="401">
        <f>IF(E$11=0,"N.D.",E12/E$11)</f>
        <v>0.34716592396651103</v>
      </c>
      <c r="G12" s="398">
        <f>+G45+G80+G111+G145+G210+G177</f>
        <v>1320.1990000000001</v>
      </c>
      <c r="H12" s="401">
        <f>IF(G$11=0,"N.D.",G12/G$11)</f>
        <v>0.35147234063398186</v>
      </c>
      <c r="I12" s="398">
        <f>+I45+I80+I111+I145+I210+I177</f>
        <v>1158.375</v>
      </c>
      <c r="J12" s="401">
        <f>IF(I$11=0,"N.D.",I12/I$11)</f>
        <v>0.34505412736418123</v>
      </c>
      <c r="K12" s="398">
        <f>+K45+K80+K111+K145+K210+K177</f>
        <v>544.9670000000001</v>
      </c>
      <c r="L12" s="401">
        <f>IF(K$11=0,"N.D.",K12/K$11)</f>
        <v>0.32500572521815468</v>
      </c>
      <c r="M12" s="398">
        <f>+M45+M80+M111+M145+M210+M177</f>
        <v>537.65499999999997</v>
      </c>
      <c r="N12" s="401">
        <f>IF(M$11=0,"N.D.",M12/M$11)</f>
        <v>0.32568511966310548</v>
      </c>
      <c r="O12" s="398">
        <f>+O45+O80+O111+O145+O210+O177</f>
        <v>537.65418</v>
      </c>
      <c r="P12" s="401">
        <f>IF(O$11=0,"N.D.",O12/O$11)</f>
        <v>0.32568466634963267</v>
      </c>
      <c r="Q12" s="398">
        <f>+Q45+Q80+Q111+Q145+Q210+Q177</f>
        <v>1305.662763</v>
      </c>
      <c r="R12" s="401">
        <f>IF(Q$11=0,"N.D.",Q12/Q$11)</f>
        <v>0.37169223879432728</v>
      </c>
      <c r="S12" s="398">
        <f>+S45+S80+S111+S145+S210+S177</f>
        <v>1199.8020999999999</v>
      </c>
      <c r="T12" s="401">
        <f>IF(S$11=0,"N.D.",S12/S$11)</f>
        <v>0.37027270283771191</v>
      </c>
      <c r="U12" s="398">
        <f>+U45+U80+U111+U145+U210+U177</f>
        <v>1245.587</v>
      </c>
      <c r="V12" s="401">
        <f>IF(U$11=0,"N.D.",U12/U$11)</f>
        <v>0.37270148561511646</v>
      </c>
      <c r="W12" s="398">
        <f>+W45+W80+W111+W145+W210+W177</f>
        <v>1181.6779999999999</v>
      </c>
      <c r="X12" s="401">
        <f>IF(W$11=0,"N.D.",W12/W$11)</f>
        <v>0.36949098909235539</v>
      </c>
      <c r="Y12" s="398">
        <f>+Y45+Y80+Y111+Y145+Y210+Y177</f>
        <v>1239.0620000000001</v>
      </c>
      <c r="Z12" s="401">
        <f>IF(Y$11=0,"N.D.",Y12/Y$11)</f>
        <v>0.36361656834739703</v>
      </c>
      <c r="AA12" s="398">
        <f>+AA45+AA80+AA111+AA145+AA210+AA177</f>
        <v>13390.447893</v>
      </c>
      <c r="AB12" s="166">
        <f>IF(AA$11=0,"N.D.",AA12/AA$11)</f>
        <v>0.38149814824599659</v>
      </c>
    </row>
    <row r="13" spans="1:28" hidden="1" x14ac:dyDescent="0.25">
      <c r="B13" s="278" t="s">
        <v>219</v>
      </c>
      <c r="C13" s="398">
        <f>+C46+C81+C112+C146+C211+C178</f>
        <v>0</v>
      </c>
      <c r="D13" s="401">
        <f>IF(C$11=0,"N.D.",C13/C$11)</f>
        <v>0</v>
      </c>
      <c r="E13" s="398">
        <f>+E46+E81+E112+E146+E211+E178</f>
        <v>0</v>
      </c>
      <c r="F13" s="401">
        <f>IF(E$11=0,"N.D.",E13/E$11)</f>
        <v>0</v>
      </c>
      <c r="G13" s="398">
        <f>+G46+G81+G112+G146+G211+G178</f>
        <v>0</v>
      </c>
      <c r="H13" s="401">
        <f>IF(G$11=0,"N.D.",G13/G$11)</f>
        <v>0</v>
      </c>
      <c r="I13" s="398">
        <f>+I46+I81+I112+I146+I211+I178</f>
        <v>0</v>
      </c>
      <c r="J13" s="401">
        <f>IF(I$11=0,"N.D.",I13/I$11)</f>
        <v>0</v>
      </c>
      <c r="K13" s="398">
        <f>+K46+K81+K112+K146+K211+K178</f>
        <v>0</v>
      </c>
      <c r="L13" s="401">
        <f>IF(K$11=0,"N.D.",K13/K$11)</f>
        <v>0</v>
      </c>
      <c r="M13" s="398">
        <f>+M46+M81+M112+M146+M211+M178</f>
        <v>0</v>
      </c>
      <c r="N13" s="401">
        <f>IF(M$11=0,"N.D.",M13/M$11)</f>
        <v>0</v>
      </c>
      <c r="O13" s="398">
        <f>+O46+O81+O112+O146+O211+O178</f>
        <v>0</v>
      </c>
      <c r="P13" s="401">
        <f>IF(O$11=0,"N.D.",O13/O$11)</f>
        <v>0</v>
      </c>
      <c r="Q13" s="398">
        <f>+Q46+Q81+Q112+Q146+Q211+Q178</f>
        <v>442.57974999999999</v>
      </c>
      <c r="R13" s="401">
        <f>IF(Q$11=0,"N.D.",Q13/Q$11)</f>
        <v>0.1259923027478832</v>
      </c>
      <c r="S13" s="398">
        <f>+S46+S81+S112+S146+S211+S178</f>
        <v>411.43639000000002</v>
      </c>
      <c r="T13" s="401">
        <f>IF(S$11=0,"N.D.",S13/S$11)</f>
        <v>0.12697399360368761</v>
      </c>
      <c r="U13" s="398">
        <f>+U46+U81+U112+U146+U211+U178</f>
        <v>862.15600000000006</v>
      </c>
      <c r="V13" s="401">
        <f>IF(U$11=0,"N.D.",U13/U$11)</f>
        <v>0.25797220268996574</v>
      </c>
      <c r="W13" s="398">
        <f>+W46+W81+W112+W146+W211+W178</f>
        <v>828.84699999999998</v>
      </c>
      <c r="X13" s="401">
        <f>IF(W$11=0,"N.D.",W13/W$11)</f>
        <v>0.25916662393328088</v>
      </c>
      <c r="Y13" s="398">
        <f>+Y46+Y81+Y112+Y146+Y211+Y178</f>
        <v>845.64799999999991</v>
      </c>
      <c r="Z13" s="401">
        <f>IF(Y$11=0,"N.D.",Y13/Y$11)</f>
        <v>0.24816484065352626</v>
      </c>
      <c r="AA13" s="398"/>
      <c r="AB13" s="166">
        <f>IF(AA$11=0,"N.D.",AA13/AA$11)</f>
        <v>0</v>
      </c>
    </row>
    <row r="14" spans="1:28" ht="13" x14ac:dyDescent="0.3">
      <c r="B14" s="278" t="s">
        <v>40</v>
      </c>
      <c r="C14" s="335">
        <f>+C11-C12-C13</f>
        <v>1144.7215300000003</v>
      </c>
      <c r="D14" s="402">
        <f>IF(C$11=0,"N.D.",C14/C$11)</f>
        <v>0.36016125091595247</v>
      </c>
      <c r="E14" s="335">
        <f>+E11-E12-E13</f>
        <v>2042.5050000000003</v>
      </c>
      <c r="F14" s="402">
        <f>IF(E$11=0,"N.D.",E14/E$11)</f>
        <v>0.65283407603348897</v>
      </c>
      <c r="G14" s="335">
        <f>+G11-G12-G13</f>
        <v>2435.9969999999998</v>
      </c>
      <c r="H14" s="402">
        <f>IF(G$11=0,"N.D.",G14/G$11)</f>
        <v>0.64852765936601819</v>
      </c>
      <c r="I14" s="335">
        <f>+I47+I82+I113+I147+I212+I179</f>
        <v>2198.7069999999999</v>
      </c>
      <c r="J14" s="402">
        <f>IF(I$11=0,"N.D.",I14/I$11)</f>
        <v>0.65494587263581894</v>
      </c>
      <c r="K14" s="335">
        <f>+K47+K82+K113+K147+K212+K179</f>
        <v>1131.825</v>
      </c>
      <c r="L14" s="402">
        <f>IF(K$11=0,"N.D.",K14/K$11)</f>
        <v>0.67499427478184526</v>
      </c>
      <c r="M14" s="335">
        <f>+M47+M82+M113+M147+M212+M179</f>
        <v>1113.1879999999999</v>
      </c>
      <c r="N14" s="402">
        <f>IF(M$11=0,"N.D.",M14/M$11)</f>
        <v>0.67431488033689457</v>
      </c>
      <c r="O14" s="335">
        <f>+O47+O82+O113+O147+O212+O179</f>
        <v>1113.1886</v>
      </c>
      <c r="P14" s="402">
        <f>IF(O$11=0,"N.D.",O14/O$11)</f>
        <v>0.67431533365036733</v>
      </c>
      <c r="Q14" s="335">
        <f>+Q47+Q82+Q113+Q147+Q212+Q179</f>
        <v>1338.0298869999999</v>
      </c>
      <c r="R14" s="402">
        <f>IF(Q$11=0,"N.D.",Q14/Q$11)</f>
        <v>0.38090641654666746</v>
      </c>
      <c r="S14" s="335">
        <f>+S47+S82+S113+S147+S212+S179</f>
        <v>1213.7436399999999</v>
      </c>
      <c r="T14" s="402">
        <f>IF(S$11=0,"N.D.",S14/S$11)</f>
        <v>0.37457522214278738</v>
      </c>
      <c r="U14" s="335">
        <f>+U47+U82+U113+U147+U212+U179</f>
        <v>1234.307</v>
      </c>
      <c r="V14" s="402">
        <f>IF(U$11=0,"N.D.",U14/U$11)</f>
        <v>0.36932631169491775</v>
      </c>
      <c r="W14" s="335">
        <f>+W47+W82+W113+W147+W212+W179</f>
        <v>1187.5990000000004</v>
      </c>
      <c r="X14" s="402">
        <f>IF(W$11=0,"N.D.",W14/W$11)</f>
        <v>0.37134238697436389</v>
      </c>
      <c r="Y14" s="335">
        <f>+Y47+Y82+Y113+Y147+Y212+Y179</f>
        <v>1322.8959999999995</v>
      </c>
      <c r="Z14" s="402">
        <f>IF(Y$11=0,"N.D.",Y14/Y$11)</f>
        <v>0.38821859099907663</v>
      </c>
      <c r="AA14" s="335">
        <f>+AA47+AA82+AA113+AA147+AA212+AA179</f>
        <v>17476.707656999999</v>
      </c>
      <c r="AB14" s="30">
        <f>IF(AA$11=0,"N.D.",AA14/AA$11)</f>
        <v>0.49791699738942624</v>
      </c>
    </row>
    <row r="15" spans="1:28" x14ac:dyDescent="0.25">
      <c r="B15" s="278"/>
      <c r="C15" s="403"/>
      <c r="D15" s="404"/>
      <c r="E15" s="403"/>
      <c r="F15" s="404"/>
      <c r="G15" s="403"/>
      <c r="H15" s="404"/>
      <c r="I15" s="403"/>
      <c r="J15" s="404"/>
      <c r="K15" s="403"/>
      <c r="L15" s="404"/>
      <c r="M15" s="403"/>
      <c r="N15" s="404"/>
      <c r="O15" s="403"/>
      <c r="P15" s="404"/>
      <c r="Q15" s="403"/>
      <c r="R15" s="404"/>
      <c r="S15" s="403"/>
      <c r="T15" s="404"/>
      <c r="U15" s="403"/>
      <c r="V15" s="404"/>
      <c r="W15" s="403"/>
      <c r="X15" s="404"/>
      <c r="Y15" s="403"/>
      <c r="Z15" s="404"/>
      <c r="AA15" s="403"/>
      <c r="AB15" s="167"/>
    </row>
    <row r="16" spans="1:28" x14ac:dyDescent="0.25">
      <c r="B16" s="278" t="s">
        <v>41</v>
      </c>
      <c r="C16" s="400">
        <f>+C49+C84+C115+C149+C214+C181</f>
        <v>989.57522999999992</v>
      </c>
      <c r="D16" s="399">
        <f>IF(C$11=0,"N.D.",C16/C$11)</f>
        <v>0.31134790721743588</v>
      </c>
      <c r="E16" s="400">
        <f>+E49+E84+E115+E149+E214+E181</f>
        <v>1824.421</v>
      </c>
      <c r="F16" s="399">
        <f>IF(E$11=0,"N.D.",E16/E$11)</f>
        <v>0.58312914672477856</v>
      </c>
      <c r="G16" s="400">
        <f>+G49+G84+G115+G149+G214+G181</f>
        <v>2012.646</v>
      </c>
      <c r="H16" s="399">
        <f>IF(G$11=0,"N.D.",G16/G$11)</f>
        <v>0.53582028200871312</v>
      </c>
      <c r="I16" s="400">
        <f>+I49+I84+I115+I149+I214+I181</f>
        <v>1902.2889999999998</v>
      </c>
      <c r="J16" s="399">
        <f>IF(I$11=0,"N.D.",I16/I$11)</f>
        <v>0.56664954862586026</v>
      </c>
      <c r="K16" s="400">
        <f>+K49+K84+K115+K149+K214+K181</f>
        <v>1006.731</v>
      </c>
      <c r="L16" s="399">
        <f>IF(K$11=0,"N.D.",K16/K$11)</f>
        <v>0.60039110396519058</v>
      </c>
      <c r="M16" s="400">
        <f>+M49+M84+M115+M149+M214+M181</f>
        <v>985.85500000000002</v>
      </c>
      <c r="N16" s="399">
        <f>IF(M$11=0,"N.D.",M16/M$11)</f>
        <v>0.59718277268038211</v>
      </c>
      <c r="O16" s="400">
        <f>+O49+O84+O115+O149+O214+O181</f>
        <v>985.85439999999994</v>
      </c>
      <c r="P16" s="399">
        <f>IF(O$11=0,"N.D.",O16/O$11)</f>
        <v>0.59718248881338054</v>
      </c>
      <c r="Q16" s="400">
        <f>+Q49+Q84+Q115+Q149+Q214+Q181</f>
        <v>1465.1704999999999</v>
      </c>
      <c r="R16" s="399">
        <f>IF(Q$11=0,"N.D.",Q16/Q$11)</f>
        <v>0.41710043266386998</v>
      </c>
      <c r="S16" s="400">
        <f>+S49+S84+S115+S149+S214+S181</f>
        <v>1391.22216</v>
      </c>
      <c r="T16" s="399">
        <f>IF(S$11=0,"N.D.",S16/S$11)</f>
        <v>0.42934713102345773</v>
      </c>
      <c r="U16" s="400">
        <f>+U49+U84+U115+U149+U214+U181</f>
        <v>1036.1590000000001</v>
      </c>
      <c r="V16" s="399">
        <f>IF(U$11=0,"N.D.",U16/U$11)</f>
        <v>0.31003695336694548</v>
      </c>
      <c r="W16" s="400">
        <f>+W49+W84+W115+W149+W214+W181</f>
        <v>999.25</v>
      </c>
      <c r="X16" s="399">
        <f>IF(W$11=0,"N.D.",W16/W$11)</f>
        <v>0.31244879810789078</v>
      </c>
      <c r="Y16" s="400">
        <f>+Y49+Y84+Y115+Y149+Y214+Y181</f>
        <v>1014.427</v>
      </c>
      <c r="Z16" s="399">
        <f>IF(Y$11=0,"N.D.",Y16/Y$11)</f>
        <v>0.29769492130252151</v>
      </c>
      <c r="AA16" s="400">
        <f>+AA49+AA84+AA115+AA149+AA214+AA181</f>
        <v>15613.60029</v>
      </c>
      <c r="AB16" s="165">
        <f>IF(AA$11=0,"N.D.",AA16/AA$11)</f>
        <v>0.44483647191532782</v>
      </c>
    </row>
    <row r="17" spans="2:28" x14ac:dyDescent="0.25">
      <c r="B17" s="278" t="s">
        <v>42</v>
      </c>
      <c r="C17" s="398">
        <f>+C50+C85+C116+C150+C215+C182</f>
        <v>205.49684999999999</v>
      </c>
      <c r="D17" s="401">
        <f>IF(C$11=0,"N.D.",C17/C$11)</f>
        <v>6.4655027983345284E-2</v>
      </c>
      <c r="E17" s="398">
        <f>+E50+E85+E116+E150+E215+E182</f>
        <v>175.12600000000003</v>
      </c>
      <c r="F17" s="401">
        <f>IF(E$11=0,"N.D.",E17/E$11)</f>
        <v>5.5974511885866031E-2</v>
      </c>
      <c r="G17" s="398">
        <f>+G50+G85+G116+G150+G215+G182</f>
        <v>174.44499999999999</v>
      </c>
      <c r="H17" s="401">
        <f>IF(G$11=0,"N.D.",G17/G$11)</f>
        <v>4.6441932210140258E-2</v>
      </c>
      <c r="I17" s="398">
        <f>+I50+I85+I116+I150+I215+I182</f>
        <v>169.642</v>
      </c>
      <c r="J17" s="401">
        <f>IF(I$11=0,"N.D.",I17/I$11)</f>
        <v>5.0532575611796207E-2</v>
      </c>
      <c r="K17" s="398">
        <f>+K50+K85+K116+K150+K215+K182</f>
        <v>96.677999999999997</v>
      </c>
      <c r="L17" s="401">
        <f>IF(K$11=0,"N.D.",K17/K$11)</f>
        <v>5.7656525078841017E-2</v>
      </c>
      <c r="M17" s="398">
        <f>+M50+M85+M116+M150+M215+M182</f>
        <v>83.025000000000006</v>
      </c>
      <c r="N17" s="401">
        <f>IF(M$11=0,"N.D.",M17/M$11)</f>
        <v>5.0292486929405168E-2</v>
      </c>
      <c r="O17" s="398">
        <f>+O50+O85+O116+O150+O215+O182</f>
        <v>83.025369999999981</v>
      </c>
      <c r="P17" s="401">
        <f>IF(O$11=0,"N.D.",O17/O$11)</f>
        <v>5.0292717759591848E-2</v>
      </c>
      <c r="Q17" s="398">
        <f>+Q50+Q85+Q116+Q150+Q215+Q182</f>
        <v>184.69081</v>
      </c>
      <c r="R17" s="401">
        <f>IF(Q$11=0,"N.D.",Q17/Q$11)</f>
        <v>5.2577237092912121E-2</v>
      </c>
      <c r="S17" s="398">
        <f>+S50+S85+S116+S150+S215+S182</f>
        <v>162.6344</v>
      </c>
      <c r="T17" s="401">
        <f>IF(S$11=0,"N.D.",S17/S$11)</f>
        <v>5.0190843025186886E-2</v>
      </c>
      <c r="U17" s="398">
        <f>+U50+U85+U116+U150+U215+U182</f>
        <v>149.48400000000001</v>
      </c>
      <c r="V17" s="401">
        <f>IF(U$11=0,"N.D.",U17/U$11)</f>
        <v>4.4728235663739319E-2</v>
      </c>
      <c r="W17" s="398">
        <f>+W50+W85+W116+W150+W215+W182</f>
        <v>155.89899999999997</v>
      </c>
      <c r="X17" s="401">
        <f>IF(W$11=0,"N.D.",W17/W$11)</f>
        <v>4.8747015437800405E-2</v>
      </c>
      <c r="Y17" s="398">
        <f>+Y50+Y85+Y116+Y150+Y215+Y182</f>
        <v>167.501</v>
      </c>
      <c r="Z17" s="401">
        <f>IF(Y$11=0,"N.D.",Y17/Y$11)</f>
        <v>4.9155037290109248E-2</v>
      </c>
      <c r="AA17" s="398">
        <f>+AA50+AA85+AA116+AA150+AA215+AA182</f>
        <v>1807.6474299999998</v>
      </c>
      <c r="AB17" s="166">
        <f>IF(AA$11=0,"N.D.",AA17/AA$11)</f>
        <v>5.1500454110062877E-2</v>
      </c>
    </row>
    <row r="18" spans="2:28" x14ac:dyDescent="0.25">
      <c r="B18" s="278" t="s">
        <v>43</v>
      </c>
      <c r="C18" s="398">
        <f>+C51+C86+C117+C151+C216+C183</f>
        <v>111.29275</v>
      </c>
      <c r="D18" s="401">
        <f>IF(C$11=0,"N.D.",C18/C$11)</f>
        <v>3.5015796425071487E-2</v>
      </c>
      <c r="E18" s="398">
        <f>+E51+E86+E117+E151+E216+E183</f>
        <v>111.292</v>
      </c>
      <c r="F18" s="401">
        <f>IF(E$11=0,"N.D.",E18/E$11)</f>
        <v>3.5571619158787392E-2</v>
      </c>
      <c r="G18" s="398">
        <f>+G51+G86+G117+G151+G216+G183</f>
        <v>111.292</v>
      </c>
      <c r="H18" s="401">
        <f>IF(G$11=0,"N.D.",G18/G$11)</f>
        <v>2.9628911803324429E-2</v>
      </c>
      <c r="I18" s="398">
        <f>+I51+I86+I117+I151+I216+I183</f>
        <v>111.292</v>
      </c>
      <c r="J18" s="401">
        <f>IF(I$11=0,"N.D.",I18/I$11)</f>
        <v>3.3151409468103556E-2</v>
      </c>
      <c r="K18" s="398">
        <f>+K51+K86+K117+K151+K216+K183</f>
        <v>73.340999999999994</v>
      </c>
      <c r="L18" s="401">
        <f>IF(K$11=0,"N.D.",K18/K$11)</f>
        <v>4.3738877570980772E-2</v>
      </c>
      <c r="M18" s="398">
        <f>+M51+M86+M117+M151+M216+M183</f>
        <v>73.340999999999994</v>
      </c>
      <c r="N18" s="401">
        <f>IF(M$11=0,"N.D.",M18/M$11)</f>
        <v>4.4426393060999742E-2</v>
      </c>
      <c r="O18" s="398">
        <f>+O51+O86+O117+O151+O216+O183</f>
        <v>73.341419999999999</v>
      </c>
      <c r="P18" s="401">
        <f>IF(O$11=0,"N.D.",O18/O$11)</f>
        <v>4.4426653397000047E-2</v>
      </c>
      <c r="Q18" s="398">
        <f>+Q51+Q86+Q117+Q151+Q216+Q183</f>
        <v>88.723699999999994</v>
      </c>
      <c r="R18" s="401">
        <f>IF(Q$11=0,"N.D.",Q18/Q$11)</f>
        <v>2.5257602209121325E-2</v>
      </c>
      <c r="S18" s="398">
        <f>+S51+S86+S117+S151+S216+S183</f>
        <v>88.72372</v>
      </c>
      <c r="T18" s="401">
        <f>IF(S$11=0,"N.D.",S18/S$11)</f>
        <v>2.7381158617922372E-2</v>
      </c>
      <c r="U18" s="398">
        <f>+U51+U86+U117+U151+U216+U183</f>
        <v>85.555999999999997</v>
      </c>
      <c r="V18" s="401">
        <f>IF(U$11=0,"N.D.",U18/U$11)</f>
        <v>2.5599856375577861E-2</v>
      </c>
      <c r="W18" s="398">
        <f>+W51+W86+W117+W151+W216+W183</f>
        <v>85.555999999999997</v>
      </c>
      <c r="X18" s="401">
        <f>IF(W$11=0,"N.D.",W18/W$11)</f>
        <v>2.6751933320909384E-2</v>
      </c>
      <c r="Y18" s="398">
        <f>+Y51+Y86+Y117+Y151+Y216+Y183</f>
        <v>85.555999999999997</v>
      </c>
      <c r="Z18" s="401">
        <f>IF(Y$11=0,"N.D.",Y18/Y$11)</f>
        <v>2.5107362764357148E-2</v>
      </c>
      <c r="AA18" s="398">
        <f>+AA51+AA86+AA117+AA151+AA216+AA183</f>
        <v>1099.3075900000001</v>
      </c>
      <c r="AB18" s="166">
        <f>IF(AA$11=0,"N.D.",AA18/AA$11)</f>
        <v>3.1319625249951993E-2</v>
      </c>
    </row>
    <row r="19" spans="2:28" ht="13" x14ac:dyDescent="0.3">
      <c r="B19" s="279" t="s">
        <v>44</v>
      </c>
      <c r="C19" s="335">
        <f>SUM(C16:C18)</f>
        <v>1306.36483</v>
      </c>
      <c r="D19" s="402">
        <f>IF(C$11=0,"N.D.",C19/C$11)</f>
        <v>0.41101873162585267</v>
      </c>
      <c r="E19" s="335">
        <f>SUM(E16:E18)</f>
        <v>2110.8389999999999</v>
      </c>
      <c r="F19" s="402">
        <f>IF(E$11=0,"N.D.",E19/E$11)</f>
        <v>0.67467527776943192</v>
      </c>
      <c r="G19" s="335">
        <f>SUM(G16:G18)</f>
        <v>2298.3829999999998</v>
      </c>
      <c r="H19" s="402">
        <f>IF(G$11=0,"N.D.",G19/G$11)</f>
        <v>0.61189112602217777</v>
      </c>
      <c r="I19" s="335">
        <f>+I52+I87+I118+I152+I217+I184</f>
        <v>2183.223</v>
      </c>
      <c r="J19" s="402">
        <f>IF(I$11=0,"N.D.",I19/I$11)</f>
        <v>0.65033353370576008</v>
      </c>
      <c r="K19" s="335">
        <f>+K52+K87+K118+K152+K217+K184</f>
        <v>1176.75</v>
      </c>
      <c r="L19" s="402">
        <f>IF(K$11=0,"N.D.",K19/K$11)</f>
        <v>0.70178650661501241</v>
      </c>
      <c r="M19" s="335">
        <f>+M52+M87+M118+M152+M217+M184</f>
        <v>1142.221</v>
      </c>
      <c r="N19" s="402">
        <f>IF(M$11=0,"N.D.",M19/M$11)</f>
        <v>0.69190165267078707</v>
      </c>
      <c r="O19" s="335">
        <f>+O52+O87+O118+O152+O217+O184</f>
        <v>1142.22119</v>
      </c>
      <c r="P19" s="402">
        <f>IF(O$11=0,"N.D.",O19/O$11)</f>
        <v>0.69190185996997244</v>
      </c>
      <c r="Q19" s="335">
        <f>+Q52+Q87+Q118+Q152+Q217+Q184</f>
        <v>1312.1051199999999</v>
      </c>
      <c r="R19" s="402">
        <f>IF(Q$11=0,"N.D.",Q19/Q$11)</f>
        <v>0.37352623005478136</v>
      </c>
      <c r="S19" s="335">
        <f>+S52+S87+S118+S152+S217+S184</f>
        <v>1227.2422600000002</v>
      </c>
      <c r="T19" s="402">
        <f>IF(S$11=0,"N.D.",S19/S$11)</f>
        <v>0.37874105125075386</v>
      </c>
      <c r="U19" s="335">
        <f>+U52+U87+U118+U152+U217+U184</f>
        <v>1271.1990000000001</v>
      </c>
      <c r="V19" s="402">
        <f>IF(U$11=0,"N.D.",U19/U$11)</f>
        <v>0.38036504540626265</v>
      </c>
      <c r="W19" s="335">
        <f>+W52+W87+W118+W152+W217+W184</f>
        <v>1240.7049999999999</v>
      </c>
      <c r="X19" s="402">
        <f>IF(W$11=0,"N.D.",W19/W$11)</f>
        <v>0.38794774686660055</v>
      </c>
      <c r="Y19" s="335">
        <f>+Y52+Y87+Y118+Y152+Y217+Y184</f>
        <v>1267.4839999999999</v>
      </c>
      <c r="Z19" s="402">
        <f>IF(Y$11=0,"N.D.",Y19/Y$11)</f>
        <v>0.37195732135698789</v>
      </c>
      <c r="AA19" s="335">
        <f>+AA52+AA87+AA118+AA152+AA217+AA184</f>
        <v>17678.737399999998</v>
      </c>
      <c r="AB19" s="30">
        <f>IF(AA$11=0,"N.D.",AA19/AA$11)</f>
        <v>0.50367288945972855</v>
      </c>
    </row>
    <row r="20" spans="2:28" ht="13" x14ac:dyDescent="0.3">
      <c r="B20" s="278" t="s">
        <v>45</v>
      </c>
      <c r="C20" s="335">
        <f>+C14-C19</f>
        <v>-161.64329999999973</v>
      </c>
      <c r="D20" s="402">
        <f>IF(C$11=0,"N.D.",C20/C$11)</f>
        <v>-5.0857480709900225E-2</v>
      </c>
      <c r="E20" s="335">
        <f>+E14-E19</f>
        <v>-68.333999999999605</v>
      </c>
      <c r="F20" s="402">
        <f>IF(E$11=0,"N.D.",E20/E$11)</f>
        <v>-2.1841201735942957E-2</v>
      </c>
      <c r="G20" s="335">
        <f>+G14-G19</f>
        <v>137.61400000000003</v>
      </c>
      <c r="H20" s="402">
        <f>IF(G$11=0,"N.D.",G20/G$11)</f>
        <v>3.6636533343840427E-2</v>
      </c>
      <c r="I20" s="335">
        <f>+I53+I88+I119+I153+I218+I185</f>
        <v>15.483999999999895</v>
      </c>
      <c r="J20" s="402">
        <f>IF(I$11=0,"N.D.",I20/I$11)</f>
        <v>4.6123389300588716E-3</v>
      </c>
      <c r="K20" s="335">
        <f>+K53+K88+K119+K153+K218+K185</f>
        <v>-44.924999999999969</v>
      </c>
      <c r="L20" s="402">
        <f>IF(K$11=0,"N.D.",K20/K$11)</f>
        <v>-2.6792231833167122E-2</v>
      </c>
      <c r="M20" s="335">
        <f>+M53+M88+M119+M153+M218+M185</f>
        <v>-29.033000000000072</v>
      </c>
      <c r="N20" s="402">
        <f>IF(M$11=0,"N.D.",M20/M$11)</f>
        <v>-1.7586772333892487E-2</v>
      </c>
      <c r="O20" s="335">
        <f>+O53+O88+O119+O153+O218+O185</f>
        <v>-29.032590000000084</v>
      </c>
      <c r="P20" s="402">
        <f>IF(O$11=0,"N.D.",O20/O$11)</f>
        <v>-1.7586526319605122E-2</v>
      </c>
      <c r="Q20" s="335">
        <f>+Q53+Q88+Q119+Q153+Q218+Q185</f>
        <v>25.924766999999761</v>
      </c>
      <c r="R20" s="402">
        <f>IF(Q$11=0,"N.D.",Q20/Q$11)</f>
        <v>7.3801864918860427E-3</v>
      </c>
      <c r="S20" s="335">
        <f>+S53+S88+S119+S153+S218+S185</f>
        <v>-13.498620000000335</v>
      </c>
      <c r="T20" s="402">
        <f>IF(S$11=0,"N.D.",S20/S$11)</f>
        <v>-4.1658291079664884E-3</v>
      </c>
      <c r="U20" s="335">
        <f>+U53+U88+U119+U153+U218+U185</f>
        <v>-36.892000000000095</v>
      </c>
      <c r="V20" s="402">
        <f>IF(U$11=0,"N.D.",U20/U$11)</f>
        <v>-1.1038733711344862E-2</v>
      </c>
      <c r="W20" s="335">
        <f>+W53+W88+W119+W153+W218+W185</f>
        <v>-53.105999999999739</v>
      </c>
      <c r="X20" s="402">
        <f>IF(W$11=0,"N.D.",W20/W$11)</f>
        <v>-1.6605359892236743E-2</v>
      </c>
      <c r="Y20" s="335">
        <f>+Y53+Y88+Y119+Y153+Y218+Y185</f>
        <v>55.411999999999779</v>
      </c>
      <c r="Z20" s="402">
        <f>IF(Y$11=0,"N.D.",Y20/Y$11)</f>
        <v>1.6261269642088839E-2</v>
      </c>
      <c r="AA20" s="335">
        <f>+AA53+AA88+AA119+AA153+AA218+AA185</f>
        <v>-202.02974300000074</v>
      </c>
      <c r="AB20" s="30">
        <f>IF(AA$11=0,"N.D.",AA20/AA$11)</f>
        <v>-5.7558920703023025E-3</v>
      </c>
    </row>
    <row r="21" spans="2:28" x14ac:dyDescent="0.25">
      <c r="C21" s="403"/>
      <c r="D21" s="405"/>
      <c r="E21" s="403"/>
      <c r="F21" s="405"/>
      <c r="G21" s="403"/>
      <c r="H21" s="405"/>
      <c r="I21" s="403"/>
      <c r="J21" s="405"/>
      <c r="K21" s="403"/>
      <c r="L21" s="405"/>
      <c r="M21" s="403"/>
      <c r="N21" s="405"/>
      <c r="O21" s="403"/>
      <c r="P21" s="405"/>
      <c r="Q21" s="403"/>
      <c r="R21" s="405"/>
      <c r="S21" s="403"/>
      <c r="T21" s="405"/>
      <c r="U21" s="403"/>
      <c r="V21" s="405"/>
      <c r="W21" s="403"/>
      <c r="X21" s="405"/>
      <c r="Y21" s="403"/>
      <c r="Z21" s="405"/>
      <c r="AA21" s="406"/>
      <c r="AB21" s="168"/>
    </row>
    <row r="22" spans="2:28" x14ac:dyDescent="0.25">
      <c r="B22" s="278"/>
      <c r="C22" s="400">
        <f>+C55+C90+C121+C155+C220+C187</f>
        <v>0</v>
      </c>
      <c r="D22" s="399">
        <f t="shared" ref="D22:D28" si="0">IF(C$11=0,"N.D.",C22/C$11)</f>
        <v>0</v>
      </c>
      <c r="E22" s="400">
        <f>+E55+E90+E121+E155+E220+E187</f>
        <v>0</v>
      </c>
      <c r="F22" s="399">
        <f t="shared" ref="F22:F28" si="1">IF(E$11=0,"N.D.",E22/E$11)</f>
        <v>0</v>
      </c>
      <c r="G22" s="400">
        <f>+G55+G90+G121+G155+G220+G187</f>
        <v>0</v>
      </c>
      <c r="H22" s="399">
        <f t="shared" ref="H22:H28" si="2">IF(G$11=0,"N.D.",G22/G$11)</f>
        <v>0</v>
      </c>
      <c r="I22" s="400">
        <f t="shared" ref="I22:I28" si="3">+I55+I90+I121+I155+I220+I187</f>
        <v>0</v>
      </c>
      <c r="J22" s="399">
        <f t="shared" ref="J22:J28" si="4">IF(I$11=0,"N.D.",I22/I$11)</f>
        <v>0</v>
      </c>
      <c r="K22" s="400">
        <f t="shared" ref="K22:K28" si="5">+K55+K90+K121+K155+K220+K187</f>
        <v>0</v>
      </c>
      <c r="L22" s="399">
        <f t="shared" ref="L22:L28" si="6">IF(K$11=0,"N.D.",K22/K$11)</f>
        <v>0</v>
      </c>
      <c r="M22" s="400">
        <f t="shared" ref="M22:M28" si="7">+M55+M90+M121+M155+M220+M187</f>
        <v>0</v>
      </c>
      <c r="N22" s="399">
        <f t="shared" ref="N22:N28" si="8">IF(M$11=0,"N.D.",M22/M$11)</f>
        <v>0</v>
      </c>
      <c r="O22" s="400">
        <f t="shared" ref="O22:O28" si="9">+O55+O90+O121+O155+O220+O187</f>
        <v>0</v>
      </c>
      <c r="P22" s="399">
        <f t="shared" ref="P22:P28" si="10">IF(O$11=0,"N.D.",O22/O$11)</f>
        <v>0</v>
      </c>
      <c r="Q22" s="400">
        <f t="shared" ref="Q22:Q28" si="11">+Q55+Q90+Q121+Q155+Q220+Q187</f>
        <v>0</v>
      </c>
      <c r="R22" s="399">
        <f t="shared" ref="R22:R28" si="12">IF(Q$11=0,"N.D.",Q22/Q$11)</f>
        <v>0</v>
      </c>
      <c r="S22" s="400">
        <f t="shared" ref="S22:S28" si="13">+S55+S90+S121+S155+S220+S187</f>
        <v>0</v>
      </c>
      <c r="T22" s="399">
        <f t="shared" ref="T22:T28" si="14">IF(S$11=0,"N.D.",S22/S$11)</f>
        <v>0</v>
      </c>
      <c r="U22" s="400">
        <f t="shared" ref="U22:U28" si="15">+U55+U90+U121+U155+U220+U187</f>
        <v>0</v>
      </c>
      <c r="V22" s="399">
        <f t="shared" ref="V22:V28" si="16">IF(U$11=0,"N.D.",U22/U$11)</f>
        <v>0</v>
      </c>
      <c r="W22" s="400">
        <f t="shared" ref="W22:W28" si="17">+W55+W90+W121+W155+W220+W187</f>
        <v>0</v>
      </c>
      <c r="X22" s="399">
        <f t="shared" ref="X22:X28" si="18">IF(W$11=0,"N.D.",W22/W$11)</f>
        <v>0</v>
      </c>
      <c r="Y22" s="400">
        <f t="shared" ref="Y22:Y28" si="19">+Y55+Y90+Y121+Y155+Y220+Y187</f>
        <v>0</v>
      </c>
      <c r="Z22" s="399">
        <f t="shared" ref="Z22:Z28" si="20">IF(Y$11=0,"N.D.",Y22/Y$11)</f>
        <v>0</v>
      </c>
      <c r="AA22" s="400">
        <f>+AA55+AA90+AA121+AA155+AA220+AA187</f>
        <v>0</v>
      </c>
      <c r="AB22" s="165">
        <f t="shared" ref="AB22:AB28" si="21">IF(AA$11=0,"N.D.",AA22/AA$11)</f>
        <v>0</v>
      </c>
    </row>
    <row r="23" spans="2:28" x14ac:dyDescent="0.25">
      <c r="B23" s="278" t="s">
        <v>52</v>
      </c>
      <c r="C23" s="398">
        <f>+C56+C91+C122+C156+C221+C188</f>
        <v>-78.555490000000006</v>
      </c>
      <c r="D23" s="401">
        <f t="shared" si="0"/>
        <v>-2.4715743351761358E-2</v>
      </c>
      <c r="E23" s="398">
        <f>+E56+E91+E122+E156+E221+E188</f>
        <v>-52.494999999999997</v>
      </c>
      <c r="F23" s="401">
        <f t="shared" si="1"/>
        <v>-1.6778673648964383E-2</v>
      </c>
      <c r="G23" s="398">
        <f>+G56+G91+G122+G156+G221+G188</f>
        <v>-34.859999999999992</v>
      </c>
      <c r="H23" s="401">
        <f t="shared" si="2"/>
        <v>-9.2806658651465451E-3</v>
      </c>
      <c r="I23" s="398">
        <f t="shared" si="3"/>
        <v>-55.637</v>
      </c>
      <c r="J23" s="401">
        <f t="shared" si="4"/>
        <v>-1.6573023834389512E-2</v>
      </c>
      <c r="K23" s="398">
        <f t="shared" si="5"/>
        <v>-10.933</v>
      </c>
      <c r="L23" s="401">
        <f t="shared" si="6"/>
        <v>-6.5201885505178931E-3</v>
      </c>
      <c r="M23" s="398">
        <f t="shared" si="7"/>
        <v>-10.029999999999999</v>
      </c>
      <c r="N23" s="401">
        <f t="shared" si="8"/>
        <v>-6.0756837567230802E-3</v>
      </c>
      <c r="O23" s="398">
        <f t="shared" si="9"/>
        <v>-10.03059</v>
      </c>
      <c r="P23" s="401">
        <f t="shared" si="10"/>
        <v>-6.0760419596104726E-3</v>
      </c>
      <c r="Q23" s="398">
        <f t="shared" si="11"/>
        <v>-50.574769999999994</v>
      </c>
      <c r="R23" s="401">
        <f t="shared" si="12"/>
        <v>-1.4397476914035402E-2</v>
      </c>
      <c r="S23" s="398">
        <f t="shared" si="13"/>
        <v>-68.442219999999992</v>
      </c>
      <c r="T23" s="401">
        <f t="shared" si="14"/>
        <v>-2.1122054868559826E-2</v>
      </c>
      <c r="U23" s="398">
        <f t="shared" si="15"/>
        <v>-58.766999999999996</v>
      </c>
      <c r="V23" s="401">
        <f t="shared" si="16"/>
        <v>-1.7584117532652113E-2</v>
      </c>
      <c r="W23" s="398">
        <f t="shared" si="17"/>
        <v>-58.774999999999999</v>
      </c>
      <c r="X23" s="401">
        <f t="shared" si="18"/>
        <v>-1.8377961579976263E-2</v>
      </c>
      <c r="Y23" s="398">
        <f t="shared" si="19"/>
        <v>-52.401000000000003</v>
      </c>
      <c r="Z23" s="401">
        <f t="shared" si="20"/>
        <v>-1.537765809779652E-2</v>
      </c>
      <c r="AA23" s="398">
        <f>+AA56+AA91+AA122+AA156+AA221+AA188</f>
        <v>-541.50107000000014</v>
      </c>
      <c r="AB23" s="166">
        <f t="shared" si="21"/>
        <v>-1.5427538879130294E-2</v>
      </c>
    </row>
    <row r="24" spans="2:28" x14ac:dyDescent="0.25">
      <c r="B24" s="278" t="s">
        <v>184</v>
      </c>
      <c r="C24" s="398">
        <f>+C57+C92+C123+C157+C222+C189</f>
        <v>79.498400000000004</v>
      </c>
      <c r="D24" s="401">
        <f t="shared" si="0"/>
        <v>2.5012409078928349E-2</v>
      </c>
      <c r="E24" s="398">
        <f>+E57+E92+E123+E157+E222+E189</f>
        <v>75.049000000000007</v>
      </c>
      <c r="F24" s="401">
        <f t="shared" si="1"/>
        <v>2.398747840139305E-2</v>
      </c>
      <c r="G24" s="398">
        <f>+G57+G92+G123+G157+G222+G189</f>
        <v>72.873000000000005</v>
      </c>
      <c r="H24" s="401">
        <f t="shared" si="2"/>
        <v>1.9400744796064958E-2</v>
      </c>
      <c r="I24" s="398">
        <f t="shared" si="3"/>
        <v>81.248000000000005</v>
      </c>
      <c r="J24" s="401">
        <f t="shared" si="4"/>
        <v>2.4201970639978414E-2</v>
      </c>
      <c r="K24" s="398">
        <f t="shared" si="5"/>
        <v>49.355999999999995</v>
      </c>
      <c r="L24" s="401">
        <f t="shared" si="6"/>
        <v>2.9434777837680517E-2</v>
      </c>
      <c r="M24" s="398">
        <f t="shared" si="7"/>
        <v>51.158999999999999</v>
      </c>
      <c r="N24" s="401">
        <f t="shared" si="8"/>
        <v>3.0989621666021545E-2</v>
      </c>
      <c r="O24" s="398">
        <f t="shared" si="9"/>
        <v>51.158589999999997</v>
      </c>
      <c r="P24" s="401">
        <f t="shared" si="10"/>
        <v>3.0989377437868431E-2</v>
      </c>
      <c r="Q24" s="398">
        <f t="shared" si="11"/>
        <v>82.184540000000013</v>
      </c>
      <c r="R24" s="401">
        <f t="shared" si="12"/>
        <v>2.3396053355074466E-2</v>
      </c>
      <c r="S24" s="398">
        <f t="shared" si="13"/>
        <v>92.58408</v>
      </c>
      <c r="T24" s="401">
        <f t="shared" si="14"/>
        <v>2.8572510034232269E-2</v>
      </c>
      <c r="U24" s="398">
        <f t="shared" si="15"/>
        <v>78.198999999999998</v>
      </c>
      <c r="V24" s="401">
        <f t="shared" si="16"/>
        <v>2.3398512888795797E-2</v>
      </c>
      <c r="W24" s="398">
        <f t="shared" si="17"/>
        <v>80.382000000000005</v>
      </c>
      <c r="X24" s="401">
        <f t="shared" si="18"/>
        <v>2.5134109871912412E-2</v>
      </c>
      <c r="Y24" s="398">
        <f t="shared" si="19"/>
        <v>75.403999999999996</v>
      </c>
      <c r="Z24" s="401">
        <f t="shared" si="20"/>
        <v>2.2128145096586872E-2</v>
      </c>
      <c r="AA24" s="398">
        <f>+AA57+AA92+AA123+AA157+AA222+AA189</f>
        <v>869.09560999999985</v>
      </c>
      <c r="AB24" s="166">
        <f t="shared" si="21"/>
        <v>2.4760812223245381E-2</v>
      </c>
    </row>
    <row r="25" spans="2:28" x14ac:dyDescent="0.25">
      <c r="B25" s="278" t="s">
        <v>47</v>
      </c>
      <c r="C25" s="398">
        <f>+C58+C93+C124+C158+C223+C190</f>
        <v>0</v>
      </c>
      <c r="D25" s="401">
        <f t="shared" si="0"/>
        <v>0</v>
      </c>
      <c r="E25" s="398">
        <f>+E58+E93+E124+E158+E223+E190</f>
        <v>0</v>
      </c>
      <c r="F25" s="401">
        <f t="shared" si="1"/>
        <v>0</v>
      </c>
      <c r="G25" s="398">
        <f>+G58+G93+G124+G158+G223+G190</f>
        <v>0</v>
      </c>
      <c r="H25" s="401">
        <f t="shared" si="2"/>
        <v>0</v>
      </c>
      <c r="I25" s="398">
        <f t="shared" si="3"/>
        <v>0</v>
      </c>
      <c r="J25" s="401">
        <f t="shared" si="4"/>
        <v>0</v>
      </c>
      <c r="K25" s="398">
        <f t="shared" si="5"/>
        <v>0</v>
      </c>
      <c r="L25" s="401">
        <f t="shared" si="6"/>
        <v>0</v>
      </c>
      <c r="M25" s="398">
        <f t="shared" si="7"/>
        <v>0</v>
      </c>
      <c r="N25" s="401">
        <f t="shared" si="8"/>
        <v>0</v>
      </c>
      <c r="O25" s="398">
        <f t="shared" si="9"/>
        <v>0</v>
      </c>
      <c r="P25" s="401">
        <f t="shared" si="10"/>
        <v>0</v>
      </c>
      <c r="Q25" s="398">
        <f t="shared" si="11"/>
        <v>0</v>
      </c>
      <c r="R25" s="401">
        <f t="shared" si="12"/>
        <v>0</v>
      </c>
      <c r="S25" s="398">
        <f t="shared" si="13"/>
        <v>0</v>
      </c>
      <c r="T25" s="401">
        <f t="shared" si="14"/>
        <v>0</v>
      </c>
      <c r="U25" s="398">
        <f t="shared" si="15"/>
        <v>0</v>
      </c>
      <c r="V25" s="401">
        <f t="shared" si="16"/>
        <v>0</v>
      </c>
      <c r="W25" s="398">
        <f t="shared" si="17"/>
        <v>0</v>
      </c>
      <c r="X25" s="401">
        <f t="shared" si="18"/>
        <v>0</v>
      </c>
      <c r="Y25" s="398">
        <f t="shared" si="19"/>
        <v>0</v>
      </c>
      <c r="Z25" s="401">
        <f t="shared" si="20"/>
        <v>0</v>
      </c>
      <c r="AA25" s="398">
        <f>+AA58+AA93+AA124+AA158+AA223+AA190</f>
        <v>0</v>
      </c>
      <c r="AB25" s="166">
        <f t="shared" si="21"/>
        <v>0</v>
      </c>
    </row>
    <row r="26" spans="2:28" x14ac:dyDescent="0.25">
      <c r="C26" s="398">
        <f>+C59+C94+C125+C159+C224+C191</f>
        <v>0</v>
      </c>
      <c r="D26" s="401">
        <f t="shared" si="0"/>
        <v>0</v>
      </c>
      <c r="E26" s="398">
        <f>+E59+E94+E125+E159+E224+E191</f>
        <v>0</v>
      </c>
      <c r="F26" s="401">
        <f t="shared" si="1"/>
        <v>0</v>
      </c>
      <c r="G26" s="398">
        <f>+G59+G94+G125+G159+G224+G191</f>
        <v>0</v>
      </c>
      <c r="H26" s="401">
        <f t="shared" si="2"/>
        <v>0</v>
      </c>
      <c r="I26" s="398">
        <f t="shared" si="3"/>
        <v>0</v>
      </c>
      <c r="J26" s="401">
        <f t="shared" si="4"/>
        <v>0</v>
      </c>
      <c r="K26" s="398">
        <f t="shared" si="5"/>
        <v>0</v>
      </c>
      <c r="L26" s="401">
        <f t="shared" si="6"/>
        <v>0</v>
      </c>
      <c r="M26" s="398">
        <f t="shared" si="7"/>
        <v>0</v>
      </c>
      <c r="N26" s="401">
        <f t="shared" si="8"/>
        <v>0</v>
      </c>
      <c r="O26" s="398">
        <f t="shared" si="9"/>
        <v>0</v>
      </c>
      <c r="P26" s="401">
        <f t="shared" si="10"/>
        <v>0</v>
      </c>
      <c r="Q26" s="398">
        <f t="shared" si="11"/>
        <v>0</v>
      </c>
      <c r="R26" s="401">
        <f t="shared" si="12"/>
        <v>0</v>
      </c>
      <c r="S26" s="398">
        <f t="shared" si="13"/>
        <v>0</v>
      </c>
      <c r="T26" s="401">
        <f t="shared" si="14"/>
        <v>0</v>
      </c>
      <c r="U26" s="398">
        <f t="shared" si="15"/>
        <v>0</v>
      </c>
      <c r="V26" s="401">
        <f t="shared" si="16"/>
        <v>0</v>
      </c>
      <c r="W26" s="398">
        <f t="shared" si="17"/>
        <v>0</v>
      </c>
      <c r="X26" s="401">
        <f t="shared" si="18"/>
        <v>0</v>
      </c>
      <c r="Y26" s="398">
        <f t="shared" si="19"/>
        <v>0</v>
      </c>
      <c r="Z26" s="401">
        <f t="shared" si="20"/>
        <v>0</v>
      </c>
      <c r="AA26" s="398">
        <f>+AA59+AA94+AA125+AA159+AA224+AA191</f>
        <v>0</v>
      </c>
      <c r="AB26" s="166">
        <f t="shared" si="21"/>
        <v>0</v>
      </c>
    </row>
    <row r="27" spans="2:28" ht="13" x14ac:dyDescent="0.3">
      <c r="B27" s="278" t="s">
        <v>48</v>
      </c>
      <c r="C27" s="335">
        <f>+C23+C24</f>
        <v>0.94290999999999769</v>
      </c>
      <c r="D27" s="402">
        <f t="shared" si="0"/>
        <v>2.9666572716699041E-4</v>
      </c>
      <c r="E27" s="335">
        <f>+E23+E24</f>
        <v>22.554000000000009</v>
      </c>
      <c r="F27" s="402">
        <f t="shared" si="1"/>
        <v>7.2088047524286663E-3</v>
      </c>
      <c r="G27" s="335">
        <f>+G23+G24</f>
        <v>38.013000000000012</v>
      </c>
      <c r="H27" s="402">
        <f t="shared" si="2"/>
        <v>1.0120078930918411E-2</v>
      </c>
      <c r="I27" s="335">
        <f t="shared" si="3"/>
        <v>25.611000000000004</v>
      </c>
      <c r="J27" s="402">
        <f t="shared" si="4"/>
        <v>7.6289468055889039E-3</v>
      </c>
      <c r="K27" s="335">
        <f t="shared" si="5"/>
        <v>38.423000000000002</v>
      </c>
      <c r="L27" s="402">
        <f t="shared" si="6"/>
        <v>2.291458928716263E-2</v>
      </c>
      <c r="M27" s="335">
        <f t="shared" si="7"/>
        <v>41.128999999999998</v>
      </c>
      <c r="N27" s="402">
        <f t="shared" si="8"/>
        <v>2.4913937909298463E-2</v>
      </c>
      <c r="O27" s="335">
        <f t="shared" si="9"/>
        <v>41.128</v>
      </c>
      <c r="P27" s="402">
        <f t="shared" si="10"/>
        <v>2.4913335478257959E-2</v>
      </c>
      <c r="Q27" s="335">
        <f t="shared" si="11"/>
        <v>31.609770000000005</v>
      </c>
      <c r="R27" s="402">
        <f t="shared" si="12"/>
        <v>8.9985764410390589E-3</v>
      </c>
      <c r="S27" s="335">
        <f t="shared" si="13"/>
        <v>24.141860000000005</v>
      </c>
      <c r="T27" s="402">
        <f t="shared" si="14"/>
        <v>7.4504551656724436E-3</v>
      </c>
      <c r="U27" s="335">
        <f t="shared" si="15"/>
        <v>19.432000000000002</v>
      </c>
      <c r="V27" s="402">
        <f t="shared" si="16"/>
        <v>5.8143953561436848E-3</v>
      </c>
      <c r="W27" s="335">
        <f t="shared" si="17"/>
        <v>21.606999999999999</v>
      </c>
      <c r="X27" s="402">
        <f t="shared" si="18"/>
        <v>6.756148291936148E-3</v>
      </c>
      <c r="Y27" s="335">
        <f t="shared" si="19"/>
        <v>23.003</v>
      </c>
      <c r="Z27" s="402">
        <f t="shared" si="20"/>
        <v>6.7504869987903534E-3</v>
      </c>
      <c r="AA27" s="335">
        <f>+AA23+AA24</f>
        <v>327.59453999999971</v>
      </c>
      <c r="AB27" s="30">
        <f t="shared" si="21"/>
        <v>9.3332733441150884E-3</v>
      </c>
    </row>
    <row r="28" spans="2:28" ht="13" x14ac:dyDescent="0.3">
      <c r="B28" s="278" t="s">
        <v>49</v>
      </c>
      <c r="C28" s="335">
        <f>+C20-C27</f>
        <v>-162.58620999999971</v>
      </c>
      <c r="D28" s="402">
        <f t="shared" si="0"/>
        <v>-5.1154146437067206E-2</v>
      </c>
      <c r="E28" s="335">
        <f>+E20-E27</f>
        <v>-90.887999999999607</v>
      </c>
      <c r="F28" s="402">
        <f t="shared" si="1"/>
        <v>-2.9050006488371621E-2</v>
      </c>
      <c r="G28" s="335">
        <f>+G20-G27</f>
        <v>99.601000000000028</v>
      </c>
      <c r="H28" s="402">
        <f t="shared" si="2"/>
        <v>2.6516454412922018E-2</v>
      </c>
      <c r="I28" s="335">
        <f t="shared" si="3"/>
        <v>-10.127000000000109</v>
      </c>
      <c r="J28" s="402">
        <f t="shared" si="4"/>
        <v>-3.0166078755300319E-3</v>
      </c>
      <c r="K28" s="335">
        <f t="shared" si="5"/>
        <v>-83.347999999999985</v>
      </c>
      <c r="L28" s="402">
        <f t="shared" si="6"/>
        <v>-4.9706821120329758E-2</v>
      </c>
      <c r="M28" s="335">
        <f t="shared" si="7"/>
        <v>-70.162000000000091</v>
      </c>
      <c r="N28" s="402">
        <f t="shared" si="8"/>
        <v>-4.2500710243190964E-2</v>
      </c>
      <c r="O28" s="335">
        <f t="shared" si="9"/>
        <v>-70.16059000000007</v>
      </c>
      <c r="P28" s="402">
        <f t="shared" si="10"/>
        <v>-4.2499861797863074E-2</v>
      </c>
      <c r="Q28" s="335">
        <f t="shared" si="11"/>
        <v>-5.6850030000002434</v>
      </c>
      <c r="R28" s="402">
        <f t="shared" si="12"/>
        <v>-1.6183899491530168E-3</v>
      </c>
      <c r="S28" s="335">
        <f t="shared" si="13"/>
        <v>-37.640480000000338</v>
      </c>
      <c r="T28" s="402">
        <f t="shared" si="14"/>
        <v>-1.1616284273638932E-2</v>
      </c>
      <c r="U28" s="335">
        <f t="shared" si="15"/>
        <v>-56.324000000000083</v>
      </c>
      <c r="V28" s="402">
        <f t="shared" si="16"/>
        <v>-1.685312906748854E-2</v>
      </c>
      <c r="W28" s="335">
        <f t="shared" si="17"/>
        <v>-74.712999999999738</v>
      </c>
      <c r="X28" s="402">
        <f t="shared" si="18"/>
        <v>-2.3361508184172892E-2</v>
      </c>
      <c r="Y28" s="335">
        <f t="shared" si="19"/>
        <v>32.408999999999779</v>
      </c>
      <c r="Z28" s="402">
        <f t="shared" si="20"/>
        <v>9.5107826432984863E-3</v>
      </c>
      <c r="AA28" s="335">
        <f>+AA20-AA27</f>
        <v>-529.62428300000045</v>
      </c>
      <c r="AB28" s="30">
        <f t="shared" si="21"/>
        <v>-1.5089165414417391E-2</v>
      </c>
    </row>
    <row r="29" spans="2:28" x14ac:dyDescent="0.25">
      <c r="B29" s="280"/>
      <c r="C29" s="403"/>
      <c r="D29" s="404"/>
      <c r="E29" s="403"/>
      <c r="F29" s="404"/>
      <c r="G29" s="403"/>
      <c r="H29" s="404"/>
      <c r="I29" s="403"/>
      <c r="J29" s="404"/>
      <c r="K29" s="403"/>
      <c r="L29" s="404"/>
      <c r="M29" s="403"/>
      <c r="N29" s="404"/>
      <c r="O29" s="403"/>
      <c r="P29" s="404"/>
      <c r="Q29" s="403"/>
      <c r="R29" s="404"/>
      <c r="S29" s="403"/>
      <c r="T29" s="404"/>
      <c r="U29" s="403"/>
      <c r="V29" s="404"/>
      <c r="W29" s="403"/>
      <c r="X29" s="404"/>
      <c r="Y29" s="403"/>
      <c r="Z29" s="404"/>
      <c r="AA29" s="403"/>
      <c r="AB29" s="167"/>
    </row>
    <row r="30" spans="2:28" x14ac:dyDescent="0.25">
      <c r="B30" s="278" t="s">
        <v>50</v>
      </c>
      <c r="C30" s="400">
        <f>+C63+C98+C129+C163+C228+C195</f>
        <v>0</v>
      </c>
      <c r="D30" s="399">
        <f t="shared" ref="D30:D39" si="22">IF(C$11=0,"N.D.",C30/C$11)</f>
        <v>0</v>
      </c>
      <c r="E30" s="400">
        <f>+E63+E98+E129+E163+E228+E195</f>
        <v>0</v>
      </c>
      <c r="F30" s="399">
        <f t="shared" ref="F30:F39" si="23">IF(E$11=0,"N.D.",E30/E$11)</f>
        <v>0</v>
      </c>
      <c r="G30" s="400">
        <f>+G63+G98+G129+G163+G228+G195</f>
        <v>0</v>
      </c>
      <c r="H30" s="399">
        <f t="shared" ref="H30:H39" si="24">IF(G$11=0,"N.D.",G30/G$11)</f>
        <v>0</v>
      </c>
      <c r="I30" s="400">
        <f>+I63+I98+I129+I163+I228+I195</f>
        <v>0</v>
      </c>
      <c r="J30" s="399">
        <f t="shared" ref="J30:J39" si="25">IF(I$11=0,"N.D.",I30/I$11)</f>
        <v>0</v>
      </c>
      <c r="K30" s="400">
        <f>+K63+K98+K129+K163+K228+K195</f>
        <v>0</v>
      </c>
      <c r="L30" s="399">
        <f t="shared" ref="L30:L39" si="26">IF(K$11=0,"N.D.",K30/K$11)</f>
        <v>0</v>
      </c>
      <c r="M30" s="400">
        <f>+M63+M98+M129+M163+M228+M195</f>
        <v>0</v>
      </c>
      <c r="N30" s="399">
        <f t="shared" ref="N30:N39" si="27">IF(M$11=0,"N.D.",M30/M$11)</f>
        <v>0</v>
      </c>
      <c r="O30" s="400">
        <f>+O63+O98+O129+O163+O228+O195</f>
        <v>0</v>
      </c>
      <c r="P30" s="399">
        <f t="shared" ref="P30:P39" si="28">IF(O$11=0,"N.D.",O30/O$11)</f>
        <v>0</v>
      </c>
      <c r="Q30" s="400">
        <f>+Q63+Q98+Q129+Q163+Q228+Q195</f>
        <v>0</v>
      </c>
      <c r="R30" s="399">
        <f t="shared" ref="R30:R39" si="29">IF(Q$11=0,"N.D.",Q30/Q$11)</f>
        <v>0</v>
      </c>
      <c r="S30" s="400">
        <f>+S63+S98+S129+S163+S228+S195</f>
        <v>0</v>
      </c>
      <c r="T30" s="399">
        <f t="shared" ref="T30:T39" si="30">IF(S$11=0,"N.D.",S30/S$11)</f>
        <v>0</v>
      </c>
      <c r="U30" s="400">
        <f>+U63+U98+U129+U163+U228+U195</f>
        <v>0</v>
      </c>
      <c r="V30" s="399">
        <f t="shared" ref="V30:V39" si="31">IF(U$11=0,"N.D.",U30/U$11)</f>
        <v>0</v>
      </c>
      <c r="W30" s="400">
        <f>+W63+W98+W129+W163+W228+W195</f>
        <v>0</v>
      </c>
      <c r="X30" s="399">
        <f t="shared" ref="X30:X39" si="32">IF(W$11=0,"N.D.",W30/W$11)</f>
        <v>0</v>
      </c>
      <c r="Y30" s="400">
        <f>+Y63+Y98+Y129+Y163+Y228+Y195</f>
        <v>0</v>
      </c>
      <c r="Z30" s="399">
        <f t="shared" ref="Z30:Z39" si="33">IF(Y$11=0,"N.D.",Y30/Y$11)</f>
        <v>0</v>
      </c>
      <c r="AA30" s="400">
        <f>+AA63+AA98+AA129+AA163+AA228+AA195</f>
        <v>0</v>
      </c>
      <c r="AB30" s="165">
        <f t="shared" ref="AB30:AB39" si="34">IF(AA$11=0,"N.D.",AA30/AA$11)</f>
        <v>0</v>
      </c>
    </row>
    <row r="31" spans="2:28" x14ac:dyDescent="0.25">
      <c r="B31" s="278" t="s">
        <v>51</v>
      </c>
      <c r="C31" s="398">
        <f>+C64+C99+C130+C164+C229+C196</f>
        <v>4.1669999999999998</v>
      </c>
      <c r="D31" s="401">
        <f t="shared" si="22"/>
        <v>1.3110541675290877E-3</v>
      </c>
      <c r="E31" s="398">
        <f>+E64+E99+E130+E164+E229+E196</f>
        <v>3.79</v>
      </c>
      <c r="F31" s="401">
        <f t="shared" si="23"/>
        <v>1.2113758096880657E-3</v>
      </c>
      <c r="G31" s="398">
        <f>+G64+G99+G130+G164+G229+G196</f>
        <v>4.1669999999999998</v>
      </c>
      <c r="H31" s="401">
        <f t="shared" si="24"/>
        <v>1.1093670298355039E-3</v>
      </c>
      <c r="I31" s="398">
        <f>+I64+I99+I130+I164+I229+I196</f>
        <v>4.1669999999999998</v>
      </c>
      <c r="J31" s="401">
        <f t="shared" si="25"/>
        <v>1.2412565436292591E-3</v>
      </c>
      <c r="K31" s="398">
        <f>+K64+K99+K130+K164+K229+K196</f>
        <v>0</v>
      </c>
      <c r="L31" s="401">
        <f t="shared" si="26"/>
        <v>0</v>
      </c>
      <c r="M31" s="398">
        <f>+M64+M99+M130+M164+M229+M196</f>
        <v>0</v>
      </c>
      <c r="N31" s="401">
        <f t="shared" si="27"/>
        <v>0</v>
      </c>
      <c r="O31" s="398">
        <f>+O64+O99+O130+O164+O229+O196</f>
        <v>0</v>
      </c>
      <c r="P31" s="401">
        <f t="shared" si="28"/>
        <v>0</v>
      </c>
      <c r="Q31" s="398">
        <f>+Q64+Q99+Q130+Q164+Q229+Q196</f>
        <v>4.1669999999999998</v>
      </c>
      <c r="R31" s="401">
        <f t="shared" si="29"/>
        <v>1.1862493156327854E-3</v>
      </c>
      <c r="S31" s="398">
        <f>+S64+S99+S130+S164+S229+S196</f>
        <v>4.1669999999999998</v>
      </c>
      <c r="T31" s="401">
        <f t="shared" si="30"/>
        <v>1.2859840408053509E-3</v>
      </c>
      <c r="U31" s="398">
        <f>+U64+U99+U130+U164+U229+U196</f>
        <v>4.1669999999999998</v>
      </c>
      <c r="V31" s="401">
        <f t="shared" si="31"/>
        <v>1.24683951466914E-3</v>
      </c>
      <c r="W31" s="398">
        <f>+W64+W99+W130+W164+W229+W196</f>
        <v>4.33</v>
      </c>
      <c r="X31" s="401">
        <f t="shared" si="32"/>
        <v>1.3539187348583109E-3</v>
      </c>
      <c r="Y31" s="398">
        <f>+Y64+Y99+Y130+Y164+Y229+Y196</f>
        <v>0.377</v>
      </c>
      <c r="Z31" s="401">
        <f t="shared" si="33"/>
        <v>1.1063485625979061E-4</v>
      </c>
      <c r="AA31" s="398">
        <f>+AA64+AA99+AA130+AA164+AA229+AA196</f>
        <v>33.499000000000002</v>
      </c>
      <c r="AB31" s="166">
        <f t="shared" si="34"/>
        <v>9.5439723676258963E-4</v>
      </c>
    </row>
    <row r="32" spans="2:28" ht="13" x14ac:dyDescent="0.3">
      <c r="B32" s="278" t="s">
        <v>53</v>
      </c>
      <c r="C32" s="335">
        <f>+C28-C30-C31</f>
        <v>-166.75320999999971</v>
      </c>
      <c r="D32" s="402">
        <f t="shared" si="22"/>
        <v>-5.2465200604596293E-2</v>
      </c>
      <c r="E32" s="335">
        <f>+E28-E30-E31</f>
        <v>-94.677999999999614</v>
      </c>
      <c r="F32" s="402">
        <f t="shared" si="23"/>
        <v>-3.0261382298059688E-2</v>
      </c>
      <c r="G32" s="335">
        <f>+G28-G30-G31</f>
        <v>95.434000000000026</v>
      </c>
      <c r="H32" s="402">
        <f t="shared" si="24"/>
        <v>2.5407087383086512E-2</v>
      </c>
      <c r="I32" s="335">
        <f>+I28-I30-I31</f>
        <v>-14.294000000000109</v>
      </c>
      <c r="J32" s="402">
        <f t="shared" si="25"/>
        <v>-4.2578644191592907E-3</v>
      </c>
      <c r="K32" s="335">
        <f>+K28-K30-K31</f>
        <v>-83.347999999999985</v>
      </c>
      <c r="L32" s="402">
        <f t="shared" si="26"/>
        <v>-4.9706821120329758E-2</v>
      </c>
      <c r="M32" s="335">
        <f>+M28-M30-M31</f>
        <v>-70.162000000000091</v>
      </c>
      <c r="N32" s="402">
        <f t="shared" si="27"/>
        <v>-4.2500710243190964E-2</v>
      </c>
      <c r="O32" s="335">
        <f>+O28-O30-O31</f>
        <v>-70.16059000000007</v>
      </c>
      <c r="P32" s="402">
        <f t="shared" si="28"/>
        <v>-4.2499861797863074E-2</v>
      </c>
      <c r="Q32" s="335">
        <f>+Q28-Q30-Q31</f>
        <v>-9.8520030000002432</v>
      </c>
      <c r="R32" s="402">
        <f t="shared" si="29"/>
        <v>-2.8046392647858025E-3</v>
      </c>
      <c r="S32" s="335">
        <f>+S28-S30-S31</f>
        <v>-41.807480000000339</v>
      </c>
      <c r="T32" s="402">
        <f t="shared" si="30"/>
        <v>-1.2902268314444283E-2</v>
      </c>
      <c r="U32" s="335">
        <f>+U28-U30-U31</f>
        <v>-60.491000000000085</v>
      </c>
      <c r="V32" s="402">
        <f t="shared" si="31"/>
        <v>-1.8099968582157681E-2</v>
      </c>
      <c r="W32" s="335">
        <f>+W28-W30-W31</f>
        <v>-79.042999999999736</v>
      </c>
      <c r="X32" s="402">
        <f t="shared" si="32"/>
        <v>-2.4715426919031201E-2</v>
      </c>
      <c r="Y32" s="335">
        <f>+Y28-Y30-Y31</f>
        <v>32.031999999999776</v>
      </c>
      <c r="Z32" s="402">
        <f t="shared" si="33"/>
        <v>9.400147787038694E-3</v>
      </c>
      <c r="AA32" s="335">
        <f>+AA28-AA30-AA31</f>
        <v>-563.12328300000047</v>
      </c>
      <c r="AB32" s="30">
        <f t="shared" si="34"/>
        <v>-1.6043562651179982E-2</v>
      </c>
    </row>
    <row r="33" spans="2:28" ht="13" x14ac:dyDescent="0.3">
      <c r="B33" s="274" t="s">
        <v>122</v>
      </c>
      <c r="C33" s="335">
        <f t="shared" ref="C33:C38" si="35">+C66+C101+C132+C166+C231+C198</f>
        <v>-50.350549999999728</v>
      </c>
      <c r="D33" s="402">
        <f t="shared" si="22"/>
        <v>-1.5841684284828739E-2</v>
      </c>
      <c r="E33" s="335">
        <f t="shared" ref="E33:E38" si="36">+E66+E101+E132+E166+E231+E198</f>
        <v>42.958000000000141</v>
      </c>
      <c r="F33" s="402">
        <f t="shared" si="23"/>
        <v>1.3730417422844353E-2</v>
      </c>
      <c r="G33" s="335">
        <f t="shared" ref="G33:G38" si="37">+G66+G101+G132+G166+G231+G198</f>
        <v>248.90599999999966</v>
      </c>
      <c r="H33" s="402">
        <f t="shared" si="24"/>
        <v>6.6265445147164759E-2</v>
      </c>
      <c r="I33" s="335">
        <f t="shared" ref="I33:I38" si="38">+I66+I101+I132+I166+I231+I198</f>
        <v>126.77599999999991</v>
      </c>
      <c r="J33" s="402">
        <f t="shared" si="25"/>
        <v>3.7763748398162433E-2</v>
      </c>
      <c r="K33" s="335">
        <f t="shared" ref="K33:K38" si="39">+K66+K101+K132+K166+K231+K198</f>
        <v>28.416000000000036</v>
      </c>
      <c r="L33" s="402">
        <f t="shared" si="26"/>
        <v>1.6946645737813654E-2</v>
      </c>
      <c r="M33" s="335">
        <f t="shared" ref="M33:M38" si="40">+M66+M101+M132+M166+M231+M198</f>
        <v>44.307999999999922</v>
      </c>
      <c r="N33" s="402">
        <f t="shared" si="27"/>
        <v>2.6839620727107258E-2</v>
      </c>
      <c r="O33" s="335">
        <f t="shared" ref="O33:O38" si="41">+O66+O101+O132+O166+O231+O198</f>
        <v>44.308829999999936</v>
      </c>
      <c r="P33" s="402">
        <f t="shared" si="28"/>
        <v>2.6840127077394939E-2</v>
      </c>
      <c r="Q33" s="335">
        <f t="shared" ref="Q33:Q38" si="42">+Q66+Q101+Q132+Q166+Q231+Q198</f>
        <v>114.64846699999975</v>
      </c>
      <c r="R33" s="402">
        <f t="shared" si="29"/>
        <v>3.2637788701007371E-2</v>
      </c>
      <c r="S33" s="335">
        <f t="shared" ref="S33:S38" si="43">+S66+S101+S132+S166+S231+S198</f>
        <v>75.225099999999671</v>
      </c>
      <c r="T33" s="402">
        <f t="shared" si="30"/>
        <v>2.3215329509955886E-2</v>
      </c>
      <c r="U33" s="335">
        <f t="shared" ref="U33:U38" si="44">+U66+U101+U132+U166+U231+U198</f>
        <v>48.663999999999916</v>
      </c>
      <c r="V33" s="402">
        <f t="shared" si="31"/>
        <v>1.4561122664233005E-2</v>
      </c>
      <c r="W33" s="335">
        <f t="shared" ref="W33:W38" si="45">+W66+W101+W132+W166+W231+W198</f>
        <v>32.450000000000259</v>
      </c>
      <c r="X33" s="402">
        <f t="shared" si="32"/>
        <v>1.0146573428672642E-2</v>
      </c>
      <c r="Y33" s="335">
        <f t="shared" ref="Y33:Y38" si="46">+Y66+Y101+Y132+Y166+Y231+Y198</f>
        <v>140.96799999999976</v>
      </c>
      <c r="Z33" s="402">
        <f t="shared" si="33"/>
        <v>4.1368632406445983E-2</v>
      </c>
      <c r="AA33" s="335">
        <f t="shared" ref="AA33:AA38" si="47">+AA66+AA101+AA132+AA166+AA231+AA198</f>
        <v>897.27784699999927</v>
      </c>
      <c r="AB33" s="30">
        <f t="shared" si="34"/>
        <v>2.5563733179649689E-2</v>
      </c>
    </row>
    <row r="34" spans="2:28" s="130" customFormat="1" ht="13" x14ac:dyDescent="0.3">
      <c r="B34" s="1" t="s">
        <v>194</v>
      </c>
      <c r="C34" s="373">
        <f t="shared" si="35"/>
        <v>0</v>
      </c>
      <c r="D34" s="407">
        <f t="shared" si="22"/>
        <v>0</v>
      </c>
      <c r="E34" s="373">
        <f t="shared" si="36"/>
        <v>0</v>
      </c>
      <c r="F34" s="407">
        <f t="shared" si="23"/>
        <v>0</v>
      </c>
      <c r="G34" s="373">
        <f t="shared" si="37"/>
        <v>0</v>
      </c>
      <c r="H34" s="407">
        <f t="shared" si="24"/>
        <v>0</v>
      </c>
      <c r="I34" s="373">
        <f t="shared" si="38"/>
        <v>0</v>
      </c>
      <c r="J34" s="407">
        <f t="shared" si="25"/>
        <v>0</v>
      </c>
      <c r="K34" s="373">
        <f t="shared" si="39"/>
        <v>0</v>
      </c>
      <c r="L34" s="407">
        <f t="shared" si="26"/>
        <v>0</v>
      </c>
      <c r="M34" s="373">
        <f t="shared" si="40"/>
        <v>0</v>
      </c>
      <c r="N34" s="407">
        <f t="shared" si="27"/>
        <v>0</v>
      </c>
      <c r="O34" s="373">
        <f t="shared" si="41"/>
        <v>0</v>
      </c>
      <c r="P34" s="407">
        <f t="shared" si="28"/>
        <v>0</v>
      </c>
      <c r="Q34" s="373">
        <f t="shared" si="42"/>
        <v>0</v>
      </c>
      <c r="R34" s="407">
        <f t="shared" si="29"/>
        <v>0</v>
      </c>
      <c r="S34" s="373">
        <f t="shared" si="43"/>
        <v>0</v>
      </c>
      <c r="T34" s="407">
        <f t="shared" si="30"/>
        <v>0</v>
      </c>
      <c r="U34" s="373">
        <f t="shared" si="44"/>
        <v>0</v>
      </c>
      <c r="V34" s="407">
        <f t="shared" si="31"/>
        <v>0</v>
      </c>
      <c r="W34" s="373">
        <f t="shared" si="45"/>
        <v>0</v>
      </c>
      <c r="X34" s="407">
        <f t="shared" si="32"/>
        <v>0</v>
      </c>
      <c r="Y34" s="373">
        <f t="shared" si="46"/>
        <v>0</v>
      </c>
      <c r="Z34" s="407">
        <f t="shared" si="33"/>
        <v>0</v>
      </c>
      <c r="AA34" s="373">
        <f t="shared" si="47"/>
        <v>0</v>
      </c>
      <c r="AB34" s="360">
        <f t="shared" si="34"/>
        <v>0</v>
      </c>
    </row>
    <row r="35" spans="2:28" s="130" customFormat="1" ht="13" x14ac:dyDescent="0.3">
      <c r="B35" s="1" t="s">
        <v>123</v>
      </c>
      <c r="C35" s="408">
        <f t="shared" si="35"/>
        <v>0</v>
      </c>
      <c r="D35" s="409">
        <f t="shared" si="22"/>
        <v>0</v>
      </c>
      <c r="E35" s="408">
        <f t="shared" si="36"/>
        <v>0</v>
      </c>
      <c r="F35" s="409">
        <f t="shared" si="23"/>
        <v>0</v>
      </c>
      <c r="G35" s="408">
        <f t="shared" si="37"/>
        <v>0</v>
      </c>
      <c r="H35" s="409">
        <f t="shared" si="24"/>
        <v>0</v>
      </c>
      <c r="I35" s="408">
        <f t="shared" si="38"/>
        <v>0</v>
      </c>
      <c r="J35" s="409">
        <f t="shared" si="25"/>
        <v>0</v>
      </c>
      <c r="K35" s="408">
        <f t="shared" si="39"/>
        <v>0</v>
      </c>
      <c r="L35" s="409">
        <f t="shared" si="26"/>
        <v>0</v>
      </c>
      <c r="M35" s="408">
        <f t="shared" si="40"/>
        <v>0</v>
      </c>
      <c r="N35" s="409">
        <f t="shared" si="27"/>
        <v>0</v>
      </c>
      <c r="O35" s="408">
        <f t="shared" si="41"/>
        <v>0</v>
      </c>
      <c r="P35" s="409">
        <f t="shared" si="28"/>
        <v>0</v>
      </c>
      <c r="Q35" s="408">
        <f t="shared" si="42"/>
        <v>0</v>
      </c>
      <c r="R35" s="409">
        <f t="shared" si="29"/>
        <v>0</v>
      </c>
      <c r="S35" s="408">
        <f t="shared" si="43"/>
        <v>0</v>
      </c>
      <c r="T35" s="409">
        <f t="shared" si="30"/>
        <v>0</v>
      </c>
      <c r="U35" s="408">
        <f t="shared" si="44"/>
        <v>0</v>
      </c>
      <c r="V35" s="409">
        <f t="shared" si="31"/>
        <v>0</v>
      </c>
      <c r="W35" s="408">
        <f t="shared" si="45"/>
        <v>0</v>
      </c>
      <c r="X35" s="409">
        <f t="shared" si="32"/>
        <v>0</v>
      </c>
      <c r="Y35" s="408">
        <f t="shared" si="46"/>
        <v>0</v>
      </c>
      <c r="Z35" s="409">
        <f t="shared" si="33"/>
        <v>0</v>
      </c>
      <c r="AA35" s="408">
        <f t="shared" si="47"/>
        <v>0</v>
      </c>
      <c r="AB35" s="361">
        <f t="shared" si="34"/>
        <v>0</v>
      </c>
    </row>
    <row r="36" spans="2:28" s="130" customFormat="1" ht="13" x14ac:dyDescent="0.3">
      <c r="B36" s="7" t="s">
        <v>190</v>
      </c>
      <c r="C36" s="410">
        <f t="shared" si="35"/>
        <v>-55.460459999999713</v>
      </c>
      <c r="D36" s="409">
        <f t="shared" si="22"/>
        <v>-1.7449404179524813E-2</v>
      </c>
      <c r="E36" s="410">
        <f t="shared" si="36"/>
        <v>16.614000000000143</v>
      </c>
      <c r="F36" s="409">
        <f t="shared" si="23"/>
        <v>5.3102368607276249E-3</v>
      </c>
      <c r="G36" s="410">
        <f t="shared" si="37"/>
        <v>206.72599999999971</v>
      </c>
      <c r="H36" s="409">
        <f t="shared" si="24"/>
        <v>5.5035999186410861E-2</v>
      </c>
      <c r="I36" s="410">
        <f t="shared" si="38"/>
        <v>96.997999999999891</v>
      </c>
      <c r="J36" s="409">
        <f t="shared" si="25"/>
        <v>2.8893545048944265E-2</v>
      </c>
      <c r="K36" s="410">
        <f t="shared" si="39"/>
        <v>-10.006999999999959</v>
      </c>
      <c r="L36" s="409">
        <f t="shared" si="26"/>
        <v>-5.9679435493489698E-3</v>
      </c>
      <c r="M36" s="410">
        <f t="shared" si="40"/>
        <v>3.1789999999999061</v>
      </c>
      <c r="N36" s="409">
        <f t="shared" si="27"/>
        <v>1.925682817808784E-3</v>
      </c>
      <c r="O36" s="410">
        <f t="shared" si="41"/>
        <v>3.180829999999931</v>
      </c>
      <c r="P36" s="409">
        <f t="shared" si="28"/>
        <v>1.9267915991369761E-3</v>
      </c>
      <c r="Q36" s="410">
        <f t="shared" si="42"/>
        <v>78.871696999999827</v>
      </c>
      <c r="R36" s="409">
        <f t="shared" si="29"/>
        <v>2.2452962944335544E-2</v>
      </c>
      <c r="S36" s="410">
        <f t="shared" si="43"/>
        <v>46.916239999999789</v>
      </c>
      <c r="T36" s="409">
        <f t="shared" si="30"/>
        <v>1.4478890303478129E-2</v>
      </c>
      <c r="U36" s="410">
        <f t="shared" si="44"/>
        <v>25.064999999999955</v>
      </c>
      <c r="V36" s="409">
        <f t="shared" si="31"/>
        <v>7.4998877934201926E-3</v>
      </c>
      <c r="W36" s="410">
        <f t="shared" si="45"/>
        <v>6.5130000000002362</v>
      </c>
      <c r="X36" s="409">
        <f t="shared" si="32"/>
        <v>2.0365064018781748E-3</v>
      </c>
      <c r="Y36" s="410">
        <f t="shared" si="46"/>
        <v>117.58851999999983</v>
      </c>
      <c r="Z36" s="409">
        <f t="shared" si="33"/>
        <v>3.4507663151197597E-2</v>
      </c>
      <c r="AA36" s="410">
        <f t="shared" si="47"/>
        <v>536.18482699999947</v>
      </c>
      <c r="AB36" s="361">
        <f t="shared" si="34"/>
        <v>1.5276077413738518E-2</v>
      </c>
    </row>
    <row r="37" spans="2:28" s="130" customFormat="1" ht="13" x14ac:dyDescent="0.3">
      <c r="B37" s="7" t="s">
        <v>191</v>
      </c>
      <c r="C37" s="381">
        <f t="shared" si="35"/>
        <v>110</v>
      </c>
      <c r="D37" s="411">
        <f t="shared" si="22"/>
        <v>3.4609061297864084E-2</v>
      </c>
      <c r="E37" s="381">
        <f t="shared" si="36"/>
        <v>92.931080000000009</v>
      </c>
      <c r="F37" s="411">
        <f t="shared" si="23"/>
        <v>2.9703024348334148E-2</v>
      </c>
      <c r="G37" s="381">
        <f t="shared" si="37"/>
        <v>109.37969999999999</v>
      </c>
      <c r="H37" s="411">
        <f t="shared" si="24"/>
        <v>2.9119806314686452E-2</v>
      </c>
      <c r="I37" s="381">
        <f t="shared" si="38"/>
        <v>97.255030000000005</v>
      </c>
      <c r="J37" s="411">
        <f t="shared" si="25"/>
        <v>2.8970108564521219E-2</v>
      </c>
      <c r="K37" s="381">
        <f t="shared" si="39"/>
        <v>63.314280000000004</v>
      </c>
      <c r="L37" s="411">
        <f t="shared" si="26"/>
        <v>3.7759173469339068E-2</v>
      </c>
      <c r="M37" s="381">
        <f t="shared" si="40"/>
        <v>65.91185999999999</v>
      </c>
      <c r="N37" s="411">
        <f t="shared" si="27"/>
        <v>3.992618316823586E-2</v>
      </c>
      <c r="O37" s="381">
        <f t="shared" si="41"/>
        <v>65.91185999999999</v>
      </c>
      <c r="P37" s="411">
        <f t="shared" si="28"/>
        <v>3.992618848900923E-2</v>
      </c>
      <c r="Q37" s="381">
        <f t="shared" si="42"/>
        <v>101</v>
      </c>
      <c r="R37" s="411">
        <f t="shared" si="29"/>
        <v>2.8752383220281098E-2</v>
      </c>
      <c r="S37" s="381">
        <f t="shared" si="43"/>
        <v>92</v>
      </c>
      <c r="T37" s="411">
        <f t="shared" si="30"/>
        <v>2.8392256240482909E-2</v>
      </c>
      <c r="U37" s="381">
        <f t="shared" si="44"/>
        <v>89</v>
      </c>
      <c r="V37" s="411">
        <f t="shared" si="31"/>
        <v>2.663036160440448E-2</v>
      </c>
      <c r="W37" s="381">
        <f t="shared" si="45"/>
        <v>69</v>
      </c>
      <c r="X37" s="411">
        <f t="shared" si="32"/>
        <v>2.1575148430767539E-2</v>
      </c>
      <c r="Y37" s="381">
        <f t="shared" si="46"/>
        <v>80</v>
      </c>
      <c r="Z37" s="411">
        <f t="shared" si="33"/>
        <v>2.347689257502188E-2</v>
      </c>
      <c r="AA37" s="381">
        <f t="shared" si="47"/>
        <v>1035.70381</v>
      </c>
      <c r="AB37" s="151">
        <f t="shared" si="34"/>
        <v>2.950753319109484E-2</v>
      </c>
    </row>
    <row r="38" spans="2:28" s="130" customFormat="1" ht="13" x14ac:dyDescent="0.3">
      <c r="B38" s="7" t="s">
        <v>84</v>
      </c>
      <c r="C38" s="381">
        <f t="shared" si="35"/>
        <v>-165.4604599999997</v>
      </c>
      <c r="D38" s="411">
        <f t="shared" si="22"/>
        <v>-5.2058465477388897E-2</v>
      </c>
      <c r="E38" s="381">
        <f t="shared" si="36"/>
        <v>-76.317079999999862</v>
      </c>
      <c r="F38" s="411">
        <f t="shared" si="23"/>
        <v>-2.4392787487606524E-2</v>
      </c>
      <c r="G38" s="381">
        <f t="shared" si="37"/>
        <v>97.346299999999729</v>
      </c>
      <c r="H38" s="411">
        <f t="shared" si="24"/>
        <v>2.5916192871724406E-2</v>
      </c>
      <c r="I38" s="381">
        <f t="shared" si="38"/>
        <v>-0.25703000000011933</v>
      </c>
      <c r="J38" s="411">
        <f t="shared" si="25"/>
        <v>-7.6563515576956229E-5</v>
      </c>
      <c r="K38" s="381">
        <f t="shared" si="39"/>
        <v>-73.321279999999973</v>
      </c>
      <c r="L38" s="411">
        <f t="shared" si="26"/>
        <v>-4.3727117018688047E-2</v>
      </c>
      <c r="M38" s="381">
        <f t="shared" si="40"/>
        <v>-62.732860000000088</v>
      </c>
      <c r="N38" s="411">
        <f t="shared" si="27"/>
        <v>-3.8000500350427083E-2</v>
      </c>
      <c r="O38" s="381">
        <f t="shared" si="41"/>
        <v>-62.731030000000061</v>
      </c>
      <c r="P38" s="411">
        <f t="shared" si="28"/>
        <v>-3.799939688987225E-2</v>
      </c>
      <c r="Q38" s="381">
        <f t="shared" si="42"/>
        <v>-22.128303000000173</v>
      </c>
      <c r="R38" s="411">
        <f t="shared" si="29"/>
        <v>-6.2994202759455529E-3</v>
      </c>
      <c r="S38" s="381">
        <f t="shared" si="43"/>
        <v>-45.083760000000225</v>
      </c>
      <c r="T38" s="411">
        <f t="shared" si="30"/>
        <v>-1.3913365937004783E-2</v>
      </c>
      <c r="U38" s="381">
        <f t="shared" si="44"/>
        <v>-63.935000000000052</v>
      </c>
      <c r="V38" s="411">
        <f t="shared" si="31"/>
        <v>-1.9130473810984292E-2</v>
      </c>
      <c r="W38" s="381">
        <f t="shared" si="45"/>
        <v>-62.486999999999767</v>
      </c>
      <c r="X38" s="411">
        <f t="shared" si="32"/>
        <v>-1.9538642028889365E-2</v>
      </c>
      <c r="Y38" s="381">
        <f t="shared" si="46"/>
        <v>37.588519999999839</v>
      </c>
      <c r="Z38" s="411">
        <f t="shared" si="33"/>
        <v>1.103077057617572E-2</v>
      </c>
      <c r="AA38" s="381">
        <f t="shared" si="47"/>
        <v>-499.51898300000045</v>
      </c>
      <c r="AB38" s="151">
        <f t="shared" si="34"/>
        <v>-1.423145577735632E-2</v>
      </c>
    </row>
    <row r="39" spans="2:28" s="130" customFormat="1" ht="13" x14ac:dyDescent="0.3">
      <c r="B39" s="1" t="s">
        <v>193</v>
      </c>
      <c r="C39" s="412">
        <f>IF(C37=0,"N.D.",(C36-C34-C35)/C37)</f>
        <v>-0.50418599999999736</v>
      </c>
      <c r="D39" s="411">
        <f t="shared" si="22"/>
        <v>-1.5863094708658918E-4</v>
      </c>
      <c r="E39" s="412">
        <f>IF(E37=0,"N.D.",(E36-E34-E35)/E37)</f>
        <v>0.17877764898460388</v>
      </c>
      <c r="F39" s="411">
        <f t="shared" si="23"/>
        <v>5.7141667359591912E-5</v>
      </c>
      <c r="G39" s="412">
        <f>IF(G37=0,"N.D.",(G36-G34-G35)/G37)</f>
        <v>1.8899850703558314</v>
      </c>
      <c r="H39" s="411">
        <f t="shared" si="24"/>
        <v>5.0316465657165692E-4</v>
      </c>
      <c r="I39" s="412">
        <f>IF(I37=0,"N.D.",(I36-I34-I35)/I37)</f>
        <v>0.99735715468906738</v>
      </c>
      <c r="J39" s="411">
        <f t="shared" si="25"/>
        <v>2.9709049546274637E-4</v>
      </c>
      <c r="K39" s="412">
        <f>IF(K37=0,"N.D.",(K36-K34-K35)/K37)</f>
        <v>-0.15805281209862859</v>
      </c>
      <c r="L39" s="411">
        <f t="shared" si="26"/>
        <v>-9.4259044710750395E-5</v>
      </c>
      <c r="M39" s="412">
        <f>IF(M37=0,"N.D.",(M36-M34-M35)/M37)</f>
        <v>4.8231077077780946E-2</v>
      </c>
      <c r="N39" s="411">
        <f t="shared" si="27"/>
        <v>2.9216029069863669E-5</v>
      </c>
      <c r="O39" s="412">
        <f>IF(O37=0,"N.D.",(O36-O34-O35)/O37)</f>
        <v>4.8258841428537008E-2</v>
      </c>
      <c r="P39" s="411">
        <f t="shared" si="28"/>
        <v>2.9232851252217374E-5</v>
      </c>
      <c r="Q39" s="412">
        <f>IF(Q37=0,"N.D.",(Q36-Q34-Q35)/Q37)</f>
        <v>0.78090789108910719</v>
      </c>
      <c r="R39" s="411">
        <f t="shared" si="29"/>
        <v>2.2230656380530243E-4</v>
      </c>
      <c r="S39" s="412">
        <f>IF(S37=0,"N.D.",(S36-S34-S35)/S37)</f>
        <v>0.50995913043478036</v>
      </c>
      <c r="T39" s="411">
        <f t="shared" si="30"/>
        <v>1.573792424291101E-4</v>
      </c>
      <c r="U39" s="412">
        <f>IF(U37=0,"N.D.",(U36-U34-U35)/U37)</f>
        <v>0.28162921348314557</v>
      </c>
      <c r="V39" s="411">
        <f t="shared" si="31"/>
        <v>8.4268402173260596E-5</v>
      </c>
      <c r="W39" s="412">
        <f>IF(W37=0,"N.D.",(W36-W34-W35)/W37)</f>
        <v>9.4391304347829511E-2</v>
      </c>
      <c r="X39" s="411">
        <f t="shared" si="32"/>
        <v>2.9514585534466303E-5</v>
      </c>
      <c r="Y39" s="412">
        <f>IF(Y37=0,"N.D.",(Y36-Y34-Y35)/Y37)</f>
        <v>1.4698564999999979</v>
      </c>
      <c r="Z39" s="411">
        <f t="shared" si="33"/>
        <v>4.3134578938996997E-4</v>
      </c>
      <c r="AA39" s="412">
        <f>IF(AA37=0,"N.D.",(AA36-AA34-AA35)/AA37)</f>
        <v>0.51770093131162609</v>
      </c>
      <c r="AB39" s="151">
        <f t="shared" si="34"/>
        <v>1.4749465306822148E-5</v>
      </c>
    </row>
    <row r="40" spans="2:28" ht="13" x14ac:dyDescent="0.3">
      <c r="C40" s="413"/>
      <c r="D40" s="356"/>
      <c r="E40" s="413"/>
      <c r="F40" s="356"/>
      <c r="G40" s="413"/>
      <c r="H40" s="356"/>
      <c r="I40" s="413"/>
      <c r="J40" s="356"/>
      <c r="K40" s="413"/>
      <c r="L40" s="356"/>
      <c r="M40" s="413"/>
      <c r="N40" s="356"/>
      <c r="O40" s="413"/>
      <c r="P40" s="356"/>
      <c r="Q40" s="413"/>
      <c r="R40" s="356"/>
      <c r="S40" s="413"/>
      <c r="T40" s="356"/>
      <c r="U40" s="413"/>
      <c r="V40" s="356"/>
      <c r="W40" s="413"/>
      <c r="X40" s="356"/>
      <c r="Y40" s="413"/>
      <c r="Z40" s="356"/>
      <c r="AA40" s="413"/>
      <c r="AB40" s="34"/>
    </row>
    <row r="41" spans="2:28" ht="13" x14ac:dyDescent="0.3">
      <c r="C41" s="413"/>
      <c r="D41" s="356"/>
      <c r="E41" s="413"/>
      <c r="F41" s="356"/>
      <c r="G41" s="413"/>
      <c r="H41" s="356"/>
      <c r="I41" s="413"/>
      <c r="J41" s="356"/>
      <c r="K41" s="413"/>
      <c r="L41" s="356"/>
      <c r="M41" s="413"/>
      <c r="N41" s="356"/>
      <c r="O41" s="413"/>
      <c r="P41" s="356"/>
      <c r="Q41" s="413"/>
      <c r="R41" s="356"/>
      <c r="S41" s="413"/>
      <c r="T41" s="356"/>
      <c r="U41" s="413"/>
      <c r="V41" s="356"/>
      <c r="W41" s="413"/>
      <c r="X41" s="356"/>
      <c r="Y41" s="413"/>
      <c r="Z41" s="356"/>
      <c r="AA41" s="413"/>
      <c r="AB41" s="34"/>
    </row>
    <row r="43" spans="2:28" ht="13" x14ac:dyDescent="0.3">
      <c r="B43" s="277" t="s">
        <v>343</v>
      </c>
      <c r="C43" s="396" t="s">
        <v>195</v>
      </c>
      <c r="D43" s="397"/>
      <c r="E43" s="396" t="s">
        <v>197</v>
      </c>
      <c r="F43" s="397"/>
      <c r="G43" s="396" t="s">
        <v>198</v>
      </c>
      <c r="H43" s="397"/>
      <c r="I43" s="396" t="s">
        <v>199</v>
      </c>
      <c r="J43" s="397"/>
      <c r="K43" s="396" t="s">
        <v>200</v>
      </c>
      <c r="L43" s="397"/>
      <c r="M43" s="396" t="s">
        <v>201</v>
      </c>
      <c r="N43" s="397"/>
      <c r="O43" s="396" t="s">
        <v>202</v>
      </c>
      <c r="P43" s="397"/>
      <c r="Q43" s="396" t="s">
        <v>203</v>
      </c>
      <c r="R43" s="397"/>
      <c r="S43" s="396" t="s">
        <v>204</v>
      </c>
      <c r="T43" s="397"/>
      <c r="U43" s="396" t="s">
        <v>205</v>
      </c>
      <c r="V43" s="397"/>
      <c r="W43" s="396" t="s">
        <v>206</v>
      </c>
      <c r="X43" s="397"/>
      <c r="Y43" s="396" t="s">
        <v>207</v>
      </c>
      <c r="Z43" s="397"/>
      <c r="AA43" s="396" t="s">
        <v>218</v>
      </c>
      <c r="AB43" s="115"/>
    </row>
    <row r="44" spans="2:28" x14ac:dyDescent="0.25">
      <c r="B44" s="278" t="s">
        <v>38</v>
      </c>
      <c r="C44" s="398">
        <v>1645.08464</v>
      </c>
      <c r="D44" s="414">
        <f>IF(C$44=0,"N.D.",C44/C$44)</f>
        <v>1</v>
      </c>
      <c r="E44" s="398">
        <v>1592.0060000000001</v>
      </c>
      <c r="F44" s="414">
        <f>IF(E$44=0,"N.D.",E44/E$44)</f>
        <v>1</v>
      </c>
      <c r="G44" s="398">
        <v>1974.1569999999999</v>
      </c>
      <c r="H44" s="414">
        <f>IF(G$44=0,"N.D.",G44/G$44)</f>
        <v>1</v>
      </c>
      <c r="I44" s="398">
        <v>1744.587</v>
      </c>
      <c r="J44" s="414">
        <f>IF(I$44=0,"N.D.",I44/I$44)</f>
        <v>1</v>
      </c>
      <c r="K44" s="398">
        <v>0</v>
      </c>
      <c r="L44" s="414" t="str">
        <f>IF(K$44=0,"N.D.",K44/K$44)</f>
        <v>N.D.</v>
      </c>
      <c r="M44" s="398">
        <v>0</v>
      </c>
      <c r="N44" s="414" t="str">
        <f>IF(M$44=0,"N.D.",M44/M$44)</f>
        <v>N.D.</v>
      </c>
      <c r="O44" s="398">
        <v>0</v>
      </c>
      <c r="P44" s="414" t="str">
        <f>IF(O$44=0,"N.D.",O44/O$44)</f>
        <v>N.D.</v>
      </c>
      <c r="Q44" s="398">
        <v>1885.1558099999997</v>
      </c>
      <c r="R44" s="414">
        <f>IF(Q$44=0,"N.D.",Q44/Q$44)</f>
        <v>1</v>
      </c>
      <c r="S44" s="398">
        <v>1660.3848199999998</v>
      </c>
      <c r="T44" s="414">
        <f>IF(S$44=0,"N.D.",S44/S$44)</f>
        <v>1</v>
      </c>
      <c r="U44" s="398">
        <v>1768.558</v>
      </c>
      <c r="V44" s="414">
        <f>IF(U$44=0,"N.D.",U44/U$44)</f>
        <v>1</v>
      </c>
      <c r="W44" s="398">
        <v>1681.1880000000001</v>
      </c>
      <c r="X44" s="414">
        <f>IF(W$44=0,"N.D.",W44/W$44)</f>
        <v>1</v>
      </c>
      <c r="Y44" s="398">
        <v>1786.28</v>
      </c>
      <c r="Z44" s="414">
        <f>IF(Y$44=0,"N.D.",Y44/Y$44)</f>
        <v>1</v>
      </c>
      <c r="AA44" s="398">
        <f>+Y44+W44+U44+S44+Q44+O44+M44+K44+I44+G44+E44+C44</f>
        <v>15737.401269999998</v>
      </c>
      <c r="AB44" s="176">
        <f>IF(AA$44=0,"N.D.",AA44/AA$44)</f>
        <v>1</v>
      </c>
    </row>
    <row r="45" spans="2:28" x14ac:dyDescent="0.25">
      <c r="B45" s="278" t="s">
        <v>39</v>
      </c>
      <c r="C45" s="398">
        <v>1054.4964499999999</v>
      </c>
      <c r="D45" s="414">
        <f>IF(C$44=0,"N.D.",C45/C$44)</f>
        <v>0.64099829538254027</v>
      </c>
      <c r="E45" s="398">
        <v>579.65300000000002</v>
      </c>
      <c r="F45" s="414">
        <f>IF(E$44=0,"N.D.",E45/E$44)</f>
        <v>0.36410227097134057</v>
      </c>
      <c r="G45" s="398">
        <v>742.98599999999999</v>
      </c>
      <c r="H45" s="414">
        <f>IF(G$44=0,"N.D.",G45/G$44)</f>
        <v>0.37635608515432156</v>
      </c>
      <c r="I45" s="398">
        <v>637.55600000000004</v>
      </c>
      <c r="J45" s="414">
        <f>IF(I$44=0,"N.D.",I45/I$44)</f>
        <v>0.36544809745802304</v>
      </c>
      <c r="K45" s="398">
        <v>0</v>
      </c>
      <c r="L45" s="414" t="str">
        <f>IF(K$44=0,"N.D.",K45/K$44)</f>
        <v>N.D.</v>
      </c>
      <c r="M45" s="398">
        <v>0</v>
      </c>
      <c r="N45" s="414" t="str">
        <f>IF(M$44=0,"N.D.",M45/M$44)</f>
        <v>N.D.</v>
      </c>
      <c r="O45" s="398">
        <v>0</v>
      </c>
      <c r="P45" s="414" t="str">
        <f>IF(O$44=0,"N.D.",O45/O$44)</f>
        <v>N.D.</v>
      </c>
      <c r="Q45" s="398">
        <v>748.77754000000004</v>
      </c>
      <c r="R45" s="414">
        <f>IF(Q$44=0,"N.D.",Q45/Q$44)</f>
        <v>0.39719663278124484</v>
      </c>
      <c r="S45" s="398">
        <v>657.07956000000001</v>
      </c>
      <c r="T45" s="414">
        <f>IF(S$44=0,"N.D.",S45/S$44)</f>
        <v>0.39573932023782299</v>
      </c>
      <c r="U45" s="398">
        <v>697.07600000000002</v>
      </c>
      <c r="V45" s="414">
        <f>IF(U$44=0,"N.D.",U45/U$44)</f>
        <v>0.39414935783841981</v>
      </c>
      <c r="W45" s="398">
        <v>663.04</v>
      </c>
      <c r="X45" s="414">
        <f>IF(W$44=0,"N.D.",W45/W$44)</f>
        <v>0.39438777816639181</v>
      </c>
      <c r="Y45" s="398">
        <v>690.30100000000004</v>
      </c>
      <c r="Z45" s="414">
        <f>IF(Y$44=0,"N.D.",Y45/Y$44)</f>
        <v>0.38644613386479165</v>
      </c>
      <c r="AA45" s="398">
        <f t="shared" ref="AA45:AA66" si="48">+Y45+W45+U45+S45+Q45+O45+M45+K45+I45+G45+E45+C45</f>
        <v>6470.9655499999999</v>
      </c>
      <c r="AB45" s="176">
        <f>IF(AA$44=0,"N.D.",AA45/AA$44)</f>
        <v>0.41118386949537322</v>
      </c>
    </row>
    <row r="46" spans="2:28" x14ac:dyDescent="0.25">
      <c r="B46" s="278" t="s">
        <v>219</v>
      </c>
      <c r="C46" s="398"/>
      <c r="D46" s="414">
        <f>IF(C$44=0,"N.D.",C46/C$44)</f>
        <v>0</v>
      </c>
      <c r="E46" s="398">
        <v>0</v>
      </c>
      <c r="F46" s="414">
        <f>IF(E$44=0,"N.D.",E46/E$44)</f>
        <v>0</v>
      </c>
      <c r="G46" s="398">
        <v>0</v>
      </c>
      <c r="H46" s="414">
        <f>IF(G$44=0,"N.D.",G46/G$44)</f>
        <v>0</v>
      </c>
      <c r="I46" s="398">
        <v>0</v>
      </c>
      <c r="J46" s="414">
        <f>IF(I$44=0,"N.D.",I46/I$44)</f>
        <v>0</v>
      </c>
      <c r="K46" s="398">
        <v>0</v>
      </c>
      <c r="L46" s="414" t="str">
        <f>IF(K$44=0,"N.D.",K46/K$44)</f>
        <v>N.D.</v>
      </c>
      <c r="M46" s="398">
        <v>0</v>
      </c>
      <c r="N46" s="414" t="str">
        <f>IF(M$44=0,"N.D.",M46/M$44)</f>
        <v>N.D.</v>
      </c>
      <c r="O46" s="398">
        <v>0</v>
      </c>
      <c r="P46" s="414" t="str">
        <f>IF(O$44=0,"N.D.",O46/O$44)</f>
        <v>N.D.</v>
      </c>
      <c r="Q46" s="398">
        <v>442.57974999999999</v>
      </c>
      <c r="R46" s="414">
        <f>IF(Q$44=0,"N.D.",Q46/Q$44)</f>
        <v>0.23477091264939001</v>
      </c>
      <c r="S46" s="398">
        <v>411.43639000000002</v>
      </c>
      <c r="T46" s="414">
        <f>IF(S$44=0,"N.D.",S46/S$44)</f>
        <v>0.24779580314399652</v>
      </c>
      <c r="U46" s="398">
        <v>435.06400000000002</v>
      </c>
      <c r="V46" s="414">
        <f>IF(U$44=0,"N.D.",U46/U$44)</f>
        <v>0.24599928303171287</v>
      </c>
      <c r="W46" s="398">
        <v>415.19200000000001</v>
      </c>
      <c r="X46" s="414">
        <f>IF(W$44=0,"N.D.",W46/W$44)</f>
        <v>0.24696345679364828</v>
      </c>
      <c r="Y46" s="398">
        <v>417.19600000000003</v>
      </c>
      <c r="Z46" s="414">
        <f>IF(Y$44=0,"N.D.",Y46/Y$44)</f>
        <v>0.23355576953221222</v>
      </c>
      <c r="AA46" s="398"/>
      <c r="AB46" s="176">
        <f>IF(AA$44=0,"N.D.",AA46/AA$44)</f>
        <v>0</v>
      </c>
    </row>
    <row r="47" spans="2:28" ht="13" x14ac:dyDescent="0.3">
      <c r="B47" s="278" t="s">
        <v>40</v>
      </c>
      <c r="C47" s="335">
        <v>590.58819000000017</v>
      </c>
      <c r="D47" s="415">
        <f>IF(C$44=0,"N.D.",C47/C$44)</f>
        <v>0.35900170461745978</v>
      </c>
      <c r="E47" s="335">
        <v>1012.3530000000001</v>
      </c>
      <c r="F47" s="415">
        <f>IF(E$44=0,"N.D.",E47/E$44)</f>
        <v>0.63589772902865949</v>
      </c>
      <c r="G47" s="335">
        <v>1231.1709999999998</v>
      </c>
      <c r="H47" s="415">
        <f>IF(G$44=0,"N.D.",G47/G$44)</f>
        <v>0.62364391484567838</v>
      </c>
      <c r="I47" s="335">
        <v>1107.0309999999999</v>
      </c>
      <c r="J47" s="415">
        <f>IF(I$44=0,"N.D.",I47/I$44)</f>
        <v>0.63455190254197691</v>
      </c>
      <c r="K47" s="335">
        <v>0</v>
      </c>
      <c r="L47" s="415" t="str">
        <f>IF(K$44=0,"N.D.",K47/K$44)</f>
        <v>N.D.</v>
      </c>
      <c r="M47" s="335">
        <v>0</v>
      </c>
      <c r="N47" s="415" t="str">
        <f>IF(M$44=0,"N.D.",M47/M$44)</f>
        <v>N.D.</v>
      </c>
      <c r="O47" s="335">
        <v>0</v>
      </c>
      <c r="P47" s="415" t="str">
        <f>IF(O$44=0,"N.D.",O47/O$44)</f>
        <v>N.D.</v>
      </c>
      <c r="Q47" s="335">
        <v>693.79851999999983</v>
      </c>
      <c r="R47" s="415">
        <f>IF(Q$44=0,"N.D.",Q47/Q$44)</f>
        <v>0.36803245456936523</v>
      </c>
      <c r="S47" s="335">
        <v>591.86886999999979</v>
      </c>
      <c r="T47" s="415">
        <f>IF(S$44=0,"N.D.",S47/S$44)</f>
        <v>0.35646487661818049</v>
      </c>
      <c r="U47" s="335">
        <v>636.41799999999989</v>
      </c>
      <c r="V47" s="415">
        <f>IF(U$44=0,"N.D.",U47/U$44)</f>
        <v>0.35985135912986732</v>
      </c>
      <c r="W47" s="335">
        <v>602.95600000000013</v>
      </c>
      <c r="X47" s="415">
        <f>IF(W$44=0,"N.D.",W47/W$44)</f>
        <v>0.3586487650399599</v>
      </c>
      <c r="Y47" s="335">
        <v>678.78299999999979</v>
      </c>
      <c r="Z47" s="415">
        <f>IF(Y$44=0,"N.D.",Y47/Y$44)</f>
        <v>0.37999809660299605</v>
      </c>
      <c r="AA47" s="335">
        <f t="shared" si="48"/>
        <v>7144.9675799999995</v>
      </c>
      <c r="AB47" s="178">
        <f>IF(AA$44=0,"N.D.",AA47/AA$44)</f>
        <v>0.45401190815540537</v>
      </c>
    </row>
    <row r="48" spans="2:28" x14ac:dyDescent="0.25">
      <c r="B48" s="278"/>
      <c r="C48" s="403"/>
      <c r="D48" s="416"/>
      <c r="E48" s="403"/>
      <c r="F48" s="416"/>
      <c r="G48" s="403"/>
      <c r="H48" s="416"/>
      <c r="I48" s="403"/>
      <c r="J48" s="416"/>
      <c r="K48" s="403"/>
      <c r="L48" s="416"/>
      <c r="M48" s="403"/>
      <c r="N48" s="416"/>
      <c r="O48" s="403"/>
      <c r="P48" s="416"/>
      <c r="Q48" s="403"/>
      <c r="R48" s="416"/>
      <c r="S48" s="403"/>
      <c r="T48" s="416"/>
      <c r="U48" s="403"/>
      <c r="V48" s="416"/>
      <c r="W48" s="403"/>
      <c r="X48" s="416"/>
      <c r="Y48" s="403"/>
      <c r="Z48" s="416"/>
      <c r="AA48" s="403"/>
      <c r="AB48" s="180"/>
    </row>
    <row r="49" spans="2:28" x14ac:dyDescent="0.25">
      <c r="B49" s="278" t="s">
        <v>41</v>
      </c>
      <c r="C49" s="400">
        <v>497.67952999999994</v>
      </c>
      <c r="D49" s="417">
        <f>IF(C$44=0,"N.D.",C49/C$44)</f>
        <v>0.30252518192620165</v>
      </c>
      <c r="E49" s="400">
        <v>895.35299999999995</v>
      </c>
      <c r="F49" s="417">
        <f>IF(E$44=0,"N.D.",E49/E$44)</f>
        <v>0.56240554369769957</v>
      </c>
      <c r="G49" s="400">
        <v>1010.946</v>
      </c>
      <c r="H49" s="417">
        <f>IF(G$44=0,"N.D.",G49/G$44)</f>
        <v>0.51208997055452021</v>
      </c>
      <c r="I49" s="400">
        <v>950.73699999999997</v>
      </c>
      <c r="J49" s="417">
        <v>0.53067152471118484</v>
      </c>
      <c r="K49" s="400">
        <v>3.254</v>
      </c>
      <c r="L49" s="417">
        <v>0.50976992227721973</v>
      </c>
      <c r="M49" s="400">
        <v>0.36699999999999999</v>
      </c>
      <c r="N49" s="417" t="str">
        <f>IF(M$44=0,"N.D.",M49/M$44)</f>
        <v>N.D.</v>
      </c>
      <c r="O49" s="400">
        <v>0.36657000000000001</v>
      </c>
      <c r="P49" s="417" t="str">
        <f>IF(O$44=0,"N.D.",O49/O$44)</f>
        <v>N.D.</v>
      </c>
      <c r="Q49" s="400">
        <v>530.81776000000002</v>
      </c>
      <c r="R49" s="417">
        <f>IF(Q$44=0,"N.D.",Q49/Q$44)</f>
        <v>0.28157765909015237</v>
      </c>
      <c r="S49" s="400">
        <v>494.93536999999998</v>
      </c>
      <c r="T49" s="417">
        <f>IF(S$44=0,"N.D.",S49/S$44)</f>
        <v>0.29808473556148268</v>
      </c>
      <c r="U49" s="400">
        <v>546.19100000000003</v>
      </c>
      <c r="V49" s="417">
        <f>IF(U$44=0,"N.D.",U49/U$44)</f>
        <v>0.30883408969341125</v>
      </c>
      <c r="W49" s="400">
        <v>508.10199999999998</v>
      </c>
      <c r="X49" s="417">
        <f>IF(W$44=0,"N.D.",W49/W$44)</f>
        <v>0.30222794833177485</v>
      </c>
      <c r="Y49" s="400">
        <v>508.41199999999998</v>
      </c>
      <c r="Z49" s="417">
        <f>IF(Y$44=0,"N.D.",Y49/Y$44)</f>
        <v>0.28462055220906018</v>
      </c>
      <c r="AA49" s="400">
        <f t="shared" si="48"/>
        <v>5947.1612300000006</v>
      </c>
      <c r="AB49" s="182">
        <f>IF(AA$44=0,"N.D.",AA49/AA$44)</f>
        <v>0.37789982780301828</v>
      </c>
    </row>
    <row r="50" spans="2:28" x14ac:dyDescent="0.25">
      <c r="B50" s="278" t="s">
        <v>42</v>
      </c>
      <c r="C50" s="398">
        <v>124.11059</v>
      </c>
      <c r="D50" s="414">
        <f>IF(C$44=0,"N.D.",C50/C$44)</f>
        <v>7.544328539837318E-2</v>
      </c>
      <c r="E50" s="398">
        <v>105.133</v>
      </c>
      <c r="F50" s="414">
        <f>IF(E$44=0,"N.D.",E50/E$44)</f>
        <v>6.6038067695724761E-2</v>
      </c>
      <c r="G50" s="398">
        <v>111.289</v>
      </c>
      <c r="H50" s="414">
        <f>IF(G$44=0,"N.D.",G50/G$44)</f>
        <v>5.6372922720938613E-2</v>
      </c>
      <c r="I50" s="398">
        <v>99.581999999999994</v>
      </c>
      <c r="J50" s="414">
        <f>IF(I$44=0,"N.D.",I50/I$44)</f>
        <v>5.7080558321253104E-2</v>
      </c>
      <c r="K50" s="398">
        <v>17.725000000000001</v>
      </c>
      <c r="L50" s="414" t="str">
        <f>IF(K$44=0,"N.D.",K50/K$44)</f>
        <v>N.D.</v>
      </c>
      <c r="M50" s="398">
        <v>8.5839999999999996</v>
      </c>
      <c r="N50" s="414" t="str">
        <f>IF(M$44=0,"N.D.",M50/M$44)</f>
        <v>N.D.</v>
      </c>
      <c r="O50" s="398">
        <v>8.5841399999999997</v>
      </c>
      <c r="P50" s="414" t="str">
        <f>IF(O$44=0,"N.D.",O50/O$44)</f>
        <v>N.D.</v>
      </c>
      <c r="Q50" s="398">
        <v>113.56962</v>
      </c>
      <c r="R50" s="414">
        <f>IF(Q$44=0,"N.D.",Q50/Q$44)</f>
        <v>6.024415562764545E-2</v>
      </c>
      <c r="S50" s="398">
        <v>97.942779999999999</v>
      </c>
      <c r="T50" s="414">
        <f>IF(S$44=0,"N.D.",S50/S$44)</f>
        <v>5.8988000143243909E-2</v>
      </c>
      <c r="U50" s="398">
        <v>90.983999999999995</v>
      </c>
      <c r="V50" s="414">
        <f>IF(U$44=0,"N.D.",U50/U$44)</f>
        <v>5.144530176561922E-2</v>
      </c>
      <c r="W50" s="398">
        <v>93.888999999999996</v>
      </c>
      <c r="X50" s="414">
        <f>IF(W$44=0,"N.D.",W50/W$44)</f>
        <v>5.5846817845475932E-2</v>
      </c>
      <c r="Y50" s="398">
        <v>110.05800000000001</v>
      </c>
      <c r="Z50" s="414">
        <f>IF(Y$44=0,"N.D.",Y50/Y$44)</f>
        <v>6.1612961013950786E-2</v>
      </c>
      <c r="AA50" s="398">
        <f t="shared" si="48"/>
        <v>981.45113000000003</v>
      </c>
      <c r="AB50" s="176">
        <f>IF(AA$44=0,"N.D.",AA50/AA$44)</f>
        <v>6.2364243826642934E-2</v>
      </c>
    </row>
    <row r="51" spans="2:28" x14ac:dyDescent="0.25">
      <c r="B51" s="278" t="s">
        <v>43</v>
      </c>
      <c r="C51" s="398">
        <v>37.951329999999999</v>
      </c>
      <c r="D51" s="414">
        <f>IF(C$44=0,"N.D.",C51/C$44)</f>
        <v>2.3069530331278273E-2</v>
      </c>
      <c r="E51" s="398">
        <v>37.951000000000001</v>
      </c>
      <c r="F51" s="414">
        <f>IF(E$44=0,"N.D.",E51/E$44)</f>
        <v>2.3838477995685944E-2</v>
      </c>
      <c r="G51" s="398">
        <v>37.951000000000001</v>
      </c>
      <c r="H51" s="414">
        <f>IF(G$44=0,"N.D.",G51/G$44)</f>
        <v>1.9223901645107254E-2</v>
      </c>
      <c r="I51" s="398">
        <v>37.951000000000001</v>
      </c>
      <c r="J51" s="414">
        <f>IF(I$44=0,"N.D.",I51/I$44)</f>
        <v>2.1753572622058976E-2</v>
      </c>
      <c r="K51" s="398">
        <v>0</v>
      </c>
      <c r="L51" s="414" t="str">
        <f>IF(K$44=0,"N.D.",K51/K$44)</f>
        <v>N.D.</v>
      </c>
      <c r="M51" s="398">
        <v>0</v>
      </c>
      <c r="N51" s="414" t="str">
        <f>IF(M$44=0,"N.D.",M51/M$44)</f>
        <v>N.D.</v>
      </c>
      <c r="O51" s="398">
        <v>0</v>
      </c>
      <c r="P51" s="414" t="str">
        <f>IF(O$44=0,"N.D.",O51/O$44)</f>
        <v>N.D.</v>
      </c>
      <c r="Q51" s="398">
        <v>15.382299999999999</v>
      </c>
      <c r="R51" s="414">
        <f>IF(Q$44=0,"N.D.",Q51/Q$44)</f>
        <v>8.1596968899881016E-3</v>
      </c>
      <c r="S51" s="398">
        <v>15.382299999999999</v>
      </c>
      <c r="T51" s="414">
        <f>IF(S$44=0,"N.D.",S51/S$44)</f>
        <v>9.2642981402347446E-3</v>
      </c>
      <c r="U51" s="398">
        <v>15.382</v>
      </c>
      <c r="V51" s="414">
        <f>IF(U$44=0,"N.D.",U51/U$44)</f>
        <v>8.6974812248170538E-3</v>
      </c>
      <c r="W51" s="398">
        <v>15.382</v>
      </c>
      <c r="X51" s="414">
        <f>IF(W$44=0,"N.D.",W51/W$44)</f>
        <v>9.1494823898338549E-3</v>
      </c>
      <c r="Y51" s="398">
        <v>15.382</v>
      </c>
      <c r="Z51" s="414">
        <f>IF(Y$44=0,"N.D.",Y51/Y$44)</f>
        <v>8.6111919743825163E-3</v>
      </c>
      <c r="AA51" s="398">
        <f t="shared" si="48"/>
        <v>228.71492999999998</v>
      </c>
      <c r="AB51" s="176">
        <f>IF(AA$44=0,"N.D.",AA51/AA$44)</f>
        <v>1.4533208251860252E-2</v>
      </c>
    </row>
    <row r="52" spans="2:28" ht="13" x14ac:dyDescent="0.3">
      <c r="B52" s="278" t="s">
        <v>44</v>
      </c>
      <c r="C52" s="335">
        <v>659.74144999999999</v>
      </c>
      <c r="D52" s="415">
        <f>IF(C$44=0,"N.D.",C52/C$44)</f>
        <v>0.40103799765585313</v>
      </c>
      <c r="E52" s="335">
        <v>1038.4369999999999</v>
      </c>
      <c r="F52" s="415">
        <f>IF(E$44=0,"N.D.",E52/E$44)</f>
        <v>0.65228208938911025</v>
      </c>
      <c r="G52" s="335">
        <v>1160.1860000000001</v>
      </c>
      <c r="H52" s="415">
        <f>IF(G$44=0,"N.D.",G52/G$44)</f>
        <v>0.58768679492056619</v>
      </c>
      <c r="I52" s="335">
        <v>1088.27</v>
      </c>
      <c r="J52" s="415">
        <f>IF(I$44=0,"N.D.",I52/I$44)</f>
        <v>0.62379806796680248</v>
      </c>
      <c r="K52" s="335">
        <v>20.979000000000003</v>
      </c>
      <c r="L52" s="415" t="str">
        <f>IF(K$44=0,"N.D.",K52/K$44)</f>
        <v>N.D.</v>
      </c>
      <c r="M52" s="335">
        <v>8.9510000000000005</v>
      </c>
      <c r="N52" s="415" t="str">
        <f>IF(M$44=0,"N.D.",M52/M$44)</f>
        <v>N.D.</v>
      </c>
      <c r="O52" s="335">
        <v>8.9507099999999991</v>
      </c>
      <c r="P52" s="415" t="str">
        <f>IF(O$44=0,"N.D.",O52/O$44)</f>
        <v>N.D.</v>
      </c>
      <c r="Q52" s="335">
        <v>659.76968000000011</v>
      </c>
      <c r="R52" s="415">
        <f>IF(Q$44=0,"N.D.",Q52/Q$44)</f>
        <v>0.34998151160778601</v>
      </c>
      <c r="S52" s="335">
        <v>608.26045000000011</v>
      </c>
      <c r="T52" s="415">
        <f>IF(S$44=0,"N.D.",S52/S$44)</f>
        <v>0.36633703384496141</v>
      </c>
      <c r="U52" s="335">
        <v>652.55700000000002</v>
      </c>
      <c r="V52" s="415">
        <f>IF(U$44=0,"N.D.",U52/U$44)</f>
        <v>0.36897687268384755</v>
      </c>
      <c r="W52" s="335">
        <v>617.37299999999993</v>
      </c>
      <c r="X52" s="415">
        <f>IF(W$44=0,"N.D.",W52/W$44)</f>
        <v>0.36722424856708463</v>
      </c>
      <c r="Y52" s="335">
        <v>633.85199999999998</v>
      </c>
      <c r="Z52" s="415">
        <f>IF(Y$44=0,"N.D.",Y52/Y$44)</f>
        <v>0.35484470519739347</v>
      </c>
      <c r="AA52" s="335">
        <f t="shared" si="48"/>
        <v>7157.3272899999993</v>
      </c>
      <c r="AB52" s="178">
        <f>IF(AA$44=0,"N.D.",AA52/AA$44)</f>
        <v>0.45479727988152135</v>
      </c>
    </row>
    <row r="53" spans="2:28" ht="13" x14ac:dyDescent="0.3">
      <c r="B53" s="278" t="s">
        <v>45</v>
      </c>
      <c r="C53" s="335">
        <v>-69.153259999999776</v>
      </c>
      <c r="D53" s="415">
        <f>IF(C$44=0,"N.D.",C53/C$44)</f>
        <v>-4.2036293038393319E-2</v>
      </c>
      <c r="E53" s="335">
        <v>-26.083999999999833</v>
      </c>
      <c r="F53" s="415">
        <f>IF(E$44=0,"N.D.",E53/E$44)</f>
        <v>-1.6384360360450798E-2</v>
      </c>
      <c r="G53" s="335">
        <v>70.984999999999673</v>
      </c>
      <c r="H53" s="415">
        <f>IF(G$44=0,"N.D.",G53/G$44)</f>
        <v>3.5957119925112177E-2</v>
      </c>
      <c r="I53" s="335">
        <v>18.760999999999967</v>
      </c>
      <c r="J53" s="415">
        <f>IF(I$44=0,"N.D.",I53/I$44)</f>
        <v>1.0753834575174507E-2</v>
      </c>
      <c r="K53" s="335">
        <v>-20.979000000000003</v>
      </c>
      <c r="L53" s="415" t="str">
        <f>IF(K$44=0,"N.D.",K53/K$44)</f>
        <v>N.D.</v>
      </c>
      <c r="M53" s="335">
        <v>-8.9510000000000005</v>
      </c>
      <c r="N53" s="415" t="str">
        <f>IF(M$44=0,"N.D.",M53/M$44)</f>
        <v>N.D.</v>
      </c>
      <c r="O53" s="335">
        <v>-8.9507099999999991</v>
      </c>
      <c r="P53" s="415" t="str">
        <f>IF(O$44=0,"N.D.",O53/O$44)</f>
        <v>N.D.</v>
      </c>
      <c r="Q53" s="335">
        <v>34.028839999999732</v>
      </c>
      <c r="R53" s="415">
        <f>IF(Q$44=0,"N.D.",Q53/Q$44)</f>
        <v>1.8050942961579254E-2</v>
      </c>
      <c r="S53" s="335">
        <v>-16.391580000000307</v>
      </c>
      <c r="T53" s="415">
        <f>IF(S$44=0,"N.D.",S53/S$44)</f>
        <v>-9.8721572267809025E-3</v>
      </c>
      <c r="U53" s="335">
        <v>-16.139000000000124</v>
      </c>
      <c r="V53" s="415">
        <f>IF(U$44=0,"N.D.",U53/U$44)</f>
        <v>-9.1255135539802055E-3</v>
      </c>
      <c r="W53" s="335">
        <v>-14.416999999999803</v>
      </c>
      <c r="X53" s="415">
        <f>IF(W$44=0,"N.D.",W53/W$44)</f>
        <v>-8.5754835271247484E-3</v>
      </c>
      <c r="Y53" s="335">
        <v>44.930999999999813</v>
      </c>
      <c r="Z53" s="415">
        <f>IF(Y$44=0,"N.D.",Y53/Y$44)</f>
        <v>2.5153391405602601E-2</v>
      </c>
      <c r="AA53" s="335">
        <f t="shared" si="48"/>
        <v>-12.359710000000661</v>
      </c>
      <c r="AB53" s="178">
        <f>IF(AA$44=0,"N.D.",AA53/AA$44)</f>
        <v>-7.8537172611604011E-4</v>
      </c>
    </row>
    <row r="54" spans="2:28" x14ac:dyDescent="0.25">
      <c r="C54" s="403"/>
      <c r="D54" s="416"/>
      <c r="E54" s="403"/>
      <c r="F54" s="416"/>
      <c r="G54" s="403"/>
      <c r="H54" s="416"/>
      <c r="I54" s="403"/>
      <c r="J54" s="416"/>
      <c r="K54" s="403"/>
      <c r="L54" s="416"/>
      <c r="M54" s="403"/>
      <c r="N54" s="416"/>
      <c r="O54" s="403"/>
      <c r="P54" s="416"/>
      <c r="Q54" s="403"/>
      <c r="R54" s="416"/>
      <c r="S54" s="403"/>
      <c r="T54" s="416"/>
      <c r="U54" s="403"/>
      <c r="V54" s="416"/>
      <c r="W54" s="403"/>
      <c r="X54" s="416"/>
      <c r="Y54" s="403"/>
      <c r="Z54" s="416"/>
      <c r="AA54" s="403"/>
      <c r="AB54" s="180"/>
    </row>
    <row r="55" spans="2:28" x14ac:dyDescent="0.25">
      <c r="B55" s="278"/>
      <c r="C55" s="400">
        <v>0</v>
      </c>
      <c r="D55" s="417">
        <f>IF(C$44=0,"N.D.",C55/C$44)</f>
        <v>0</v>
      </c>
      <c r="E55" s="400">
        <v>0</v>
      </c>
      <c r="F55" s="417">
        <f>IF(E$44=0,"N.D.",E55/E$44)</f>
        <v>0</v>
      </c>
      <c r="G55" s="400">
        <v>0</v>
      </c>
      <c r="H55" s="417">
        <f>IF(G$44=0,"N.D.",G55/G$44)</f>
        <v>0</v>
      </c>
      <c r="I55" s="400">
        <v>0</v>
      </c>
      <c r="J55" s="417">
        <f>IF(I$44=0,"N.D.",I55/I$44)</f>
        <v>0</v>
      </c>
      <c r="K55" s="400">
        <v>0</v>
      </c>
      <c r="L55" s="417" t="str">
        <f>IF(K$44=0,"N.D.",K55/K$44)</f>
        <v>N.D.</v>
      </c>
      <c r="M55" s="400">
        <v>0</v>
      </c>
      <c r="N55" s="417" t="str">
        <f>IF(M$44=0,"N.D.",M55/M$44)</f>
        <v>N.D.</v>
      </c>
      <c r="O55" s="400">
        <v>0</v>
      </c>
      <c r="P55" s="417" t="str">
        <f>IF(O$44=0,"N.D.",O55/O$44)</f>
        <v>N.D.</v>
      </c>
      <c r="Q55" s="400">
        <v>0</v>
      </c>
      <c r="R55" s="417">
        <f>IF(Q$44=0,"N.D.",Q55/Q$44)</f>
        <v>0</v>
      </c>
      <c r="S55" s="400">
        <v>0</v>
      </c>
      <c r="T55" s="417">
        <f>IF(S$44=0,"N.D.",S55/S$44)</f>
        <v>0</v>
      </c>
      <c r="U55" s="400">
        <v>0</v>
      </c>
      <c r="V55" s="417">
        <f>IF(U$44=0,"N.D.",U55/U$44)</f>
        <v>0</v>
      </c>
      <c r="W55" s="400">
        <v>0</v>
      </c>
      <c r="X55" s="417">
        <f>IF(W$44=0,"N.D.",W55/W$44)</f>
        <v>0</v>
      </c>
      <c r="Y55" s="400">
        <v>0</v>
      </c>
      <c r="Z55" s="417">
        <f>IF(Y$44=0,"N.D.",Y55/Y$44)</f>
        <v>0</v>
      </c>
      <c r="AA55" s="400">
        <f t="shared" si="48"/>
        <v>0</v>
      </c>
      <c r="AB55" s="182">
        <f>IF(AA$44=0,"N.D.",AA55/AA$44)</f>
        <v>0</v>
      </c>
    </row>
    <row r="56" spans="2:28" x14ac:dyDescent="0.25">
      <c r="B56" s="278" t="s">
        <v>52</v>
      </c>
      <c r="C56" s="398">
        <v>-69.132270000000005</v>
      </c>
      <c r="D56" s="414">
        <f>IF(C$44=0,"N.D.",C56/C$44)</f>
        <v>-4.2023533816472815E-2</v>
      </c>
      <c r="E56" s="398">
        <v>-40.692999999999998</v>
      </c>
      <c r="F56" s="414">
        <f>IF(E$44=0,"N.D.",E56/E$44)</f>
        <v>-2.5560833313442284E-2</v>
      </c>
      <c r="G56" s="398">
        <v>-33.435000000000002</v>
      </c>
      <c r="H56" s="414">
        <f>IF(G$44=0,"N.D.",G56/G$44)</f>
        <v>-1.6936342955499489E-2</v>
      </c>
      <c r="I56" s="398">
        <v>-43.231999999999999</v>
      </c>
      <c r="J56" s="414">
        <f>IF(I$44=0,"N.D.",I56/I$44)</f>
        <v>-2.4780650090823787E-2</v>
      </c>
      <c r="K56" s="398">
        <v>-7.5359999999999996</v>
      </c>
      <c r="L56" s="414" t="str">
        <f>IF(K$44=0,"N.D.",K56/K$44)</f>
        <v>N.D.</v>
      </c>
      <c r="M56" s="398">
        <v>-4.2789999999999999</v>
      </c>
      <c r="N56" s="414" t="str">
        <f>IF(M$44=0,"N.D.",M56/M$44)</f>
        <v>N.D.</v>
      </c>
      <c r="O56" s="398">
        <v>-4.2791399999999999</v>
      </c>
      <c r="P56" s="414" t="str">
        <f>IF(O$44=0,"N.D.",O56/O$44)</f>
        <v>N.D.</v>
      </c>
      <c r="Q56" s="398">
        <v>-46.45834</v>
      </c>
      <c r="R56" s="414">
        <f>IF(Q$44=0,"N.D.",Q56/Q$44)</f>
        <v>-2.4644297173505254E-2</v>
      </c>
      <c r="S56" s="398">
        <v>-57.846899999999998</v>
      </c>
      <c r="T56" s="414">
        <f>IF(S$44=0,"N.D.",S56/S$44)</f>
        <v>-3.4839453663518802E-2</v>
      </c>
      <c r="U56" s="398">
        <v>-48.945</v>
      </c>
      <c r="V56" s="414">
        <f>IF(U$44=0,"N.D.",U56/U$44)</f>
        <v>-2.7675088970788631E-2</v>
      </c>
      <c r="W56" s="398">
        <v>-43.149000000000001</v>
      </c>
      <c r="X56" s="414">
        <f>IF(W$44=0,"N.D.",W56/W$44)</f>
        <v>-2.5665779198994994E-2</v>
      </c>
      <c r="Y56" s="398">
        <v>-48.753</v>
      </c>
      <c r="Z56" s="414">
        <f>IF(Y$44=0,"N.D.",Y56/Y$44)</f>
        <v>-2.7293033566965986E-2</v>
      </c>
      <c r="AA56" s="398">
        <f t="shared" si="48"/>
        <v>-447.73865000000001</v>
      </c>
      <c r="AB56" s="176">
        <f>IF(AA$44=0,"N.D.",AA56/AA$44)</f>
        <v>-2.845060898672758E-2</v>
      </c>
    </row>
    <row r="57" spans="2:28" x14ac:dyDescent="0.25">
      <c r="B57" s="278" t="s">
        <v>184</v>
      </c>
      <c r="C57" s="398">
        <v>30.405660000000001</v>
      </c>
      <c r="D57" s="414">
        <f>IF(C$44=0,"N.D.",C57/C$44)</f>
        <v>1.8482732900600179E-2</v>
      </c>
      <c r="E57" s="398">
        <v>28.907</v>
      </c>
      <c r="F57" s="414">
        <f>IF(E$44=0,"N.D.",E57/E$44)</f>
        <v>1.8157594883436368E-2</v>
      </c>
      <c r="G57" s="398">
        <v>28.007999999999999</v>
      </c>
      <c r="H57" s="414">
        <f>IF(G$44=0,"N.D.",G57/G$44)</f>
        <v>1.4187321474431872E-2</v>
      </c>
      <c r="I57" s="398">
        <v>31.722000000000001</v>
      </c>
      <c r="J57" s="414">
        <f>IF(I$44=0,"N.D.",I57/I$44)</f>
        <v>1.818310006895615E-2</v>
      </c>
      <c r="K57" s="398">
        <v>0</v>
      </c>
      <c r="L57" s="414" t="str">
        <f>IF(K$44=0,"N.D.",K57/K$44)</f>
        <v>N.D.</v>
      </c>
      <c r="M57" s="398">
        <v>0</v>
      </c>
      <c r="N57" s="414" t="str">
        <f>IF(M$44=0,"N.D.",M57/M$44)</f>
        <v>N.D.</v>
      </c>
      <c r="O57" s="398">
        <v>0</v>
      </c>
      <c r="P57" s="414" t="str">
        <f>IF(O$44=0,"N.D.",O57/O$44)</f>
        <v>N.D.</v>
      </c>
      <c r="Q57" s="398">
        <v>31.910869999999999</v>
      </c>
      <c r="R57" s="414">
        <f>IF(Q$44=0,"N.D.",Q57/Q$44)</f>
        <v>1.6927444315597447E-2</v>
      </c>
      <c r="S57" s="398">
        <v>38.322800000000001</v>
      </c>
      <c r="T57" s="414">
        <f>IF(S$44=0,"N.D.",S57/S$44)</f>
        <v>2.3080673551327702E-2</v>
      </c>
      <c r="U57" s="398">
        <v>29.91</v>
      </c>
      <c r="V57" s="414">
        <f>IF(U$44=0,"N.D.",U57/U$44)</f>
        <v>1.6912083177368229E-2</v>
      </c>
      <c r="W57" s="398">
        <v>31.137</v>
      </c>
      <c r="X57" s="414">
        <f>IF(W$44=0,"N.D.",W57/W$44)</f>
        <v>1.8520831697585279E-2</v>
      </c>
      <c r="Y57" s="398">
        <v>29.154</v>
      </c>
      <c r="Z57" s="414">
        <f>IF(Y$44=0,"N.D.",Y57/Y$44)</f>
        <v>1.6321069485187092E-2</v>
      </c>
      <c r="AA57" s="398">
        <f t="shared" si="48"/>
        <v>279.47732999999999</v>
      </c>
      <c r="AB57" s="176">
        <f>IF(AA$44=0,"N.D.",AA57/AA$44)</f>
        <v>1.7758797987363007E-2</v>
      </c>
    </row>
    <row r="58" spans="2:28" x14ac:dyDescent="0.25">
      <c r="B58" s="278" t="s">
        <v>47</v>
      </c>
      <c r="C58" s="398">
        <v>0</v>
      </c>
      <c r="D58" s="414">
        <f>IF(C$44=0,"N.D.",C58/C$44)</f>
        <v>0</v>
      </c>
      <c r="E58" s="398">
        <v>0</v>
      </c>
      <c r="F58" s="414">
        <f>IF(E$44=0,"N.D.",E58/E$44)</f>
        <v>0</v>
      </c>
      <c r="G58" s="398">
        <v>0</v>
      </c>
      <c r="H58" s="414">
        <f>IF(G$44=0,"N.D.",G58/G$44)</f>
        <v>0</v>
      </c>
      <c r="I58" s="398">
        <v>0</v>
      </c>
      <c r="J58" s="414">
        <f>IF(I$44=0,"N.D.",I58/I$44)</f>
        <v>0</v>
      </c>
      <c r="K58" s="398">
        <v>0</v>
      </c>
      <c r="L58" s="414" t="str">
        <f>IF(K$44=0,"N.D.",K58/K$44)</f>
        <v>N.D.</v>
      </c>
      <c r="M58" s="398">
        <v>0</v>
      </c>
      <c r="N58" s="414" t="str">
        <f>IF(M$44=0,"N.D.",M58/M$44)</f>
        <v>N.D.</v>
      </c>
      <c r="O58" s="398">
        <v>0</v>
      </c>
      <c r="P58" s="414" t="str">
        <f>IF(O$44=0,"N.D.",O58/O$44)</f>
        <v>N.D.</v>
      </c>
      <c r="Q58" s="398">
        <v>0</v>
      </c>
      <c r="R58" s="414">
        <f>IF(Q$44=0,"N.D.",Q58/Q$44)</f>
        <v>0</v>
      </c>
      <c r="S58" s="398">
        <v>0</v>
      </c>
      <c r="T58" s="414">
        <f>IF(S$44=0,"N.D.",S58/S$44)</f>
        <v>0</v>
      </c>
      <c r="U58" s="398">
        <v>0</v>
      </c>
      <c r="V58" s="414">
        <f>IF(U$44=0,"N.D.",U58/U$44)</f>
        <v>0</v>
      </c>
      <c r="W58" s="398">
        <v>0</v>
      </c>
      <c r="X58" s="414">
        <f>IF(W$44=0,"N.D.",W58/W$44)</f>
        <v>0</v>
      </c>
      <c r="Y58" s="398">
        <v>0</v>
      </c>
      <c r="Z58" s="414">
        <f>IF(Y$44=0,"N.D.",Y58/Y$44)</f>
        <v>0</v>
      </c>
      <c r="AA58" s="398">
        <f t="shared" si="48"/>
        <v>0</v>
      </c>
      <c r="AB58" s="176">
        <f>IF(AA$44=0,"N.D.",AA58/AA$44)</f>
        <v>0</v>
      </c>
    </row>
    <row r="59" spans="2:28" x14ac:dyDescent="0.25">
      <c r="C59" s="398"/>
      <c r="D59" s="414"/>
      <c r="E59" s="398"/>
      <c r="F59" s="414"/>
      <c r="G59" s="398"/>
      <c r="H59" s="414"/>
      <c r="I59" s="398"/>
      <c r="J59" s="414"/>
      <c r="K59" s="398"/>
      <c r="L59" s="414"/>
      <c r="M59" s="398"/>
      <c r="N59" s="414"/>
      <c r="O59" s="398"/>
      <c r="P59" s="414"/>
      <c r="Q59" s="398"/>
      <c r="R59" s="414"/>
      <c r="S59" s="398"/>
      <c r="T59" s="414"/>
      <c r="U59" s="398"/>
      <c r="V59" s="414"/>
      <c r="W59" s="398"/>
      <c r="X59" s="414"/>
      <c r="Y59" s="398"/>
      <c r="Z59" s="414"/>
      <c r="AA59" s="398"/>
      <c r="AB59" s="176"/>
    </row>
    <row r="60" spans="2:28" ht="13" x14ac:dyDescent="0.3">
      <c r="B60" s="278" t="s">
        <v>48</v>
      </c>
      <c r="C60" s="335">
        <v>-38.726610000000008</v>
      </c>
      <c r="D60" s="415">
        <f>IF(C$44=0,"N.D.",C60/C$44)</f>
        <v>-2.3540800915872635E-2</v>
      </c>
      <c r="E60" s="335">
        <v>-11.785999999999998</v>
      </c>
      <c r="F60" s="415">
        <f>IF(E$44=0,"N.D.",E60/E$44)</f>
        <v>-7.4032384300059149E-3</v>
      </c>
      <c r="G60" s="335">
        <v>-5.4270000000000032</v>
      </c>
      <c r="H60" s="415">
        <f>IF(G$44=0,"N.D.",G60/G$44)</f>
        <v>-2.7490214810676171E-3</v>
      </c>
      <c r="I60" s="335">
        <v>-11.509999999999998</v>
      </c>
      <c r="J60" s="415">
        <f>IF(I$44=0,"N.D.",I60/I$44)</f>
        <v>-6.5975500218676385E-3</v>
      </c>
      <c r="K60" s="335">
        <v>-7.5359999999999996</v>
      </c>
      <c r="L60" s="415" t="str">
        <f>IF(K$44=0,"N.D.",K60/K$44)</f>
        <v>N.D.</v>
      </c>
      <c r="M60" s="335">
        <v>-4.2789999999999999</v>
      </c>
      <c r="N60" s="415" t="str">
        <f>IF(M$44=0,"N.D.",M60/M$44)</f>
        <v>N.D.</v>
      </c>
      <c r="O60" s="335">
        <v>-4.2791399999999999</v>
      </c>
      <c r="P60" s="415" t="str">
        <f>IF(O$44=0,"N.D.",O60/O$44)</f>
        <v>N.D.</v>
      </c>
      <c r="Q60" s="335">
        <v>-14.547470000000001</v>
      </c>
      <c r="R60" s="415">
        <f>IF(Q$44=0,"N.D.",Q60/Q$44)</f>
        <v>-7.7168528579078044E-3</v>
      </c>
      <c r="S60" s="335">
        <v>-19.524099999999997</v>
      </c>
      <c r="T60" s="415">
        <f>IF(S$44=0,"N.D.",S60/S$44)</f>
        <v>-1.17587801121911E-2</v>
      </c>
      <c r="U60" s="335">
        <v>-19.035</v>
      </c>
      <c r="V60" s="415">
        <f>IF(U$44=0,"N.D.",U60/U$44)</f>
        <v>-1.0763005793420403E-2</v>
      </c>
      <c r="W60" s="335">
        <v>-12.012</v>
      </c>
      <c r="X60" s="415">
        <f>IF(W$44=0,"N.D.",W60/W$44)</f>
        <v>-7.1449475014097171E-3</v>
      </c>
      <c r="Y60" s="335">
        <v>-19.599</v>
      </c>
      <c r="Z60" s="415">
        <f>IF(Y$44=0,"N.D.",Y60/Y$44)</f>
        <v>-1.0971964081778893E-2</v>
      </c>
      <c r="AA60" s="335">
        <f t="shared" si="48"/>
        <v>-168.26132000000001</v>
      </c>
      <c r="AB60" s="178">
        <f>IF(AA$44=0,"N.D.",AA60/AA$44)</f>
        <v>-1.0691810999364575E-2</v>
      </c>
    </row>
    <row r="61" spans="2:28" ht="13" x14ac:dyDescent="0.3">
      <c r="B61" s="278" t="s">
        <v>49</v>
      </c>
      <c r="C61" s="335">
        <f>+C53-C60</f>
        <v>-30.426649999999768</v>
      </c>
      <c r="D61" s="415">
        <f>IF(C$44=0,"N.D.",C61/C$44)</f>
        <v>-1.849549212252068E-2</v>
      </c>
      <c r="E61" s="335">
        <v>-14.297999999999835</v>
      </c>
      <c r="F61" s="415">
        <f>IF(E$44=0,"N.D.",E61/E$44)</f>
        <v>-8.9811219304448808E-3</v>
      </c>
      <c r="G61" s="335">
        <v>76.411999999999679</v>
      </c>
      <c r="H61" s="415">
        <f>IF(G$44=0,"N.D.",G61/G$44)</f>
        <v>3.8706141406179791E-2</v>
      </c>
      <c r="I61" s="335">
        <v>30.270999999999965</v>
      </c>
      <c r="J61" s="415">
        <f>IF(I$44=0,"N.D.",I61/I$44)</f>
        <v>1.7351384597042146E-2</v>
      </c>
      <c r="K61" s="335">
        <v>-13.443000000000003</v>
      </c>
      <c r="L61" s="415" t="str">
        <f>IF(K$44=0,"N.D.",K61/K$44)</f>
        <v>N.D.</v>
      </c>
      <c r="M61" s="335">
        <v>-4.6720000000000006</v>
      </c>
      <c r="N61" s="415" t="str">
        <f>IF(M$44=0,"N.D.",M61/M$44)</f>
        <v>N.D.</v>
      </c>
      <c r="O61" s="335">
        <v>-4.6715699999999991</v>
      </c>
      <c r="P61" s="415" t="str">
        <f>IF(O$44=0,"N.D.",O61/O$44)</f>
        <v>N.D.</v>
      </c>
      <c r="Q61" s="335">
        <v>48.576309999999737</v>
      </c>
      <c r="R61" s="415">
        <f>IF(Q$44=0,"N.D.",Q61/Q$44)</f>
        <v>2.5767795819487061E-2</v>
      </c>
      <c r="S61" s="335">
        <v>3.1325199999996913</v>
      </c>
      <c r="T61" s="415">
        <f>IF(S$44=0,"N.D.",S61/S$44)</f>
        <v>1.8866228854101978E-3</v>
      </c>
      <c r="U61" s="335">
        <v>2.8959999999998765</v>
      </c>
      <c r="V61" s="415">
        <f>IF(U$44=0,"N.D.",U61/U$44)</f>
        <v>1.6374922394401972E-3</v>
      </c>
      <c r="W61" s="335">
        <v>-2.4049999999998022</v>
      </c>
      <c r="X61" s="415">
        <f>IF(W$44=0,"N.D.",W61/W$44)</f>
        <v>-1.4305360257150313E-3</v>
      </c>
      <c r="Y61" s="335">
        <v>64.529999999999816</v>
      </c>
      <c r="Z61" s="415">
        <f>IF(Y$44=0,"N.D.",Y61/Y$44)</f>
        <v>3.6125355487381494E-2</v>
      </c>
      <c r="AA61" s="335">
        <f t="shared" si="48"/>
        <v>155.90160999999938</v>
      </c>
      <c r="AB61" s="178">
        <f>IF(AA$44=0,"N.D.",AA61/AA$44)</f>
        <v>9.9064392732485362E-3</v>
      </c>
    </row>
    <row r="62" spans="2:28" x14ac:dyDescent="0.25">
      <c r="C62" s="403"/>
      <c r="D62" s="416"/>
      <c r="E62" s="403"/>
      <c r="F62" s="416"/>
      <c r="G62" s="403"/>
      <c r="H62" s="416"/>
      <c r="I62" s="403"/>
      <c r="J62" s="416"/>
      <c r="K62" s="403"/>
      <c r="L62" s="416"/>
      <c r="M62" s="403"/>
      <c r="N62" s="416"/>
      <c r="O62" s="403"/>
      <c r="P62" s="416"/>
      <c r="Q62" s="403"/>
      <c r="R62" s="416"/>
      <c r="S62" s="403"/>
      <c r="T62" s="416"/>
      <c r="U62" s="403"/>
      <c r="V62" s="416"/>
      <c r="W62" s="403"/>
      <c r="X62" s="416"/>
      <c r="Y62" s="403"/>
      <c r="Z62" s="416"/>
      <c r="AA62" s="403"/>
      <c r="AB62" s="180"/>
    </row>
    <row r="63" spans="2:28" x14ac:dyDescent="0.25">
      <c r="B63" s="278" t="s">
        <v>50</v>
      </c>
      <c r="C63" s="400">
        <v>0</v>
      </c>
      <c r="D63" s="417">
        <f>IF(C$44=0,"N.D.",C63/C$44)</f>
        <v>0</v>
      </c>
      <c r="E63" s="400">
        <v>0</v>
      </c>
      <c r="F63" s="417">
        <f>IF(E$44=0,"N.D.",E63/E$44)</f>
        <v>0</v>
      </c>
      <c r="G63" s="400">
        <v>0</v>
      </c>
      <c r="H63" s="417">
        <f t="shared" ref="H63:H72" si="49">IF(G$44=0,"N.D.",G63/G$44)</f>
        <v>0</v>
      </c>
      <c r="I63" s="400">
        <v>0</v>
      </c>
      <c r="J63" s="417">
        <f t="shared" ref="J63:J72" si="50">IF(I$44=0,"N.D.",I63/I$44)</f>
        <v>0</v>
      </c>
      <c r="K63" s="400">
        <v>0</v>
      </c>
      <c r="L63" s="417" t="str">
        <f t="shared" ref="L63:L72" si="51">IF(K$44=0,"N.D.",K63/K$44)</f>
        <v>N.D.</v>
      </c>
      <c r="M63" s="400">
        <v>0</v>
      </c>
      <c r="N63" s="417" t="str">
        <f t="shared" ref="N63:N72" si="52">IF(M$44=0,"N.D.",M63/M$44)</f>
        <v>N.D.</v>
      </c>
      <c r="O63" s="400">
        <v>0</v>
      </c>
      <c r="P63" s="417" t="str">
        <f t="shared" ref="P63:P72" si="53">IF(O$44=0,"N.D.",O63/O$44)</f>
        <v>N.D.</v>
      </c>
      <c r="Q63" s="400">
        <v>0</v>
      </c>
      <c r="R63" s="417">
        <f t="shared" ref="R63:R72" si="54">IF(Q$44=0,"N.D.",Q63/Q$44)</f>
        <v>0</v>
      </c>
      <c r="S63" s="400">
        <v>0</v>
      </c>
      <c r="T63" s="417">
        <f t="shared" ref="T63:T72" si="55">IF(S$44=0,"N.D.",S63/S$44)</f>
        <v>0</v>
      </c>
      <c r="U63" s="400">
        <v>0</v>
      </c>
      <c r="V63" s="417">
        <f t="shared" ref="V63:V72" si="56">IF(U$44=0,"N.D.",U63/U$44)</f>
        <v>0</v>
      </c>
      <c r="W63" s="400">
        <v>0</v>
      </c>
      <c r="X63" s="417">
        <f t="shared" ref="X63:X72" si="57">IF(W$44=0,"N.D.",W63/W$44)</f>
        <v>0</v>
      </c>
      <c r="Y63" s="400">
        <v>0</v>
      </c>
      <c r="Z63" s="417">
        <f t="shared" ref="Z63:Z72" si="58">IF(Y$44=0,"N.D.",Y63/Y$44)</f>
        <v>0</v>
      </c>
      <c r="AA63" s="400">
        <f t="shared" si="48"/>
        <v>0</v>
      </c>
      <c r="AB63" s="182">
        <f t="shared" ref="AB63:AB72" si="59">IF(AA$44=0,"N.D.",AA63/AA$44)</f>
        <v>0</v>
      </c>
    </row>
    <row r="64" spans="2:28" x14ac:dyDescent="0.25">
      <c r="B64" s="278" t="s">
        <v>51</v>
      </c>
      <c r="C64" s="398">
        <v>4.1669999999999998</v>
      </c>
      <c r="D64" s="414">
        <f>IF(C$44=0,"N.D.",C64/C$44)</f>
        <v>2.5330003689050308E-3</v>
      </c>
      <c r="E64" s="398">
        <v>3.79</v>
      </c>
      <c r="F64" s="414">
        <f>IF(E$44=0,"N.D.",E64/E$44)</f>
        <v>2.3806442940541681E-3</v>
      </c>
      <c r="G64" s="398">
        <v>4.1669999999999998</v>
      </c>
      <c r="H64" s="414">
        <f t="shared" si="49"/>
        <v>2.1107743710353333E-3</v>
      </c>
      <c r="I64" s="398">
        <v>4.1669999999999998</v>
      </c>
      <c r="J64" s="414">
        <f t="shared" si="50"/>
        <v>2.3885309245110734E-3</v>
      </c>
      <c r="K64" s="398">
        <v>0</v>
      </c>
      <c r="L64" s="414" t="str">
        <f t="shared" si="51"/>
        <v>N.D.</v>
      </c>
      <c r="M64" s="398">
        <v>0</v>
      </c>
      <c r="N64" s="414" t="str">
        <f t="shared" si="52"/>
        <v>N.D.</v>
      </c>
      <c r="O64" s="398">
        <v>0</v>
      </c>
      <c r="P64" s="414" t="str">
        <f t="shared" si="53"/>
        <v>N.D.</v>
      </c>
      <c r="Q64" s="398">
        <v>4.1669999999999998</v>
      </c>
      <c r="R64" s="414">
        <f t="shared" si="54"/>
        <v>2.2104273704569811E-3</v>
      </c>
      <c r="S64" s="398">
        <v>4.1669999999999998</v>
      </c>
      <c r="T64" s="414">
        <f t="shared" si="55"/>
        <v>2.509659176479342E-3</v>
      </c>
      <c r="U64" s="398">
        <v>4.1669999999999998</v>
      </c>
      <c r="V64" s="414">
        <f t="shared" si="56"/>
        <v>2.3561568238078703E-3</v>
      </c>
      <c r="W64" s="398">
        <v>4.33</v>
      </c>
      <c r="X64" s="414">
        <f t="shared" si="57"/>
        <v>2.5755596637615781E-3</v>
      </c>
      <c r="Y64" s="398">
        <v>0.377</v>
      </c>
      <c r="Z64" s="414">
        <f t="shared" si="58"/>
        <v>2.1105313836576573E-4</v>
      </c>
      <c r="AA64" s="398">
        <f t="shared" si="48"/>
        <v>33.499000000000002</v>
      </c>
      <c r="AB64" s="176">
        <f t="shared" si="59"/>
        <v>2.1286233619688343E-3</v>
      </c>
    </row>
    <row r="65" spans="1:29" ht="13" x14ac:dyDescent="0.3">
      <c r="B65" s="278" t="s">
        <v>53</v>
      </c>
      <c r="C65" s="335">
        <v>-34.593649999999776</v>
      </c>
      <c r="D65" s="415">
        <f>IF(C$44=0,"N.D.",C65/C$44)</f>
        <v>-2.1028492491425715E-2</v>
      </c>
      <c r="E65" s="335">
        <v>-18.087999999999834</v>
      </c>
      <c r="F65" s="415">
        <f>IF(E$44=0,"N.D.",E65/E$44)</f>
        <v>-1.1361766224499048E-2</v>
      </c>
      <c r="G65" s="335">
        <v>72.244999999999678</v>
      </c>
      <c r="H65" s="415">
        <f t="shared" si="49"/>
        <v>3.659536703514446E-2</v>
      </c>
      <c r="I65" s="335">
        <v>26.103999999999964</v>
      </c>
      <c r="J65" s="415">
        <f t="shared" si="50"/>
        <v>1.4962853672531071E-2</v>
      </c>
      <c r="K65" s="335">
        <v>-13.443000000000003</v>
      </c>
      <c r="L65" s="415" t="str">
        <f t="shared" si="51"/>
        <v>N.D.</v>
      </c>
      <c r="M65" s="335">
        <v>-4.6720000000000006</v>
      </c>
      <c r="N65" s="415" t="str">
        <f t="shared" si="52"/>
        <v>N.D.</v>
      </c>
      <c r="O65" s="335">
        <v>-4.6715699999999991</v>
      </c>
      <c r="P65" s="415" t="str">
        <f t="shared" si="53"/>
        <v>N.D.</v>
      </c>
      <c r="Q65" s="335">
        <v>44.409309999999735</v>
      </c>
      <c r="R65" s="415">
        <f t="shared" si="54"/>
        <v>2.3557368449030079E-2</v>
      </c>
      <c r="S65" s="335">
        <v>-1.0344800000003085</v>
      </c>
      <c r="T65" s="415">
        <f t="shared" si="55"/>
        <v>-6.2303629106914425E-4</v>
      </c>
      <c r="U65" s="335">
        <v>-1.2710000000001234</v>
      </c>
      <c r="V65" s="415">
        <f t="shared" si="56"/>
        <v>-7.1866458436767322E-4</v>
      </c>
      <c r="W65" s="335">
        <v>-6.7349999999998023</v>
      </c>
      <c r="X65" s="415">
        <f t="shared" si="57"/>
        <v>-4.0060956894766089E-3</v>
      </c>
      <c r="Y65" s="335">
        <v>64.152999999999821</v>
      </c>
      <c r="Z65" s="415">
        <f t="shared" si="58"/>
        <v>3.5914302349015735E-2</v>
      </c>
      <c r="AA65" s="335">
        <f t="shared" si="48"/>
        <v>122.40260999999936</v>
      </c>
      <c r="AB65" s="178">
        <f t="shared" si="59"/>
        <v>7.7778159112797006E-3</v>
      </c>
    </row>
    <row r="66" spans="1:29" ht="13" x14ac:dyDescent="0.3">
      <c r="B66" s="274" t="s">
        <v>122</v>
      </c>
      <c r="C66" s="335">
        <v>-31.201929999999777</v>
      </c>
      <c r="D66" s="415">
        <f>IF(C$44=0,"N.D.",C66/C$44)</f>
        <v>-1.8966762707115042E-2</v>
      </c>
      <c r="E66" s="335">
        <v>11.867000000000168</v>
      </c>
      <c r="F66" s="415">
        <f>IF(E$44=0,"N.D.",E66/E$44)</f>
        <v>7.454117635235148E-3</v>
      </c>
      <c r="G66" s="335">
        <v>108.93599999999967</v>
      </c>
      <c r="H66" s="415">
        <f t="shared" si="49"/>
        <v>5.5181021570219424E-2</v>
      </c>
      <c r="I66" s="335">
        <v>56.711999999999968</v>
      </c>
      <c r="J66" s="415">
        <f t="shared" si="50"/>
        <v>3.2507407197233482E-2</v>
      </c>
      <c r="K66" s="335">
        <v>-20.979000000000003</v>
      </c>
      <c r="L66" s="415" t="str">
        <f t="shared" si="51"/>
        <v>N.D.</v>
      </c>
      <c r="M66" s="335">
        <v>-8.9510000000000005</v>
      </c>
      <c r="N66" s="415" t="str">
        <f t="shared" si="52"/>
        <v>N.D.</v>
      </c>
      <c r="O66" s="335">
        <v>-8.9507099999999991</v>
      </c>
      <c r="P66" s="415" t="str">
        <f t="shared" si="53"/>
        <v>N.D.</v>
      </c>
      <c r="Q66" s="335">
        <v>49.411139999999733</v>
      </c>
      <c r="R66" s="415">
        <f t="shared" si="54"/>
        <v>2.6210639851567356E-2</v>
      </c>
      <c r="S66" s="335">
        <v>-1.0092800000003077</v>
      </c>
      <c r="T66" s="415">
        <f t="shared" si="55"/>
        <v>-6.0785908654615857E-4</v>
      </c>
      <c r="U66" s="335">
        <v>-0.75700000000012402</v>
      </c>
      <c r="V66" s="415">
        <f t="shared" si="56"/>
        <v>-4.2803232916315101E-4</v>
      </c>
      <c r="W66" s="335">
        <v>0.96500000000019703</v>
      </c>
      <c r="X66" s="415">
        <f t="shared" si="57"/>
        <v>5.7399886270910624E-4</v>
      </c>
      <c r="Y66" s="335">
        <v>60.312999999999811</v>
      </c>
      <c r="Z66" s="415">
        <f t="shared" si="58"/>
        <v>3.3764583379985114E-2</v>
      </c>
      <c r="AA66" s="335">
        <f t="shared" si="48"/>
        <v>216.35521999999932</v>
      </c>
      <c r="AB66" s="178">
        <f t="shared" si="59"/>
        <v>1.3747836525744211E-2</v>
      </c>
    </row>
    <row r="67" spans="1:29" s="130" customFormat="1" ht="13" x14ac:dyDescent="0.3">
      <c r="A67" s="220"/>
      <c r="B67" s="1" t="s">
        <v>194</v>
      </c>
      <c r="C67" s="373">
        <v>0</v>
      </c>
      <c r="D67" s="407">
        <f t="shared" ref="D67:F72" si="60">IF(C$44=0,"N.D.",C67/C$44)</f>
        <v>0</v>
      </c>
      <c r="E67" s="373">
        <v>0</v>
      </c>
      <c r="F67" s="407">
        <f t="shared" si="60"/>
        <v>0</v>
      </c>
      <c r="G67" s="373">
        <v>0</v>
      </c>
      <c r="H67" s="407">
        <f t="shared" si="49"/>
        <v>0</v>
      </c>
      <c r="I67" s="373">
        <v>0</v>
      </c>
      <c r="J67" s="407">
        <f t="shared" si="50"/>
        <v>0</v>
      </c>
      <c r="K67" s="373">
        <v>0</v>
      </c>
      <c r="L67" s="407" t="str">
        <f t="shared" si="51"/>
        <v>N.D.</v>
      </c>
      <c r="M67" s="373">
        <v>0</v>
      </c>
      <c r="N67" s="407" t="str">
        <f t="shared" si="52"/>
        <v>N.D.</v>
      </c>
      <c r="O67" s="373">
        <v>0</v>
      </c>
      <c r="P67" s="407" t="str">
        <f t="shared" si="53"/>
        <v>N.D.</v>
      </c>
      <c r="Q67" s="373">
        <v>0</v>
      </c>
      <c r="R67" s="407">
        <f t="shared" si="54"/>
        <v>0</v>
      </c>
      <c r="S67" s="373">
        <v>0</v>
      </c>
      <c r="T67" s="407">
        <f t="shared" si="55"/>
        <v>0</v>
      </c>
      <c r="U67" s="373">
        <v>0</v>
      </c>
      <c r="V67" s="407">
        <f t="shared" si="56"/>
        <v>0</v>
      </c>
      <c r="W67" s="373">
        <v>0</v>
      </c>
      <c r="X67" s="407">
        <f t="shared" si="57"/>
        <v>0</v>
      </c>
      <c r="Y67" s="373">
        <v>0</v>
      </c>
      <c r="Z67" s="407">
        <f t="shared" si="58"/>
        <v>0</v>
      </c>
      <c r="AA67" s="373">
        <f>+Y67+W67+U67+S67+Q67+O67+M67+K67+I67+G67+E67+C67</f>
        <v>0</v>
      </c>
      <c r="AB67" s="360">
        <f t="shared" si="59"/>
        <v>0</v>
      </c>
    </row>
    <row r="68" spans="1:29" s="130" customFormat="1" ht="13" x14ac:dyDescent="0.3">
      <c r="A68" s="220"/>
      <c r="B68" s="1" t="s">
        <v>123</v>
      </c>
      <c r="C68" s="408">
        <v>0</v>
      </c>
      <c r="D68" s="409">
        <f t="shared" si="60"/>
        <v>0</v>
      </c>
      <c r="E68" s="408"/>
      <c r="F68" s="409">
        <f t="shared" si="60"/>
        <v>0</v>
      </c>
      <c r="G68" s="408"/>
      <c r="H68" s="409">
        <f t="shared" si="49"/>
        <v>0</v>
      </c>
      <c r="I68" s="408"/>
      <c r="J68" s="409">
        <f t="shared" si="50"/>
        <v>0</v>
      </c>
      <c r="K68" s="408"/>
      <c r="L68" s="409" t="str">
        <f t="shared" si="51"/>
        <v>N.D.</v>
      </c>
      <c r="M68" s="408"/>
      <c r="N68" s="409" t="str">
        <f t="shared" si="52"/>
        <v>N.D.</v>
      </c>
      <c r="O68" s="408"/>
      <c r="P68" s="409" t="str">
        <f t="shared" si="53"/>
        <v>N.D.</v>
      </c>
      <c r="Q68" s="408">
        <v>0</v>
      </c>
      <c r="R68" s="409">
        <f t="shared" si="54"/>
        <v>0</v>
      </c>
      <c r="S68" s="408">
        <v>0</v>
      </c>
      <c r="T68" s="409">
        <f t="shared" si="55"/>
        <v>0</v>
      </c>
      <c r="U68" s="408">
        <v>0</v>
      </c>
      <c r="V68" s="409">
        <f t="shared" si="56"/>
        <v>0</v>
      </c>
      <c r="W68" s="408">
        <v>0</v>
      </c>
      <c r="X68" s="409">
        <f t="shared" si="57"/>
        <v>0</v>
      </c>
      <c r="Y68" s="408">
        <v>0</v>
      </c>
      <c r="Z68" s="409">
        <f t="shared" si="58"/>
        <v>0</v>
      </c>
      <c r="AA68" s="408">
        <f t="shared" ref="AA68:AA72" si="61">+Y68+W68+U68+S68+Q68+O68+M68+K68+I68+G68+E68+C68</f>
        <v>0</v>
      </c>
      <c r="AB68" s="361">
        <f t="shared" si="59"/>
        <v>0</v>
      </c>
    </row>
    <row r="69" spans="1:29" s="130" customFormat="1" ht="13" x14ac:dyDescent="0.3">
      <c r="A69" s="220"/>
      <c r="B69" s="7" t="s">
        <v>190</v>
      </c>
      <c r="C69" s="410">
        <v>3.3576800000002294</v>
      </c>
      <c r="D69" s="409">
        <f t="shared" si="60"/>
        <v>2.0410378398525619E-3</v>
      </c>
      <c r="E69" s="410">
        <v>19.863000000000167</v>
      </c>
      <c r="F69" s="409">
        <f t="shared" si="60"/>
        <v>1.2476711771186895E-2</v>
      </c>
      <c r="G69" s="410">
        <v>110.19599999999969</v>
      </c>
      <c r="H69" s="409">
        <f t="shared" si="49"/>
        <v>5.5819268680251714E-2</v>
      </c>
      <c r="I69" s="410">
        <v>64.054999999999964</v>
      </c>
      <c r="J69" s="409">
        <f t="shared" si="50"/>
        <v>3.6716426294590043E-2</v>
      </c>
      <c r="K69" s="410">
        <v>-13.443000000000003</v>
      </c>
      <c r="L69" s="409" t="str">
        <f t="shared" si="51"/>
        <v>N.D.</v>
      </c>
      <c r="M69" s="410">
        <v>-4.6720000000000006</v>
      </c>
      <c r="N69" s="409" t="str">
        <f t="shared" si="52"/>
        <v>N.D.</v>
      </c>
      <c r="O69" s="410">
        <v>-4.6715699999999991</v>
      </c>
      <c r="P69" s="409" t="str">
        <f t="shared" si="53"/>
        <v>N.D.</v>
      </c>
      <c r="Q69" s="410">
        <v>59.791609999999835</v>
      </c>
      <c r="R69" s="409">
        <f t="shared" si="54"/>
        <v>3.1717065339018233E-2</v>
      </c>
      <c r="S69" s="410">
        <v>14.347819999999793</v>
      </c>
      <c r="T69" s="409">
        <f t="shared" si="55"/>
        <v>8.6412618491656622E-3</v>
      </c>
      <c r="U69" s="410">
        <v>14.110999999999876</v>
      </c>
      <c r="V69" s="409">
        <f t="shared" si="56"/>
        <v>7.9788166404493807E-3</v>
      </c>
      <c r="W69" s="410">
        <v>8.6470000000001974</v>
      </c>
      <c r="X69" s="409">
        <f t="shared" si="57"/>
        <v>5.1433867003572459E-3</v>
      </c>
      <c r="Y69" s="410">
        <v>79.533919999999895</v>
      </c>
      <c r="Z69" s="409">
        <f t="shared" si="58"/>
        <v>4.4524889714938252E-2</v>
      </c>
      <c r="AA69" s="410">
        <f t="shared" si="61"/>
        <v>351.11645999999968</v>
      </c>
      <c r="AB69" s="361">
        <f t="shared" si="59"/>
        <v>2.2310955536815877E-2</v>
      </c>
    </row>
    <row r="70" spans="1:29" s="130" customFormat="1" ht="13" x14ac:dyDescent="0.3">
      <c r="A70" s="220"/>
      <c r="B70" s="7" t="s">
        <v>191</v>
      </c>
      <c r="C70" s="381">
        <v>45</v>
      </c>
      <c r="D70" s="411">
        <f t="shared" si="60"/>
        <v>2.7354215646922579E-2</v>
      </c>
      <c r="E70" s="381">
        <v>36.852879999999999</v>
      </c>
      <c r="F70" s="411">
        <f t="shared" si="60"/>
        <v>2.3148706725979674E-2</v>
      </c>
      <c r="G70" s="381">
        <v>40.932110000000002</v>
      </c>
      <c r="H70" s="411">
        <f t="shared" si="49"/>
        <v>2.0733968980177365E-2</v>
      </c>
      <c r="I70" s="381">
        <v>34.399260000000005</v>
      </c>
      <c r="J70" s="411">
        <f t="shared" si="50"/>
        <v>1.97177096928958E-2</v>
      </c>
      <c r="K70" s="381">
        <v>0</v>
      </c>
      <c r="L70" s="411" t="str">
        <f t="shared" si="51"/>
        <v>N.D.</v>
      </c>
      <c r="M70" s="381">
        <v>0</v>
      </c>
      <c r="N70" s="411" t="str">
        <f t="shared" si="52"/>
        <v>N.D.</v>
      </c>
      <c r="O70" s="381">
        <v>0</v>
      </c>
      <c r="P70" s="411" t="str">
        <f t="shared" si="53"/>
        <v>N.D.</v>
      </c>
      <c r="Q70" s="381">
        <v>44</v>
      </c>
      <c r="R70" s="411">
        <f t="shared" si="54"/>
        <v>2.3340245812360733E-2</v>
      </c>
      <c r="S70" s="381">
        <v>39</v>
      </c>
      <c r="T70" s="411">
        <f t="shared" si="55"/>
        <v>2.3488530809381892E-2</v>
      </c>
      <c r="U70" s="381">
        <v>35</v>
      </c>
      <c r="V70" s="411">
        <f t="shared" si="56"/>
        <v>1.9790134109257371E-2</v>
      </c>
      <c r="W70" s="381">
        <v>27</v>
      </c>
      <c r="X70" s="411">
        <f t="shared" si="57"/>
        <v>1.6060071806365497E-2</v>
      </c>
      <c r="Y70" s="381">
        <v>28</v>
      </c>
      <c r="Z70" s="411">
        <f t="shared" si="58"/>
        <v>1.567503414918154E-2</v>
      </c>
      <c r="AA70" s="381">
        <f t="shared" si="61"/>
        <v>330.18425000000002</v>
      </c>
      <c r="AB70" s="151">
        <f t="shared" si="59"/>
        <v>2.0980862363179739E-2</v>
      </c>
    </row>
    <row r="71" spans="1:29" s="130" customFormat="1" ht="13" x14ac:dyDescent="0.3">
      <c r="A71" s="220"/>
      <c r="B71" s="7" t="s">
        <v>84</v>
      </c>
      <c r="C71" s="381">
        <v>-41.642319999999771</v>
      </c>
      <c r="D71" s="411">
        <f t="shared" si="60"/>
        <v>-2.5313177807070018E-2</v>
      </c>
      <c r="E71" s="381">
        <v>-16.989879999999832</v>
      </c>
      <c r="F71" s="411">
        <f t="shared" si="60"/>
        <v>-1.0671994954792778E-2</v>
      </c>
      <c r="G71" s="381">
        <v>69.263889999999691</v>
      </c>
      <c r="H71" s="411">
        <f t="shared" si="49"/>
        <v>3.508529970007436E-2</v>
      </c>
      <c r="I71" s="381">
        <v>29.655739999999959</v>
      </c>
      <c r="J71" s="411">
        <f t="shared" si="50"/>
        <v>1.6998716601694247E-2</v>
      </c>
      <c r="K71" s="381">
        <v>-13.443000000000003</v>
      </c>
      <c r="L71" s="411" t="str">
        <f t="shared" si="51"/>
        <v>N.D.</v>
      </c>
      <c r="M71" s="381">
        <v>-4.6720000000000006</v>
      </c>
      <c r="N71" s="411" t="str">
        <f t="shared" si="52"/>
        <v>N.D.</v>
      </c>
      <c r="O71" s="381">
        <v>-4.6715699999999991</v>
      </c>
      <c r="P71" s="411" t="str">
        <f t="shared" si="53"/>
        <v>N.D.</v>
      </c>
      <c r="Q71" s="381">
        <v>15.791609999999835</v>
      </c>
      <c r="R71" s="411">
        <f t="shared" si="54"/>
        <v>8.3768195266575012E-3</v>
      </c>
      <c r="S71" s="381">
        <v>-24.652180000000207</v>
      </c>
      <c r="T71" s="411">
        <f t="shared" si="55"/>
        <v>-1.484726896021623E-2</v>
      </c>
      <c r="U71" s="381">
        <v>-20.889000000000124</v>
      </c>
      <c r="V71" s="411">
        <f t="shared" si="56"/>
        <v>-1.1811317468807991E-2</v>
      </c>
      <c r="W71" s="381">
        <v>-18.352999999999803</v>
      </c>
      <c r="X71" s="411">
        <f t="shared" si="57"/>
        <v>-1.0916685106008251E-2</v>
      </c>
      <c r="Y71" s="381">
        <v>51.533919999999895</v>
      </c>
      <c r="Z71" s="411">
        <f t="shared" si="58"/>
        <v>2.8849855565756709E-2</v>
      </c>
      <c r="AA71" s="381">
        <f t="shared" si="61"/>
        <v>20.932209999999642</v>
      </c>
      <c r="AB71" s="151">
        <f t="shared" si="59"/>
        <v>1.3300931736361353E-3</v>
      </c>
    </row>
    <row r="72" spans="1:29" s="130" customFormat="1" ht="13" x14ac:dyDescent="0.3">
      <c r="A72" s="220"/>
      <c r="B72" s="1" t="s">
        <v>193</v>
      </c>
      <c r="C72" s="412">
        <f>IF(C70=0,"N.D.",(C69-C67-C68)/C70)</f>
        <v>7.4615111111116211E-2</v>
      </c>
      <c r="D72" s="411">
        <f t="shared" si="60"/>
        <v>4.5356396441168045E-5</v>
      </c>
      <c r="E72" s="412">
        <v>0.5389809426020481</v>
      </c>
      <c r="F72" s="411">
        <f t="shared" si="60"/>
        <v>3.3855459250910365E-4</v>
      </c>
      <c r="G72" s="412">
        <v>2.6921651485838303</v>
      </c>
      <c r="H72" s="411">
        <f t="shared" si="49"/>
        <v>1.3637036712803644E-3</v>
      </c>
      <c r="I72" s="412">
        <v>1.8621040103769662</v>
      </c>
      <c r="J72" s="411">
        <f t="shared" si="50"/>
        <v>1.0673609343512052E-3</v>
      </c>
      <c r="K72" s="412" t="s">
        <v>451</v>
      </c>
      <c r="L72" s="411" t="str">
        <f t="shared" si="51"/>
        <v>N.D.</v>
      </c>
      <c r="M72" s="412" t="s">
        <v>451</v>
      </c>
      <c r="N72" s="411" t="str">
        <f t="shared" si="52"/>
        <v>N.D.</v>
      </c>
      <c r="O72" s="412" t="s">
        <v>451</v>
      </c>
      <c r="P72" s="411" t="str">
        <f t="shared" si="53"/>
        <v>N.D.</v>
      </c>
      <c r="Q72" s="412">
        <v>1.3589002272727235</v>
      </c>
      <c r="R72" s="411">
        <f t="shared" si="54"/>
        <v>7.2084239406859619E-4</v>
      </c>
      <c r="S72" s="412">
        <v>0.36789282051281519</v>
      </c>
      <c r="T72" s="411">
        <f t="shared" si="55"/>
        <v>2.2157081664527339E-4</v>
      </c>
      <c r="U72" s="412">
        <v>0.40317142857142502</v>
      </c>
      <c r="V72" s="411">
        <f t="shared" si="56"/>
        <v>2.2796618972712517E-4</v>
      </c>
      <c r="W72" s="412">
        <v>0.32025925925926657</v>
      </c>
      <c r="X72" s="411">
        <f t="shared" si="57"/>
        <v>1.9049580371693502E-4</v>
      </c>
      <c r="Y72" s="412">
        <v>2.8404971428571391</v>
      </c>
      <c r="Z72" s="411">
        <f t="shared" si="58"/>
        <v>1.5901746326763661E-3</v>
      </c>
      <c r="AA72" s="412" t="e">
        <f t="shared" si="61"/>
        <v>#VALUE!</v>
      </c>
      <c r="AB72" s="151" t="e">
        <f t="shared" si="59"/>
        <v>#VALUE!</v>
      </c>
    </row>
    <row r="73" spans="1:29" x14ac:dyDescent="0.25">
      <c r="D73" s="315"/>
      <c r="F73" s="315"/>
      <c r="H73" s="315"/>
      <c r="J73" s="315"/>
      <c r="L73" s="315"/>
      <c r="N73" s="315"/>
      <c r="P73" s="315"/>
      <c r="R73" s="315"/>
      <c r="T73" s="315"/>
      <c r="V73" s="315"/>
      <c r="X73" s="315"/>
      <c r="Z73" s="315"/>
      <c r="AB73" s="274"/>
      <c r="AC73" s="274"/>
    </row>
    <row r="74" spans="1:29" x14ac:dyDescent="0.25">
      <c r="D74" s="315"/>
      <c r="F74" s="315"/>
      <c r="H74" s="315"/>
      <c r="J74" s="315"/>
      <c r="L74" s="315"/>
      <c r="N74" s="315"/>
      <c r="P74" s="315"/>
      <c r="R74" s="315"/>
      <c r="T74" s="315"/>
      <c r="V74" s="315"/>
      <c r="X74" s="315"/>
      <c r="Z74" s="315"/>
      <c r="AB74" s="274"/>
      <c r="AC74" s="274"/>
    </row>
    <row r="75" spans="1:29" x14ac:dyDescent="0.25">
      <c r="D75" s="315"/>
      <c r="F75" s="315"/>
      <c r="H75" s="315"/>
      <c r="J75" s="315"/>
      <c r="L75" s="315"/>
      <c r="N75" s="315"/>
      <c r="P75" s="315"/>
      <c r="R75" s="315"/>
      <c r="T75" s="315"/>
      <c r="V75" s="315"/>
      <c r="X75" s="315"/>
      <c r="Z75" s="315"/>
      <c r="AB75" s="274"/>
      <c r="AC75" s="274"/>
    </row>
    <row r="76" spans="1:29" x14ac:dyDescent="0.25">
      <c r="D76" s="315"/>
      <c r="F76" s="315"/>
      <c r="H76" s="315"/>
      <c r="J76" s="315"/>
      <c r="L76" s="315"/>
      <c r="N76" s="315"/>
      <c r="P76" s="315"/>
      <c r="R76" s="315"/>
      <c r="T76" s="315"/>
      <c r="V76" s="315"/>
      <c r="X76" s="315"/>
      <c r="Z76" s="315"/>
      <c r="AB76" s="220"/>
    </row>
    <row r="77" spans="1:29" ht="13" x14ac:dyDescent="0.3">
      <c r="C77" s="394" t="s">
        <v>181</v>
      </c>
      <c r="D77" s="395"/>
      <c r="E77" s="394" t="s">
        <v>181</v>
      </c>
      <c r="F77" s="395"/>
      <c r="G77" s="394" t="s">
        <v>181</v>
      </c>
      <c r="H77" s="395"/>
      <c r="I77" s="394" t="s">
        <v>181</v>
      </c>
      <c r="J77" s="395"/>
      <c r="K77" s="394" t="s">
        <v>181</v>
      </c>
      <c r="L77" s="395"/>
      <c r="M77" s="394" t="s">
        <v>181</v>
      </c>
      <c r="N77" s="395"/>
      <c r="O77" s="394" t="s">
        <v>181</v>
      </c>
      <c r="P77" s="395"/>
      <c r="Q77" s="394" t="s">
        <v>181</v>
      </c>
      <c r="R77" s="395"/>
      <c r="S77" s="394" t="s">
        <v>181</v>
      </c>
      <c r="T77" s="395"/>
      <c r="U77" s="394" t="s">
        <v>181</v>
      </c>
      <c r="V77" s="395"/>
      <c r="W77" s="394" t="s">
        <v>181</v>
      </c>
      <c r="X77" s="395"/>
      <c r="Y77" s="394" t="s">
        <v>181</v>
      </c>
      <c r="Z77" s="395"/>
      <c r="AA77" s="394" t="s">
        <v>181</v>
      </c>
      <c r="AB77" s="23"/>
    </row>
    <row r="78" spans="1:29" ht="13" x14ac:dyDescent="0.3">
      <c r="B78" s="281" t="s">
        <v>341</v>
      </c>
      <c r="C78" s="396" t="s">
        <v>195</v>
      </c>
      <c r="D78" s="397"/>
      <c r="E78" s="396" t="s">
        <v>197</v>
      </c>
      <c r="F78" s="397"/>
      <c r="G78" s="396" t="s">
        <v>198</v>
      </c>
      <c r="H78" s="397"/>
      <c r="I78" s="396" t="s">
        <v>199</v>
      </c>
      <c r="J78" s="397"/>
      <c r="K78" s="396" t="s">
        <v>200</v>
      </c>
      <c r="L78" s="397"/>
      <c r="M78" s="396" t="s">
        <v>201</v>
      </c>
      <c r="N78" s="397"/>
      <c r="O78" s="396" t="s">
        <v>202</v>
      </c>
      <c r="P78" s="397"/>
      <c r="Q78" s="396" t="s">
        <v>203</v>
      </c>
      <c r="R78" s="397"/>
      <c r="S78" s="396" t="s">
        <v>204</v>
      </c>
      <c r="T78" s="397"/>
      <c r="U78" s="396" t="s">
        <v>205</v>
      </c>
      <c r="V78" s="397"/>
      <c r="W78" s="396" t="s">
        <v>206</v>
      </c>
      <c r="X78" s="397"/>
      <c r="Y78" s="396" t="s">
        <v>207</v>
      </c>
      <c r="Z78" s="397"/>
      <c r="AA78" s="396" t="s">
        <v>218</v>
      </c>
      <c r="AB78" s="115"/>
    </row>
    <row r="79" spans="1:29" x14ac:dyDescent="0.25">
      <c r="B79" s="278" t="s">
        <v>38</v>
      </c>
      <c r="C79" s="398">
        <v>274.03976</v>
      </c>
      <c r="D79" s="414">
        <f>IF(C$79=0,"N.D.",C79/C$79)</f>
        <v>1</v>
      </c>
      <c r="E79" s="418">
        <v>280.08999999999997</v>
      </c>
      <c r="F79" s="414">
        <f>IF(E$79=0,"N.D.",E79/E$79)</f>
        <v>1</v>
      </c>
      <c r="G79" s="398">
        <v>328.03899999999999</v>
      </c>
      <c r="H79" s="414">
        <f>IF(G$79=0,"N.D.",G79/G$79)</f>
        <v>1</v>
      </c>
      <c r="I79" s="546">
        <v>294.45999999999998</v>
      </c>
      <c r="J79" s="176">
        <f>IF(I$79=0,"N.D.",I79/I$79)</f>
        <v>1</v>
      </c>
      <c r="K79" s="544">
        <v>308.786</v>
      </c>
      <c r="L79" s="545">
        <f>IF(K$79=0,"N.D.",K79/K$79)</f>
        <v>1</v>
      </c>
      <c r="M79" s="544">
        <v>294.54399999999998</v>
      </c>
      <c r="N79" s="414">
        <f>IF(M$79=0,"N.D.",M79/M$79)</f>
        <v>1</v>
      </c>
      <c r="O79" s="398">
        <v>294.54413</v>
      </c>
      <c r="P79" s="414">
        <f>IF(O$79=0,"N.D.",O79/O$79)</f>
        <v>1</v>
      </c>
      <c r="Q79" s="398">
        <v>302.59249999999997</v>
      </c>
      <c r="R79" s="414">
        <f>IF(Q$79=0,"N.D.",Q79/Q$79)</f>
        <v>1</v>
      </c>
      <c r="S79" s="398">
        <v>282.31452000000002</v>
      </c>
      <c r="T79" s="414">
        <f>IF(S$79=0,"N.D.",S79/S$79)</f>
        <v>1</v>
      </c>
      <c r="U79" s="398">
        <v>287.55599999999998</v>
      </c>
      <c r="V79" s="414">
        <f>IF(U$79=0,"N.D.",U79/U$79)</f>
        <v>1</v>
      </c>
      <c r="W79" s="398">
        <v>284.49599999999998</v>
      </c>
      <c r="X79" s="414">
        <f>IF(W$79=0,"N.D.",W79/W$79)</f>
        <v>1</v>
      </c>
      <c r="Y79" s="398">
        <v>321.27199999999999</v>
      </c>
      <c r="Z79" s="414">
        <f>IF(Y$79=0,"N.D.",Y79/Y$79)</f>
        <v>1</v>
      </c>
      <c r="AA79" s="398">
        <f>+Y79+W79+U79+S79+Q79+O79+M79+K79+I79+G79+E79+C79</f>
        <v>3552.7339100000004</v>
      </c>
      <c r="AB79" s="176">
        <f>IF(AA$79=0,"N.D.",AA79/AA$79)</f>
        <v>1</v>
      </c>
    </row>
    <row r="80" spans="1:29" x14ac:dyDescent="0.25">
      <c r="B80" s="278" t="s">
        <v>39</v>
      </c>
      <c r="C80" s="398">
        <v>185.0778</v>
      </c>
      <c r="D80" s="414">
        <f>IF(C$79=0,"N.D.",C80/C$79)</f>
        <v>0.67536842099117289</v>
      </c>
      <c r="E80" s="314">
        <v>101.66500000000001</v>
      </c>
      <c r="F80" s="414">
        <f>IF(E$79=0,"N.D.",E80/E$79)</f>
        <v>0.3629726159448749</v>
      </c>
      <c r="G80" s="398">
        <v>117.18300000000001</v>
      </c>
      <c r="H80" s="414">
        <f>IF(G$79=0,"N.D.",G80/G$79)</f>
        <v>0.3572227692439009</v>
      </c>
      <c r="I80" s="398">
        <v>103.58</v>
      </c>
      <c r="J80" s="414">
        <f>IF(I$79=0,"N.D.",I80/I$79)</f>
        <v>0.35176254839366977</v>
      </c>
      <c r="K80" s="398">
        <v>108.43300000000001</v>
      </c>
      <c r="L80" s="414">
        <f>IF(K$79=0,"N.D.",K80/K$79)</f>
        <v>0.3511590551385102</v>
      </c>
      <c r="M80" s="398">
        <v>105.38500000000001</v>
      </c>
      <c r="N80" s="414">
        <f>IF(M$79=0,"N.D.",M80/M$79)</f>
        <v>0.35779034711282531</v>
      </c>
      <c r="O80" s="398">
        <v>105.38475</v>
      </c>
      <c r="P80" s="414">
        <f>IF(O$79=0,"N.D.",O80/O$79)</f>
        <v>0.35778934042922533</v>
      </c>
      <c r="Q80" s="398">
        <v>108.58920000000001</v>
      </c>
      <c r="R80" s="414">
        <f>IF(Q$79=0,"N.D.",Q80/Q$79)</f>
        <v>0.35886282706940859</v>
      </c>
      <c r="S80" s="398">
        <v>102.03317000000003</v>
      </c>
      <c r="T80" s="414">
        <f>IF(S$79=0,"N.D.",S80/S$79)</f>
        <v>0.36141665685491492</v>
      </c>
      <c r="U80" s="398">
        <v>105.682</v>
      </c>
      <c r="V80" s="414">
        <f>IF(U$79=0,"N.D.",U80/U$79)</f>
        <v>0.36751797910667838</v>
      </c>
      <c r="W80" s="398">
        <v>101.684</v>
      </c>
      <c r="X80" s="414">
        <f>IF(W$79=0,"N.D.",W80/W$79)</f>
        <v>0.35741803048197518</v>
      </c>
      <c r="Y80" s="398">
        <v>115.586</v>
      </c>
      <c r="Z80" s="414">
        <f>IF(Y$79=0,"N.D.",Y80/Y$79)</f>
        <v>0.3597761398441196</v>
      </c>
      <c r="AA80" s="398">
        <f t="shared" ref="AA80:AA107" si="62">+Y80+W80+U80+S80+Q80+O80+M80+K80+I80+G80+E80+C80</f>
        <v>1360.2829200000001</v>
      </c>
      <c r="AB80" s="176">
        <f>IF(AA$79=0,"N.D.",AA80/AA$79)</f>
        <v>0.38288342286799631</v>
      </c>
    </row>
    <row r="81" spans="2:28" x14ac:dyDescent="0.25">
      <c r="B81" s="278" t="s">
        <v>219</v>
      </c>
      <c r="C81" s="398"/>
      <c r="D81" s="414">
        <f>IF(C$79=0,"N.D.",C81/C$79)</f>
        <v>0</v>
      </c>
      <c r="E81" s="314">
        <v>0</v>
      </c>
      <c r="F81" s="414">
        <f>IF(E$79=0,"N.D.",E81/E$79)</f>
        <v>0</v>
      </c>
      <c r="G81" s="398">
        <v>0</v>
      </c>
      <c r="H81" s="414">
        <f>IF(G$79=0,"N.D.",G81/G$79)</f>
        <v>0</v>
      </c>
      <c r="I81" s="398">
        <v>0</v>
      </c>
      <c r="J81" s="414">
        <f>IF(I$79=0,"N.D.",I81/I$79)</f>
        <v>0</v>
      </c>
      <c r="K81" s="398">
        <v>0</v>
      </c>
      <c r="L81" s="414">
        <f>IF(K$79=0,"N.D.",K81/K$79)</f>
        <v>0</v>
      </c>
      <c r="M81" s="398">
        <v>0</v>
      </c>
      <c r="N81" s="414">
        <f>IF(M$79=0,"N.D.",M81/M$79)</f>
        <v>0</v>
      </c>
      <c r="O81" s="398">
        <v>0</v>
      </c>
      <c r="P81" s="414">
        <v>0.26862435359833153</v>
      </c>
      <c r="Q81" s="398"/>
      <c r="R81" s="414">
        <v>0.27111954195824423</v>
      </c>
      <c r="S81" s="398"/>
      <c r="T81" s="414">
        <f>IF(S$79=0,"N.D.",S81/S$79)</f>
        <v>0</v>
      </c>
      <c r="U81" s="398">
        <v>80.459999999999994</v>
      </c>
      <c r="V81" s="414">
        <f>IF(U$79=0,"N.D.",U81/U$79)</f>
        <v>0.27980636815089932</v>
      </c>
      <c r="W81" s="398">
        <v>80.186999999999998</v>
      </c>
      <c r="X81" s="414">
        <f>IF(W$79=0,"N.D.",W81/W$79)</f>
        <v>0.28185633541420618</v>
      </c>
      <c r="Y81" s="398">
        <v>83.051000000000002</v>
      </c>
      <c r="Z81" s="414">
        <f>IF(Y$79=0,"N.D.",Y81/Y$79)</f>
        <v>0.25850681042854656</v>
      </c>
      <c r="AA81" s="398"/>
      <c r="AB81" s="176">
        <f>IF(AA$79=0,"N.D.",AA81/AA$79)</f>
        <v>0</v>
      </c>
    </row>
    <row r="82" spans="2:28" ht="13" x14ac:dyDescent="0.3">
      <c r="B82" s="278" t="s">
        <v>40</v>
      </c>
      <c r="C82" s="335">
        <v>88.961960000000019</v>
      </c>
      <c r="D82" s="415">
        <f>IF(C$79=0,"N.D.",C82/C$79)</f>
        <v>0.32463157900882711</v>
      </c>
      <c r="E82" s="381">
        <v>178.42499999999995</v>
      </c>
      <c r="F82" s="415">
        <f>IF(E$79=0,"N.D.",E82/E$79)</f>
        <v>0.63702738405512505</v>
      </c>
      <c r="G82" s="335">
        <v>210.85599999999999</v>
      </c>
      <c r="H82" s="415">
        <f>IF(G$79=0,"N.D.",G82/G$79)</f>
        <v>0.64277723075609916</v>
      </c>
      <c r="I82" s="335">
        <v>190.88</v>
      </c>
      <c r="J82" s="415">
        <f>IF(I$79=0,"N.D.",I82/I$79)</f>
        <v>0.64823745160633028</v>
      </c>
      <c r="K82" s="335">
        <v>200.35300000000001</v>
      </c>
      <c r="L82" s="415">
        <f>IF(K$79=0,"N.D.",K82/K$79)</f>
        <v>0.64884094486148991</v>
      </c>
      <c r="M82" s="335">
        <v>189.15899999999999</v>
      </c>
      <c r="N82" s="415">
        <f>IF(M$79=0,"N.D.",M82/M$79)</f>
        <v>0.6422096528871748</v>
      </c>
      <c r="O82" s="335">
        <v>189.15938</v>
      </c>
      <c r="P82" s="415">
        <f>IF(O$79=0,"N.D.",O82/O$79)</f>
        <v>0.64221065957077472</v>
      </c>
      <c r="Q82" s="335">
        <v>111.96455999999998</v>
      </c>
      <c r="R82" s="415">
        <f>IF(Q$79=0,"N.D.",Q82/Q$79)</f>
        <v>0.37001763097234724</v>
      </c>
      <c r="S82" s="335">
        <v>101.45672999999998</v>
      </c>
      <c r="T82" s="415">
        <f>IF(S$79=0,"N.D.",S82/S$79)</f>
        <v>0.35937482067872378</v>
      </c>
      <c r="U82" s="335">
        <v>101.41399999999997</v>
      </c>
      <c r="V82" s="415">
        <f>IF(U$79=0,"N.D.",U82/U$79)</f>
        <v>0.3526756527424223</v>
      </c>
      <c r="W82" s="335">
        <v>102.62499999999999</v>
      </c>
      <c r="X82" s="415">
        <f>IF(W$79=0,"N.D.",W82/W$79)</f>
        <v>0.36072563410381864</v>
      </c>
      <c r="Y82" s="335">
        <v>122.63499999999998</v>
      </c>
      <c r="Z82" s="415">
        <f>IF(Y$79=0,"N.D.",Y82/Y$79)</f>
        <v>0.38171704972733378</v>
      </c>
      <c r="AA82" s="335">
        <f t="shared" si="62"/>
        <v>1787.8896299999997</v>
      </c>
      <c r="AB82" s="178">
        <f>IF(AA$79=0,"N.D.",AA82/AA$79)</f>
        <v>0.50324332620790035</v>
      </c>
    </row>
    <row r="83" spans="2:28" x14ac:dyDescent="0.25">
      <c r="B83" s="278"/>
      <c r="C83" s="403"/>
      <c r="D83" s="416"/>
      <c r="E83" s="419"/>
      <c r="F83" s="416"/>
      <c r="G83" s="403"/>
      <c r="H83" s="416"/>
      <c r="I83" s="403"/>
      <c r="J83" s="416"/>
      <c r="K83" s="403"/>
      <c r="L83" s="416"/>
      <c r="M83" s="403"/>
      <c r="N83" s="416"/>
      <c r="O83" s="403"/>
      <c r="P83" s="416"/>
      <c r="Q83" s="403"/>
      <c r="R83" s="416"/>
      <c r="S83" s="403"/>
      <c r="T83" s="416"/>
      <c r="U83" s="403"/>
      <c r="V83" s="416"/>
      <c r="W83" s="403"/>
      <c r="X83" s="416"/>
      <c r="Y83" s="403"/>
      <c r="Z83" s="416"/>
      <c r="AA83" s="403"/>
      <c r="AB83" s="180"/>
    </row>
    <row r="84" spans="2:28" x14ac:dyDescent="0.25">
      <c r="B84" s="278" t="s">
        <v>41</v>
      </c>
      <c r="C84" s="400">
        <v>110.63925</v>
      </c>
      <c r="D84" s="417">
        <f>IF(C$79=0,"N.D.",C84/C$79)</f>
        <v>0.40373429753405127</v>
      </c>
      <c r="E84" s="418">
        <v>193.36699999999999</v>
      </c>
      <c r="F84" s="417">
        <f>IF(E$79=0,"N.D.",E84/E$79)</f>
        <v>0.69037452247491882</v>
      </c>
      <c r="G84" s="400">
        <v>203.566</v>
      </c>
      <c r="H84" s="417">
        <f>IF(G$79=0,"N.D.",G84/G$79)</f>
        <v>0.62055426336502673</v>
      </c>
      <c r="I84" s="400">
        <v>203.048</v>
      </c>
      <c r="J84" s="417">
        <v>0.67351144607310587</v>
      </c>
      <c r="K84" s="400">
        <v>210.994</v>
      </c>
      <c r="L84" s="417">
        <v>0.67307828573212514</v>
      </c>
      <c r="M84" s="400">
        <v>200.70099999999999</v>
      </c>
      <c r="N84" s="417">
        <f>IF(M$79=0,"N.D.",M84/M$79)</f>
        <v>0.68139564886740178</v>
      </c>
      <c r="O84" s="400">
        <v>200.70060999999998</v>
      </c>
      <c r="P84" s="417">
        <v>0.6655645426127591</v>
      </c>
      <c r="Q84" s="400">
        <v>197.21154000000001</v>
      </c>
      <c r="R84" s="417">
        <v>0.65173968290687978</v>
      </c>
      <c r="S84" s="400">
        <v>185.59602999999998</v>
      </c>
      <c r="T84" s="417">
        <f>IF(S$79=0,"N.D.",S84/S$79)</f>
        <v>0.65740872980957543</v>
      </c>
      <c r="U84" s="400">
        <v>111.1</v>
      </c>
      <c r="V84" s="417">
        <f>IF(U$79=0,"N.D.",U84/U$79)</f>
        <v>0.3863595264922311</v>
      </c>
      <c r="W84" s="400">
        <v>114.91200000000001</v>
      </c>
      <c r="X84" s="417">
        <f>IF(W$79=0,"N.D.",W84/W$79)</f>
        <v>0.40391429053484063</v>
      </c>
      <c r="Y84" s="400">
        <v>112.718</v>
      </c>
      <c r="Z84" s="417">
        <f>IF(Y$79=0,"N.D.",Y84/Y$79)</f>
        <v>0.35084912472920143</v>
      </c>
      <c r="AA84" s="400">
        <f t="shared" si="62"/>
        <v>2044.5534299999997</v>
      </c>
      <c r="AB84" s="182">
        <f>IF(AA$79=0,"N.D.",AA84/AA$79)</f>
        <v>0.57548735193624434</v>
      </c>
    </row>
    <row r="85" spans="2:28" x14ac:dyDescent="0.25">
      <c r="B85" s="278" t="s">
        <v>42</v>
      </c>
      <c r="C85" s="398">
        <v>15.16858</v>
      </c>
      <c r="D85" s="414">
        <f>IF(C$79=0,"N.D.",C85/C$79)</f>
        <v>5.5351748957888448E-2</v>
      </c>
      <c r="E85" s="314">
        <v>14.765000000000001</v>
      </c>
      <c r="F85" s="414">
        <f>IF(E$79=0,"N.D.",E85/E$79)</f>
        <v>5.2715198686136604E-2</v>
      </c>
      <c r="G85" s="398">
        <v>13.525</v>
      </c>
      <c r="H85" s="414">
        <f>IF(G$79=0,"N.D.",G85/G$79)</f>
        <v>4.1229853767387414E-2</v>
      </c>
      <c r="I85" s="398">
        <v>14.233000000000001</v>
      </c>
      <c r="J85" s="414">
        <f>IF(I$79=0,"N.D.",I85/I$79)</f>
        <v>4.8335936969367659E-2</v>
      </c>
      <c r="K85" s="398">
        <v>14.722</v>
      </c>
      <c r="L85" s="414">
        <f>IF(K$79=0,"N.D.",K85/K$79)</f>
        <v>4.7677031989792285E-2</v>
      </c>
      <c r="M85" s="398">
        <v>15.256</v>
      </c>
      <c r="N85" s="414">
        <f>IF(M$79=0,"N.D.",M85/M$79)</f>
        <v>5.179531750774078E-2</v>
      </c>
      <c r="O85" s="398">
        <v>15.25639</v>
      </c>
      <c r="P85" s="414">
        <f>IF(O$79=0,"N.D.",O85/O$79)</f>
        <v>5.1796618727387299E-2</v>
      </c>
      <c r="Q85" s="398">
        <v>14.618129999999999</v>
      </c>
      <c r="R85" s="414">
        <f>IF(Q$79=0,"N.D.",Q85/Q$79)</f>
        <v>4.830962432975041E-2</v>
      </c>
      <c r="S85" s="398">
        <v>14.392809999999999</v>
      </c>
      <c r="T85" s="414">
        <f>IF(S$79=0,"N.D.",S85/S$79)</f>
        <v>5.0981472720567113E-2</v>
      </c>
      <c r="U85" s="398">
        <v>12.535</v>
      </c>
      <c r="V85" s="414">
        <f>IF(U$79=0,"N.D.",U85/U$79)</f>
        <v>4.3591509132134262E-2</v>
      </c>
      <c r="W85" s="398">
        <v>13.843999999999999</v>
      </c>
      <c r="X85" s="414">
        <f>IF(W$79=0,"N.D.",W85/W$79)</f>
        <v>4.8661492604465444E-2</v>
      </c>
      <c r="Y85" s="398">
        <v>13.358000000000001</v>
      </c>
      <c r="Z85" s="414">
        <f>IF(Y$79=0,"N.D.",Y85/Y$79)</f>
        <v>4.1578475559650392E-2</v>
      </c>
      <c r="AA85" s="398">
        <f t="shared" si="62"/>
        <v>171.67390999999995</v>
      </c>
      <c r="AB85" s="176">
        <f>IF(AA$79=0,"N.D.",AA85/AA$79)</f>
        <v>4.8321634647836578E-2</v>
      </c>
    </row>
    <row r="86" spans="2:28" x14ac:dyDescent="0.25">
      <c r="B86" s="278" t="s">
        <v>43</v>
      </c>
      <c r="C86" s="398">
        <v>1.8633199999999999</v>
      </c>
      <c r="D86" s="414">
        <f>IF(C$79=0,"N.D.",C86/C$79)</f>
        <v>6.79945129130167E-3</v>
      </c>
      <c r="E86" s="314">
        <v>1.863</v>
      </c>
      <c r="F86" s="414">
        <f>IF(E$79=0,"N.D.",E86/E$79)</f>
        <v>6.6514334678139178E-3</v>
      </c>
      <c r="G86" s="398">
        <v>1.863</v>
      </c>
      <c r="H86" s="414">
        <f>IF(G$79=0,"N.D.",G86/G$79)</f>
        <v>5.6792027777185028E-3</v>
      </c>
      <c r="I86" s="398">
        <v>1.863</v>
      </c>
      <c r="J86" s="414">
        <f>IF(I$79=0,"N.D.",I86/I$79)</f>
        <v>6.3268355634041977E-3</v>
      </c>
      <c r="K86" s="398">
        <v>1.863</v>
      </c>
      <c r="L86" s="414">
        <f>IF(K$79=0,"N.D.",K86/K$79)</f>
        <v>6.0333046187327141E-3</v>
      </c>
      <c r="M86" s="398">
        <v>1.863</v>
      </c>
      <c r="N86" s="414">
        <f>IF(M$79=0,"N.D.",M86/M$79)</f>
        <v>6.3250312347221472E-3</v>
      </c>
      <c r="O86" s="398">
        <v>1.8633199999999999</v>
      </c>
      <c r="P86" s="414">
        <f>IF(O$79=0,"N.D.",O86/O$79)</f>
        <v>6.3261148677449452E-3</v>
      </c>
      <c r="Q86" s="398">
        <v>1.8633199999999999</v>
      </c>
      <c r="R86" s="414">
        <f>IF(Q$79=0,"N.D.",Q86/Q$79)</f>
        <v>6.1578525574824232E-3</v>
      </c>
      <c r="S86" s="398">
        <v>1.8633199999999999</v>
      </c>
      <c r="T86" s="414">
        <f>IF(S$79=0,"N.D.",S86/S$79)</f>
        <v>6.6001564496222147E-3</v>
      </c>
      <c r="U86" s="398">
        <v>1.863</v>
      </c>
      <c r="V86" s="414">
        <f>IF(U$79=0,"N.D.",U86/U$79)</f>
        <v>6.4787380545006891E-3</v>
      </c>
      <c r="W86" s="398">
        <v>1.863</v>
      </c>
      <c r="X86" s="414">
        <f>IF(W$79=0,"N.D.",W86/W$79)</f>
        <v>6.5484224734266919E-3</v>
      </c>
      <c r="Y86" s="398">
        <v>1.863</v>
      </c>
      <c r="Z86" s="414">
        <f>IF(Y$79=0,"N.D.",Y86/Y$79)</f>
        <v>5.798824671929082E-3</v>
      </c>
      <c r="AA86" s="398">
        <f t="shared" si="62"/>
        <v>22.357279999999996</v>
      </c>
      <c r="AB86" s="176">
        <f>IF(AA$79=0,"N.D.",AA86/AA$79)</f>
        <v>6.2929790314636856E-3</v>
      </c>
    </row>
    <row r="87" spans="2:28" ht="13" x14ac:dyDescent="0.3">
      <c r="B87" s="278" t="s">
        <v>44</v>
      </c>
      <c r="C87" s="335">
        <v>127.67115000000001</v>
      </c>
      <c r="D87" s="415">
        <f>IF(C$79=0,"N.D.",C87/C$79)</f>
        <v>0.4658854977832414</v>
      </c>
      <c r="E87" s="381">
        <v>209.995</v>
      </c>
      <c r="F87" s="415">
        <f>IF(E$79=0,"N.D.",E87/E$79)</f>
        <v>0.74974115462886937</v>
      </c>
      <c r="G87" s="335">
        <v>218.95400000000001</v>
      </c>
      <c r="H87" s="415">
        <f>IF(G$79=0,"N.D.",G87/G$79)</f>
        <v>0.66746331991013264</v>
      </c>
      <c r="I87" s="335">
        <v>219.14400000000001</v>
      </c>
      <c r="J87" s="415">
        <f>IF(I$79=0,"N.D.",I87/I$79)</f>
        <v>0.74422332405080494</v>
      </c>
      <c r="K87" s="335">
        <v>227.57900000000001</v>
      </c>
      <c r="L87" s="415">
        <f>IF(K$79=0,"N.D.",K87/K$79)</f>
        <v>0.7370120407013272</v>
      </c>
      <c r="M87" s="335">
        <v>217.82</v>
      </c>
      <c r="N87" s="415">
        <f>IF(M$79=0,"N.D.",M87/M$79)</f>
        <v>0.73951599760986475</v>
      </c>
      <c r="O87" s="335">
        <v>217.82031999999998</v>
      </c>
      <c r="P87" s="415">
        <f>IF(O$79=0,"N.D.",O87/O$79)</f>
        <v>0.73951675764171565</v>
      </c>
      <c r="Q87" s="335">
        <v>131.65424999999999</v>
      </c>
      <c r="R87" s="415">
        <f>IF(Q$79=0,"N.D.",Q87/Q$79)</f>
        <v>0.43508761783586836</v>
      </c>
      <c r="S87" s="335">
        <v>123.02754</v>
      </c>
      <c r="T87" s="415">
        <f>IF(S$79=0,"N.D.",S87/S$79)</f>
        <v>0.43578183651340352</v>
      </c>
      <c r="U87" s="335">
        <v>125.49799999999999</v>
      </c>
      <c r="V87" s="415">
        <f>IF(U$79=0,"N.D.",U87/U$79)</f>
        <v>0.43642977367886604</v>
      </c>
      <c r="W87" s="335">
        <v>130.619</v>
      </c>
      <c r="X87" s="415">
        <f>IF(W$79=0,"N.D.",W87/W$79)</f>
        <v>0.45912420561273271</v>
      </c>
      <c r="Y87" s="335">
        <v>127.93900000000001</v>
      </c>
      <c r="Z87" s="415">
        <f>IF(Y$79=0,"N.D.",Y87/Y$79)</f>
        <v>0.39822642496078092</v>
      </c>
      <c r="AA87" s="335">
        <f t="shared" si="62"/>
        <v>2077.7212599999998</v>
      </c>
      <c r="AB87" s="178">
        <f>IF(AA$79=0,"N.D.",AA87/AA$79)</f>
        <v>0.58482321294926354</v>
      </c>
    </row>
    <row r="88" spans="2:28" ht="13" x14ac:dyDescent="0.3">
      <c r="B88" s="278" t="s">
        <v>45</v>
      </c>
      <c r="C88" s="335">
        <v>-38.709189999999985</v>
      </c>
      <c r="D88" s="415">
        <f>IF(C$79=0,"N.D.",C88/C$79)</f>
        <v>-0.14125391877441429</v>
      </c>
      <c r="E88" s="381">
        <v>-31.57000000000005</v>
      </c>
      <c r="F88" s="415">
        <f>IF(E$79=0,"N.D.",E88/E$79)</f>
        <v>-0.11271377057374435</v>
      </c>
      <c r="G88" s="335">
        <v>-8.0980000000000132</v>
      </c>
      <c r="H88" s="415">
        <f>IF(G$79=0,"N.D.",G88/G$79)</f>
        <v>-2.4686089154033555E-2</v>
      </c>
      <c r="I88" s="335">
        <v>-28.26400000000001</v>
      </c>
      <c r="J88" s="415">
        <f>IF(I$79=0,"N.D.",I88/I$79)</f>
        <v>-9.5985872444474665E-2</v>
      </c>
      <c r="K88" s="335">
        <v>-27.225999999999999</v>
      </c>
      <c r="L88" s="415">
        <f>IF(K$79=0,"N.D.",K88/K$79)</f>
        <v>-8.8171095839837302E-2</v>
      </c>
      <c r="M88" s="335">
        <v>-28.661000000000001</v>
      </c>
      <c r="N88" s="415">
        <f>IF(M$79=0,"N.D.",M88/M$79)</f>
        <v>-9.7306344722689994E-2</v>
      </c>
      <c r="O88" s="335">
        <v>-28.660939999999982</v>
      </c>
      <c r="P88" s="415">
        <f>IF(O$79=0,"N.D.",O88/O$79)</f>
        <v>-9.7306098070940955E-2</v>
      </c>
      <c r="Q88" s="335">
        <v>-19.689690000000017</v>
      </c>
      <c r="R88" s="415">
        <f>IF(Q$79=0,"N.D.",Q88/Q$79)</f>
        <v>-6.5069986863521126E-2</v>
      </c>
      <c r="S88" s="335">
        <v>-21.570810000000026</v>
      </c>
      <c r="T88" s="415">
        <f>IF(S$79=0,"N.D.",S88/S$79)</f>
        <v>-7.6407015834679792E-2</v>
      </c>
      <c r="U88" s="335">
        <v>-24.084000000000017</v>
      </c>
      <c r="V88" s="415">
        <f>IF(U$79=0,"N.D.",U88/U$79)</f>
        <v>-8.3754120936443743E-2</v>
      </c>
      <c r="W88" s="335">
        <v>-27.994000000000014</v>
      </c>
      <c r="X88" s="415">
        <f>IF(W$79=0,"N.D.",W88/W$79)</f>
        <v>-9.8398571508914068E-2</v>
      </c>
      <c r="Y88" s="335">
        <v>-5.3040000000000305</v>
      </c>
      <c r="Z88" s="415">
        <f>IF(Y$79=0,"N.D.",Y88/Y$79)</f>
        <v>-1.6509375233447143E-2</v>
      </c>
      <c r="AA88" s="335">
        <f t="shared" si="62"/>
        <v>-289.83163000000013</v>
      </c>
      <c r="AB88" s="178">
        <f>IF(AA$79=0,"N.D.",AA88/AA$79)</f>
        <v>-8.15798867413631E-2</v>
      </c>
    </row>
    <row r="89" spans="2:28" x14ac:dyDescent="0.25">
      <c r="C89" s="403"/>
      <c r="D89" s="416"/>
      <c r="E89" s="419"/>
      <c r="F89" s="416"/>
      <c r="G89" s="403"/>
      <c r="H89" s="416"/>
      <c r="I89" s="403"/>
      <c r="J89" s="416"/>
      <c r="K89" s="403"/>
      <c r="L89" s="416"/>
      <c r="M89" s="403"/>
      <c r="N89" s="416"/>
      <c r="O89" s="403"/>
      <c r="P89" s="416"/>
      <c r="Q89" s="403"/>
      <c r="R89" s="416"/>
      <c r="S89" s="403"/>
      <c r="T89" s="416"/>
      <c r="U89" s="403"/>
      <c r="V89" s="416"/>
      <c r="W89" s="403"/>
      <c r="X89" s="416"/>
      <c r="Y89" s="403"/>
      <c r="Z89" s="416"/>
      <c r="AA89" s="403"/>
      <c r="AB89" s="180"/>
    </row>
    <row r="90" spans="2:28" x14ac:dyDescent="0.25">
      <c r="B90" s="278"/>
      <c r="C90" s="400">
        <v>0</v>
      </c>
      <c r="D90" s="417">
        <f>IF(C$79=0,"N.D.",C90/C$79)</f>
        <v>0</v>
      </c>
      <c r="E90" s="418">
        <v>0</v>
      </c>
      <c r="F90" s="417">
        <f>IF(E$79=0,"N.D.",E90/E$79)</f>
        <v>0</v>
      </c>
      <c r="G90" s="400">
        <v>0</v>
      </c>
      <c r="H90" s="417">
        <f>IF(G$79=0,"N.D.",G90/G$79)</f>
        <v>0</v>
      </c>
      <c r="I90" s="400">
        <v>0</v>
      </c>
      <c r="J90" s="417">
        <f>IF(I$79=0,"N.D.",I90/I$79)</f>
        <v>0</v>
      </c>
      <c r="K90" s="400">
        <v>0</v>
      </c>
      <c r="L90" s="417">
        <f>IF(K$79=0,"N.D.",K90/K$79)</f>
        <v>0</v>
      </c>
      <c r="M90" s="400">
        <v>0</v>
      </c>
      <c r="N90" s="417">
        <f>IF(M$79=0,"N.D.",M90/M$79)</f>
        <v>0</v>
      </c>
      <c r="O90" s="400">
        <v>0</v>
      </c>
      <c r="P90" s="417">
        <f>IF(O$79=0,"N.D.",O90/O$79)</f>
        <v>0</v>
      </c>
      <c r="Q90" s="400">
        <v>0</v>
      </c>
      <c r="R90" s="417">
        <f>IF(Q$79=0,"N.D.",Q90/Q$79)</f>
        <v>0</v>
      </c>
      <c r="S90" s="400">
        <v>0</v>
      </c>
      <c r="T90" s="417">
        <f>IF(S$79=0,"N.D.",S90/S$79)</f>
        <v>0</v>
      </c>
      <c r="U90" s="400">
        <v>0</v>
      </c>
      <c r="V90" s="417">
        <f>IF(U$79=0,"N.D.",U90/U$79)</f>
        <v>0</v>
      </c>
      <c r="W90" s="400">
        <v>0</v>
      </c>
      <c r="X90" s="417">
        <f>IF(W$79=0,"N.D.",W90/W$79)</f>
        <v>0</v>
      </c>
      <c r="Y90" s="400">
        <v>0</v>
      </c>
      <c r="Z90" s="417">
        <f>IF(Y$79=0,"N.D.",Y90/Y$79)</f>
        <v>0</v>
      </c>
      <c r="AA90" s="400">
        <f t="shared" si="62"/>
        <v>0</v>
      </c>
      <c r="AB90" s="182">
        <f>IF(AA$79=0,"N.D.",AA90/AA$79)</f>
        <v>0</v>
      </c>
    </row>
    <row r="91" spans="2:28" x14ac:dyDescent="0.25">
      <c r="B91" s="278" t="s">
        <v>52</v>
      </c>
      <c r="C91" s="398">
        <v>-0.15868000000000002</v>
      </c>
      <c r="D91" s="414">
        <f>IF(C$79=0,"N.D.",C91/C$79)</f>
        <v>-5.7904006338350327E-4</v>
      </c>
      <c r="E91" s="314">
        <v>-1.577</v>
      </c>
      <c r="F91" s="414">
        <f>IF(E$79=0,"N.D.",E91/E$79)</f>
        <v>-5.630333107215538E-3</v>
      </c>
      <c r="G91" s="398">
        <v>-0.60199999999999998</v>
      </c>
      <c r="H91" s="414">
        <f>IF(G$79=0,"N.D.",G91/G$79)</f>
        <v>-1.8351476501269667E-3</v>
      </c>
      <c r="I91" s="398">
        <v>-0.16400000000000001</v>
      </c>
      <c r="J91" s="414">
        <f>IF(I$79=0,"N.D.",I91/I$79)</f>
        <v>-5.5695170821164176E-4</v>
      </c>
      <c r="K91" s="398">
        <v>-1.419</v>
      </c>
      <c r="L91" s="414">
        <f>IF(K$79=0,"N.D.",K91/K$79)</f>
        <v>-4.5954155952666253E-3</v>
      </c>
      <c r="M91" s="398">
        <v>-3.4969999999999999</v>
      </c>
      <c r="N91" s="414">
        <f>IF(M$79=0,"N.D.",M91/M$79)</f>
        <v>-1.1872589494269108E-2</v>
      </c>
      <c r="O91" s="398">
        <v>-3.4971199999999998</v>
      </c>
      <c r="P91" s="414">
        <f>IF(O$79=0,"N.D.",O91/O$79)</f>
        <v>-1.1872991663422388E-2</v>
      </c>
      <c r="Q91" s="398">
        <v>-1.8985399999999999</v>
      </c>
      <c r="R91" s="414">
        <f>IF(Q$79=0,"N.D.",Q91/Q$79)</f>
        <v>-6.2742467179457521E-3</v>
      </c>
      <c r="S91" s="398">
        <v>-5.4492399999999996</v>
      </c>
      <c r="T91" s="414">
        <f>IF(S$79=0,"N.D.",S91/S$79)</f>
        <v>-1.9302018188791705E-2</v>
      </c>
      <c r="U91" s="398">
        <v>-0.59199999999999997</v>
      </c>
      <c r="V91" s="414">
        <f>IF(U$79=0,"N.D.",U91/U$79)</f>
        <v>-2.0587294300936166E-3</v>
      </c>
      <c r="W91" s="398">
        <v>-1.7829999999999999</v>
      </c>
      <c r="X91" s="414">
        <f>IF(W$79=0,"N.D.",W91/W$79)</f>
        <v>-6.2672234407513639E-3</v>
      </c>
      <c r="Y91" s="398">
        <v>-0.81899999999999995</v>
      </c>
      <c r="Z91" s="414">
        <f>IF(Y$79=0,"N.D.",Y91/Y$79)</f>
        <v>-2.5492417639881469E-3</v>
      </c>
      <c r="AA91" s="398">
        <f t="shared" si="62"/>
        <v>-21.456579999999999</v>
      </c>
      <c r="AB91" s="176">
        <f>IF(AA$79=0,"N.D.",AA91/AA$79)</f>
        <v>-6.0394559636468793E-3</v>
      </c>
    </row>
    <row r="92" spans="2:28" x14ac:dyDescent="0.25">
      <c r="B92" s="278" t="s">
        <v>184</v>
      </c>
      <c r="C92" s="398">
        <v>1.0281900000000002</v>
      </c>
      <c r="D92" s="414">
        <f>IF(C$79=0,"N.D.",C92/C$79)</f>
        <v>3.7519738011739614E-3</v>
      </c>
      <c r="E92" s="314">
        <v>0.97099999999999997</v>
      </c>
      <c r="F92" s="414">
        <f>IF(E$79=0,"N.D.",E92/E$79)</f>
        <v>3.4667428326609307E-3</v>
      </c>
      <c r="G92" s="398">
        <v>0.98899999999999999</v>
      </c>
      <c r="H92" s="414">
        <f>IF(G$79=0,"N.D.",G92/G$79)</f>
        <v>3.0148854252085881E-3</v>
      </c>
      <c r="I92" s="398">
        <v>1.0549999999999999</v>
      </c>
      <c r="J92" s="414">
        <f>IF(I$79=0,"N.D.",I92/I$79)</f>
        <v>3.5828295863614755E-3</v>
      </c>
      <c r="K92" s="398">
        <v>1.012</v>
      </c>
      <c r="L92" s="414">
        <f>IF(K$79=0,"N.D.",K92/K$79)</f>
        <v>3.277350657089376E-3</v>
      </c>
      <c r="M92" s="398">
        <v>1.052</v>
      </c>
      <c r="N92" s="414">
        <f>IF(M$79=0,"N.D.",M92/M$79)</f>
        <v>3.5716225759139554E-3</v>
      </c>
      <c r="O92" s="398">
        <v>1.05182</v>
      </c>
      <c r="P92" s="414">
        <f>IF(O$79=0,"N.D.",O92/O$79)</f>
        <v>3.5710098856833439E-3</v>
      </c>
      <c r="Q92" s="398">
        <v>1.0571300000000001</v>
      </c>
      <c r="R92" s="414">
        <f>IF(Q$79=0,"N.D.",Q92/Q$79)</f>
        <v>3.4935763444236068E-3</v>
      </c>
      <c r="S92" s="398">
        <v>5.9181000000000008</v>
      </c>
      <c r="T92" s="414">
        <f>IF(S$79=0,"N.D.",S92/S$79)</f>
        <v>2.0962790011650839E-2</v>
      </c>
      <c r="U92" s="398">
        <v>0.86599999999999999</v>
      </c>
      <c r="V92" s="414">
        <f>IF(U$79=0,"N.D.",U92/U$79)</f>
        <v>3.0115873082112703E-3</v>
      </c>
      <c r="W92" s="398">
        <v>0.88700000000000001</v>
      </c>
      <c r="X92" s="414">
        <f>IF(W$79=0,"N.D.",W92/W$79)</f>
        <v>3.1177942747876949E-3</v>
      </c>
      <c r="Y92" s="398">
        <v>0.32300000000000001</v>
      </c>
      <c r="Z92" s="414">
        <f>IF(Y$79=0,"N.D.",Y92/Y$79)</f>
        <v>1.0053786199855574E-3</v>
      </c>
      <c r="AA92" s="398">
        <f t="shared" si="62"/>
        <v>16.210240000000002</v>
      </c>
      <c r="AB92" s="176">
        <f>IF(AA$79=0,"N.D.",AA92/AA$79)</f>
        <v>4.5627509435402667E-3</v>
      </c>
    </row>
    <row r="93" spans="2:28" x14ac:dyDescent="0.25">
      <c r="B93" s="278" t="s">
        <v>47</v>
      </c>
      <c r="C93" s="398">
        <v>0</v>
      </c>
      <c r="D93" s="414">
        <f>IF(C$79=0,"N.D.",C93/C$79)</f>
        <v>0</v>
      </c>
      <c r="E93" s="314">
        <v>0</v>
      </c>
      <c r="F93" s="414">
        <f>IF(E$79=0,"N.D.",E93/E$79)</f>
        <v>0</v>
      </c>
      <c r="G93" s="398">
        <v>0</v>
      </c>
      <c r="H93" s="414">
        <f>IF(G$79=0,"N.D.",G93/G$79)</f>
        <v>0</v>
      </c>
      <c r="I93" s="398">
        <v>0</v>
      </c>
      <c r="J93" s="414">
        <f>IF(I$79=0,"N.D.",I93/I$79)</f>
        <v>0</v>
      </c>
      <c r="K93" s="398">
        <v>0</v>
      </c>
      <c r="L93" s="414">
        <f>IF(K$79=0,"N.D.",K93/K$79)</f>
        <v>0</v>
      </c>
      <c r="M93" s="398">
        <v>0</v>
      </c>
      <c r="N93" s="414">
        <f>IF(M$79=0,"N.D.",M93/M$79)</f>
        <v>0</v>
      </c>
      <c r="O93" s="398">
        <v>0</v>
      </c>
      <c r="P93" s="414">
        <f>IF(O$79=0,"N.D.",O93/O$79)</f>
        <v>0</v>
      </c>
      <c r="Q93" s="398">
        <v>0</v>
      </c>
      <c r="R93" s="414">
        <f>IF(Q$79=0,"N.D.",Q93/Q$79)</f>
        <v>0</v>
      </c>
      <c r="S93" s="398">
        <v>0</v>
      </c>
      <c r="T93" s="414">
        <f>IF(S$79=0,"N.D.",S93/S$79)</f>
        <v>0</v>
      </c>
      <c r="U93" s="398">
        <v>0</v>
      </c>
      <c r="V93" s="414">
        <f>IF(U$79=0,"N.D.",U93/U$79)</f>
        <v>0</v>
      </c>
      <c r="W93" s="398">
        <v>0</v>
      </c>
      <c r="X93" s="414">
        <f>IF(W$79=0,"N.D.",W93/W$79)</f>
        <v>0</v>
      </c>
      <c r="Y93" s="398">
        <v>0</v>
      </c>
      <c r="Z93" s="414">
        <f>IF(Y$79=0,"N.D.",Y93/Y$79)</f>
        <v>0</v>
      </c>
      <c r="AA93" s="398">
        <f t="shared" si="62"/>
        <v>0</v>
      </c>
      <c r="AB93" s="176">
        <f>IF(AA$79=0,"N.D.",AA93/AA$79)</f>
        <v>0</v>
      </c>
    </row>
    <row r="94" spans="2:28" x14ac:dyDescent="0.25">
      <c r="C94" s="398"/>
      <c r="D94" s="414"/>
      <c r="E94" s="314"/>
      <c r="F94" s="414"/>
      <c r="G94" s="398"/>
      <c r="H94" s="414"/>
      <c r="I94" s="398"/>
      <c r="J94" s="414"/>
      <c r="K94" s="398"/>
      <c r="L94" s="414"/>
      <c r="M94" s="398"/>
      <c r="N94" s="414"/>
      <c r="O94" s="398"/>
      <c r="P94" s="414"/>
      <c r="Q94" s="398"/>
      <c r="R94" s="414"/>
      <c r="S94" s="398"/>
      <c r="T94" s="414"/>
      <c r="U94" s="398"/>
      <c r="V94" s="414"/>
      <c r="W94" s="398"/>
      <c r="X94" s="414"/>
      <c r="Y94" s="398"/>
      <c r="Z94" s="414"/>
      <c r="AA94" s="398"/>
      <c r="AB94" s="176"/>
    </row>
    <row r="95" spans="2:28" ht="13" x14ac:dyDescent="0.3">
      <c r="B95" s="278" t="s">
        <v>48</v>
      </c>
      <c r="C95" s="335">
        <v>0.86951000000000012</v>
      </c>
      <c r="D95" s="415">
        <f>IF(C$79=0,"N.D.",C95/C$79)</f>
        <v>3.1729337377904582E-3</v>
      </c>
      <c r="E95" s="381">
        <v>-0.60599999999999998</v>
      </c>
      <c r="F95" s="415">
        <f>IF(E$79=0,"N.D.",E95/E$79)</f>
        <v>-2.1635902745546077E-3</v>
      </c>
      <c r="G95" s="335">
        <v>0.38700000000000001</v>
      </c>
      <c r="H95" s="415">
        <f>IF(G$79=0,"N.D.",G95/G$79)</f>
        <v>1.1797377750816214E-3</v>
      </c>
      <c r="I95" s="335">
        <v>0.8909999999999999</v>
      </c>
      <c r="J95" s="415">
        <f>IF(I$79=0,"N.D.",I95/I$79)</f>
        <v>3.0258778781498334E-3</v>
      </c>
      <c r="K95" s="335">
        <v>-0.40700000000000003</v>
      </c>
      <c r="L95" s="415">
        <f>IF(K$79=0,"N.D.",K95/K$79)</f>
        <v>-1.3180649381772491E-3</v>
      </c>
      <c r="M95" s="335">
        <v>-2.4449999999999998</v>
      </c>
      <c r="N95" s="415">
        <f>IF(M$79=0,"N.D.",M95/M$79)</f>
        <v>-8.3009669183551522E-3</v>
      </c>
      <c r="O95" s="335">
        <v>-2.4452999999999996</v>
      </c>
      <c r="P95" s="415">
        <f>IF(O$79=0,"N.D.",O95/O$79)</f>
        <v>-8.3019817777390433E-3</v>
      </c>
      <c r="Q95" s="335">
        <v>-0.84140999999999977</v>
      </c>
      <c r="R95" s="415">
        <f>IF(Q$79=0,"N.D.",Q95/Q$79)</f>
        <v>-2.7806703735221458E-3</v>
      </c>
      <c r="S95" s="335">
        <v>0.46886000000000116</v>
      </c>
      <c r="T95" s="415">
        <f>IF(S$79=0,"N.D.",S95/S$79)</f>
        <v>1.660771822859133E-3</v>
      </c>
      <c r="U95" s="335">
        <v>0.27400000000000002</v>
      </c>
      <c r="V95" s="415">
        <f>IF(U$79=0,"N.D.",U95/U$79)</f>
        <v>9.5285787811765377E-4</v>
      </c>
      <c r="W95" s="335">
        <v>-0.89599999999999991</v>
      </c>
      <c r="X95" s="415">
        <f>IF(W$79=0,"N.D.",W95/W$79)</f>
        <v>-3.1494291659636691E-3</v>
      </c>
      <c r="Y95" s="335">
        <v>-0.49599999999999994</v>
      </c>
      <c r="Z95" s="415">
        <f>IF(Y$79=0,"N.D.",Y95/Y$79)</f>
        <v>-1.5438631440025895E-3</v>
      </c>
      <c r="AA95" s="335">
        <f t="shared" si="62"/>
        <v>-5.2463399999999982</v>
      </c>
      <c r="AB95" s="178">
        <f>IF(AA$79=0,"N.D.",AA95/AA$79)</f>
        <v>-1.4767050201066135E-3</v>
      </c>
    </row>
    <row r="96" spans="2:28" ht="13" x14ac:dyDescent="0.3">
      <c r="B96" s="278" t="s">
        <v>49</v>
      </c>
      <c r="C96" s="335">
        <v>-39.578699999999984</v>
      </c>
      <c r="D96" s="415">
        <f>IF(C$79=0,"N.D.",C96/C$79)</f>
        <v>-0.14442685251220475</v>
      </c>
      <c r="E96" s="381">
        <v>-30.964000000000048</v>
      </c>
      <c r="F96" s="415">
        <f>IF(E$79=0,"N.D.",E96/E$79)</f>
        <v>-0.11055018029918973</v>
      </c>
      <c r="G96" s="335">
        <v>-8.4850000000000136</v>
      </c>
      <c r="H96" s="415">
        <f>IF(G$79=0,"N.D.",G96/G$79)</f>
        <v>-2.5865826929115179E-2</v>
      </c>
      <c r="I96" s="335">
        <v>-29.155000000000008</v>
      </c>
      <c r="J96" s="415">
        <f>IF(I$79=0,"N.D.",I96/I$79)</f>
        <v>-9.9011750322624506E-2</v>
      </c>
      <c r="K96" s="335">
        <v>-26.818999999999999</v>
      </c>
      <c r="L96" s="415">
        <f>IF(K$79=0,"N.D.",K96/K$79)</f>
        <v>-8.685303090166005E-2</v>
      </c>
      <c r="M96" s="335">
        <v>-26.216000000000001</v>
      </c>
      <c r="N96" s="415">
        <f>IF(M$79=0,"N.D.",M96/M$79)</f>
        <v>-8.9005377804334845E-2</v>
      </c>
      <c r="O96" s="335">
        <v>-26.215639999999983</v>
      </c>
      <c r="P96" s="415">
        <f>IF(O$79=0,"N.D.",O96/O$79)</f>
        <v>-8.9004116293201915E-2</v>
      </c>
      <c r="Q96" s="335">
        <v>-18.848280000000017</v>
      </c>
      <c r="R96" s="415">
        <f>IF(Q$79=0,"N.D.",Q96/Q$79)</f>
        <v>-6.228931648999899E-2</v>
      </c>
      <c r="S96" s="335">
        <v>-22.039670000000029</v>
      </c>
      <c r="T96" s="415">
        <f>IF(S$79=0,"N.D.",S96/S$79)</f>
        <v>-7.806778765753894E-2</v>
      </c>
      <c r="U96" s="335">
        <v>-24.358000000000018</v>
      </c>
      <c r="V96" s="415">
        <f>IF(U$79=0,"N.D.",U96/U$79)</f>
        <v>-8.4706978814561407E-2</v>
      </c>
      <c r="W96" s="335">
        <v>-27.098000000000013</v>
      </c>
      <c r="X96" s="415">
        <f>IF(W$79=0,"N.D.",W96/W$79)</f>
        <v>-9.5249142342950399E-2</v>
      </c>
      <c r="Y96" s="335">
        <v>-4.8080000000000309</v>
      </c>
      <c r="Z96" s="415">
        <f>IF(Y$79=0,"N.D.",Y96/Y$79)</f>
        <v>-1.4965512089444554E-2</v>
      </c>
      <c r="AA96" s="335">
        <f t="shared" si="62"/>
        <v>-284.58529000000016</v>
      </c>
      <c r="AB96" s="178">
        <f>IF(AA$79=0,"N.D.",AA96/AA$79)</f>
        <v>-8.0103181721256494E-2</v>
      </c>
    </row>
    <row r="97" spans="2:28" x14ac:dyDescent="0.25">
      <c r="C97" s="403"/>
      <c r="D97" s="416"/>
      <c r="E97" s="419"/>
      <c r="F97" s="416"/>
      <c r="G97" s="403"/>
      <c r="H97" s="416"/>
      <c r="I97" s="403"/>
      <c r="J97" s="416"/>
      <c r="K97" s="403"/>
      <c r="L97" s="416"/>
      <c r="M97" s="403"/>
      <c r="N97" s="416"/>
      <c r="O97" s="403"/>
      <c r="P97" s="416"/>
      <c r="Q97" s="403"/>
      <c r="R97" s="416"/>
      <c r="S97" s="403"/>
      <c r="T97" s="416"/>
      <c r="U97" s="403"/>
      <c r="V97" s="416"/>
      <c r="W97" s="403"/>
      <c r="X97" s="416"/>
      <c r="Y97" s="403"/>
      <c r="Z97" s="416"/>
      <c r="AA97" s="403"/>
      <c r="AB97" s="180"/>
    </row>
    <row r="98" spans="2:28" x14ac:dyDescent="0.25">
      <c r="B98" s="278" t="s">
        <v>50</v>
      </c>
      <c r="C98" s="400">
        <v>0</v>
      </c>
      <c r="D98" s="417">
        <f>IF(C$79=0,"N.D.",C98/C$79)</f>
        <v>0</v>
      </c>
      <c r="E98" s="418">
        <v>0</v>
      </c>
      <c r="F98" s="417">
        <f>IF(E$79=0,"N.D.",E98/E$79)</f>
        <v>0</v>
      </c>
      <c r="G98" s="400">
        <v>0</v>
      </c>
      <c r="H98" s="417">
        <f t="shared" ref="H98:H107" si="63">IF(G$79=0,"N.D.",G98/G$79)</f>
        <v>0</v>
      </c>
      <c r="I98" s="400">
        <v>0</v>
      </c>
      <c r="J98" s="417">
        <f t="shared" ref="J98:J107" si="64">IF(I$79=0,"N.D.",I98/I$79)</f>
        <v>0</v>
      </c>
      <c r="K98" s="400">
        <v>0</v>
      </c>
      <c r="L98" s="417">
        <f t="shared" ref="L98:L107" si="65">IF(K$79=0,"N.D.",K98/K$79)</f>
        <v>0</v>
      </c>
      <c r="M98" s="400">
        <v>0</v>
      </c>
      <c r="N98" s="417">
        <f t="shared" ref="N98:N107" si="66">IF(M$79=0,"N.D.",M98/M$79)</f>
        <v>0</v>
      </c>
      <c r="O98" s="400">
        <v>0</v>
      </c>
      <c r="P98" s="417">
        <f t="shared" ref="P98:P107" si="67">IF(O$79=0,"N.D.",O98/O$79)</f>
        <v>0</v>
      </c>
      <c r="Q98" s="400">
        <v>0</v>
      </c>
      <c r="R98" s="417">
        <f t="shared" ref="R98:R107" si="68">IF(Q$79=0,"N.D.",Q98/Q$79)</f>
        <v>0</v>
      </c>
      <c r="S98" s="400">
        <v>0</v>
      </c>
      <c r="T98" s="417">
        <f t="shared" ref="T98:T107" si="69">IF(S$79=0,"N.D.",S98/S$79)</f>
        <v>0</v>
      </c>
      <c r="U98" s="400">
        <v>0</v>
      </c>
      <c r="V98" s="417">
        <f t="shared" ref="V98:V107" si="70">IF(U$79=0,"N.D.",U98/U$79)</f>
        <v>0</v>
      </c>
      <c r="W98" s="400">
        <v>0</v>
      </c>
      <c r="X98" s="417">
        <f t="shared" ref="X98:X107" si="71">IF(W$79=0,"N.D.",W98/W$79)</f>
        <v>0</v>
      </c>
      <c r="Y98" s="400">
        <v>0</v>
      </c>
      <c r="Z98" s="417">
        <f t="shared" ref="Z98:Z107" si="72">IF(Y$79=0,"N.D.",Y98/Y$79)</f>
        <v>0</v>
      </c>
      <c r="AA98" s="400">
        <f t="shared" si="62"/>
        <v>0</v>
      </c>
      <c r="AB98" s="182">
        <f t="shared" ref="AB98:AB107" si="73">IF(AA$79=0,"N.D.",AA98/AA$79)</f>
        <v>0</v>
      </c>
    </row>
    <row r="99" spans="2:28" x14ac:dyDescent="0.25">
      <c r="B99" s="278" t="s">
        <v>51</v>
      </c>
      <c r="C99" s="398">
        <v>0</v>
      </c>
      <c r="D99" s="414">
        <f>IF(C$79=0,"N.D.",C99/C$79)</f>
        <v>0</v>
      </c>
      <c r="E99" s="314">
        <v>0</v>
      </c>
      <c r="F99" s="414">
        <f>IF(E$79=0,"N.D.",E99/E$79)</f>
        <v>0</v>
      </c>
      <c r="G99" s="398">
        <v>0</v>
      </c>
      <c r="H99" s="414">
        <f t="shared" si="63"/>
        <v>0</v>
      </c>
      <c r="I99" s="398">
        <v>0</v>
      </c>
      <c r="J99" s="414">
        <f t="shared" si="64"/>
        <v>0</v>
      </c>
      <c r="K99" s="398">
        <v>0</v>
      </c>
      <c r="L99" s="414">
        <f t="shared" si="65"/>
        <v>0</v>
      </c>
      <c r="M99" s="398">
        <v>0</v>
      </c>
      <c r="N99" s="414">
        <f t="shared" si="66"/>
        <v>0</v>
      </c>
      <c r="O99" s="398">
        <v>0</v>
      </c>
      <c r="P99" s="414">
        <f t="shared" si="67"/>
        <v>0</v>
      </c>
      <c r="Q99" s="398">
        <v>0</v>
      </c>
      <c r="R99" s="414">
        <f t="shared" si="68"/>
        <v>0</v>
      </c>
      <c r="S99" s="398">
        <v>0</v>
      </c>
      <c r="T99" s="414">
        <f t="shared" si="69"/>
        <v>0</v>
      </c>
      <c r="U99" s="398">
        <v>0</v>
      </c>
      <c r="V99" s="414">
        <f t="shared" si="70"/>
        <v>0</v>
      </c>
      <c r="W99" s="398">
        <v>0</v>
      </c>
      <c r="X99" s="414">
        <f t="shared" si="71"/>
        <v>0</v>
      </c>
      <c r="Y99" s="398">
        <v>0</v>
      </c>
      <c r="Z99" s="414">
        <f t="shared" si="72"/>
        <v>0</v>
      </c>
      <c r="AA99" s="398">
        <f t="shared" si="62"/>
        <v>0</v>
      </c>
      <c r="AB99" s="176">
        <f t="shared" si="73"/>
        <v>0</v>
      </c>
    </row>
    <row r="100" spans="2:28" ht="13" x14ac:dyDescent="0.3">
      <c r="B100" s="282" t="s">
        <v>53</v>
      </c>
      <c r="C100" s="335">
        <v>-39.578699999999984</v>
      </c>
      <c r="D100" s="415">
        <f>IF(C$79=0,"N.D.",C100/C$79)</f>
        <v>-0.14442685251220475</v>
      </c>
      <c r="E100" s="381">
        <v>-30.964000000000048</v>
      </c>
      <c r="F100" s="415">
        <f>IF(E$79=0,"N.D.",E100/E$79)</f>
        <v>-0.11055018029918973</v>
      </c>
      <c r="G100" s="335">
        <v>-8.4850000000000136</v>
      </c>
      <c r="H100" s="415">
        <f t="shared" si="63"/>
        <v>-2.5865826929115179E-2</v>
      </c>
      <c r="I100" s="335">
        <v>-29.155000000000008</v>
      </c>
      <c r="J100" s="415">
        <f t="shared" si="64"/>
        <v>-9.9011750322624506E-2</v>
      </c>
      <c r="K100" s="335">
        <v>-26.818999999999999</v>
      </c>
      <c r="L100" s="415">
        <f t="shared" si="65"/>
        <v>-8.685303090166005E-2</v>
      </c>
      <c r="M100" s="335">
        <v>-26.216000000000001</v>
      </c>
      <c r="N100" s="415">
        <f t="shared" si="66"/>
        <v>-8.9005377804334845E-2</v>
      </c>
      <c r="O100" s="335">
        <v>-26.215639999999983</v>
      </c>
      <c r="P100" s="415">
        <f t="shared" si="67"/>
        <v>-8.9004116293201915E-2</v>
      </c>
      <c r="Q100" s="335">
        <v>-18.848280000000017</v>
      </c>
      <c r="R100" s="415">
        <f t="shared" si="68"/>
        <v>-6.228931648999899E-2</v>
      </c>
      <c r="S100" s="335">
        <v>-22.039670000000029</v>
      </c>
      <c r="T100" s="415">
        <f t="shared" si="69"/>
        <v>-7.806778765753894E-2</v>
      </c>
      <c r="U100" s="335">
        <v>-24.358000000000018</v>
      </c>
      <c r="V100" s="415">
        <f t="shared" si="70"/>
        <v>-8.4706978814561407E-2</v>
      </c>
      <c r="W100" s="335">
        <v>-27.098000000000013</v>
      </c>
      <c r="X100" s="415">
        <f t="shared" si="71"/>
        <v>-9.5249142342950399E-2</v>
      </c>
      <c r="Y100" s="335">
        <v>-4.8080000000000309</v>
      </c>
      <c r="Z100" s="415">
        <f t="shared" si="72"/>
        <v>-1.4965512089444554E-2</v>
      </c>
      <c r="AA100" s="335">
        <f t="shared" si="62"/>
        <v>-284.58529000000016</v>
      </c>
      <c r="AB100" s="178">
        <f t="shared" si="73"/>
        <v>-8.0103181721256494E-2</v>
      </c>
    </row>
    <row r="101" spans="2:28" ht="13" x14ac:dyDescent="0.3">
      <c r="B101" s="274" t="s">
        <v>122</v>
      </c>
      <c r="C101" s="335">
        <v>-36.845869999999984</v>
      </c>
      <c r="D101" s="415">
        <f t="shared" ref="D101:F107" si="74">IF(C$79=0,"N.D.",C101/C$79)</f>
        <v>-0.1344544674831126</v>
      </c>
      <c r="E101" s="381">
        <v>-29.70700000000005</v>
      </c>
      <c r="F101" s="415">
        <f t="shared" si="74"/>
        <v>-0.10606233710593042</v>
      </c>
      <c r="G101" s="335">
        <v>-6.2350000000000136</v>
      </c>
      <c r="H101" s="415">
        <f t="shared" si="63"/>
        <v>-1.9006886376315053E-2</v>
      </c>
      <c r="I101" s="335">
        <v>-26.40100000000001</v>
      </c>
      <c r="J101" s="415">
        <f t="shared" si="64"/>
        <v>-8.9659036881070478E-2</v>
      </c>
      <c r="K101" s="335">
        <v>-25.363</v>
      </c>
      <c r="L101" s="415">
        <f t="shared" si="65"/>
        <v>-8.2137791221104581E-2</v>
      </c>
      <c r="M101" s="335">
        <v>-26.798000000000002</v>
      </c>
      <c r="N101" s="415">
        <f t="shared" si="66"/>
        <v>-9.0981313487967855E-2</v>
      </c>
      <c r="O101" s="335">
        <v>-26.797619999999981</v>
      </c>
      <c r="P101" s="415">
        <f t="shared" si="67"/>
        <v>-9.0979983203196002E-2</v>
      </c>
      <c r="Q101" s="335">
        <v>-17.826370000000018</v>
      </c>
      <c r="R101" s="415">
        <f t="shared" si="68"/>
        <v>-5.8912134306038713E-2</v>
      </c>
      <c r="S101" s="335">
        <v>-19.707490000000028</v>
      </c>
      <c r="T101" s="415">
        <f t="shared" si="69"/>
        <v>-6.9806859385057582E-2</v>
      </c>
      <c r="U101" s="335">
        <v>-22.221000000000018</v>
      </c>
      <c r="V101" s="415">
        <f t="shared" si="70"/>
        <v>-7.7275382881943064E-2</v>
      </c>
      <c r="W101" s="335">
        <v>-26.131000000000014</v>
      </c>
      <c r="X101" s="415">
        <f t="shared" si="71"/>
        <v>-9.1850149035487369E-2</v>
      </c>
      <c r="Y101" s="335">
        <v>-3.4410000000000305</v>
      </c>
      <c r="Z101" s="415">
        <f t="shared" si="72"/>
        <v>-1.071055056151806E-2</v>
      </c>
      <c r="AA101" s="335">
        <f t="shared" si="62"/>
        <v>-267.47435000000019</v>
      </c>
      <c r="AB101" s="178">
        <f t="shared" si="73"/>
        <v>-7.5286907709899431E-2</v>
      </c>
    </row>
    <row r="102" spans="2:28" s="130" customFormat="1" ht="13" x14ac:dyDescent="0.3">
      <c r="B102" s="1" t="s">
        <v>194</v>
      </c>
      <c r="C102" s="373">
        <v>0</v>
      </c>
      <c r="D102" s="407">
        <f t="shared" si="74"/>
        <v>0</v>
      </c>
      <c r="E102" s="373">
        <v>0</v>
      </c>
      <c r="F102" s="407">
        <f t="shared" si="74"/>
        <v>0</v>
      </c>
      <c r="G102" s="373">
        <v>0</v>
      </c>
      <c r="H102" s="407">
        <f t="shared" si="63"/>
        <v>0</v>
      </c>
      <c r="I102" s="373">
        <v>0</v>
      </c>
      <c r="J102" s="407">
        <f t="shared" si="64"/>
        <v>0</v>
      </c>
      <c r="K102" s="373">
        <v>0</v>
      </c>
      <c r="L102" s="407">
        <f t="shared" si="65"/>
        <v>0</v>
      </c>
      <c r="M102" s="373">
        <v>0</v>
      </c>
      <c r="N102" s="407">
        <f t="shared" si="66"/>
        <v>0</v>
      </c>
      <c r="O102" s="373">
        <v>0</v>
      </c>
      <c r="P102" s="407">
        <f t="shared" si="67"/>
        <v>0</v>
      </c>
      <c r="Q102" s="373">
        <v>0</v>
      </c>
      <c r="R102" s="407">
        <f t="shared" si="68"/>
        <v>0</v>
      </c>
      <c r="S102" s="373">
        <v>0</v>
      </c>
      <c r="T102" s="407">
        <f t="shared" si="69"/>
        <v>0</v>
      </c>
      <c r="U102" s="373">
        <v>0</v>
      </c>
      <c r="V102" s="407">
        <f t="shared" si="70"/>
        <v>0</v>
      </c>
      <c r="W102" s="373">
        <v>0</v>
      </c>
      <c r="X102" s="407">
        <f t="shared" si="71"/>
        <v>0</v>
      </c>
      <c r="Y102" s="373">
        <v>0</v>
      </c>
      <c r="Z102" s="407">
        <f t="shared" si="72"/>
        <v>0</v>
      </c>
      <c r="AA102" s="373">
        <f t="shared" si="62"/>
        <v>0</v>
      </c>
      <c r="AB102" s="360">
        <f t="shared" si="73"/>
        <v>0</v>
      </c>
    </row>
    <row r="103" spans="2:28" s="130" customFormat="1" ht="13" x14ac:dyDescent="0.3">
      <c r="B103" s="1" t="s">
        <v>123</v>
      </c>
      <c r="C103" s="408">
        <v>0</v>
      </c>
      <c r="D103" s="409">
        <f t="shared" si="74"/>
        <v>0</v>
      </c>
      <c r="E103" s="408"/>
      <c r="F103" s="409">
        <f t="shared" si="74"/>
        <v>0</v>
      </c>
      <c r="G103" s="408"/>
      <c r="H103" s="409">
        <f t="shared" si="63"/>
        <v>0</v>
      </c>
      <c r="I103" s="408"/>
      <c r="J103" s="409">
        <f t="shared" si="64"/>
        <v>0</v>
      </c>
      <c r="K103" s="408"/>
      <c r="L103" s="409">
        <f t="shared" si="65"/>
        <v>0</v>
      </c>
      <c r="M103" s="408"/>
      <c r="N103" s="409">
        <f t="shared" si="66"/>
        <v>0</v>
      </c>
      <c r="O103" s="408"/>
      <c r="P103" s="409">
        <f t="shared" si="67"/>
        <v>0</v>
      </c>
      <c r="Q103" s="408">
        <v>0</v>
      </c>
      <c r="R103" s="409">
        <f t="shared" si="68"/>
        <v>0</v>
      </c>
      <c r="S103" s="408">
        <v>0</v>
      </c>
      <c r="T103" s="409">
        <f t="shared" si="69"/>
        <v>0</v>
      </c>
      <c r="U103" s="408">
        <v>0</v>
      </c>
      <c r="V103" s="409">
        <f t="shared" si="70"/>
        <v>0</v>
      </c>
      <c r="W103" s="408">
        <v>0</v>
      </c>
      <c r="X103" s="409">
        <f t="shared" si="71"/>
        <v>0</v>
      </c>
      <c r="Y103" s="408">
        <v>0</v>
      </c>
      <c r="Z103" s="409">
        <f t="shared" si="72"/>
        <v>0</v>
      </c>
      <c r="AA103" s="408">
        <f t="shared" si="62"/>
        <v>0</v>
      </c>
      <c r="AB103" s="361">
        <f t="shared" si="73"/>
        <v>0</v>
      </c>
    </row>
    <row r="104" spans="2:28" s="130" customFormat="1" ht="13" x14ac:dyDescent="0.3">
      <c r="B104" s="7" t="s">
        <v>190</v>
      </c>
      <c r="C104" s="410">
        <v>-37.715379999999982</v>
      </c>
      <c r="D104" s="409">
        <f t="shared" si="74"/>
        <v>-0.13762740122090306</v>
      </c>
      <c r="E104" s="410">
        <v>-29.101000000000049</v>
      </c>
      <c r="F104" s="409">
        <f t="shared" si="74"/>
        <v>-0.10389874683137582</v>
      </c>
      <c r="G104" s="410">
        <v>-6.6220000000000141</v>
      </c>
      <c r="H104" s="409">
        <f t="shared" si="63"/>
        <v>-2.0186624151396677E-2</v>
      </c>
      <c r="I104" s="410">
        <v>-27.292000000000009</v>
      </c>
      <c r="J104" s="409">
        <f t="shared" si="64"/>
        <v>-9.2684914759220305E-2</v>
      </c>
      <c r="K104" s="410">
        <v>-24.956</v>
      </c>
      <c r="L104" s="409">
        <f t="shared" si="65"/>
        <v>-8.0819726282927329E-2</v>
      </c>
      <c r="M104" s="410">
        <v>-24.353000000000002</v>
      </c>
      <c r="N104" s="409">
        <f t="shared" si="66"/>
        <v>-8.2680346569612706E-2</v>
      </c>
      <c r="O104" s="410">
        <v>-24.352319999999985</v>
      </c>
      <c r="P104" s="409">
        <f t="shared" si="67"/>
        <v>-8.2678001425456976E-2</v>
      </c>
      <c r="Q104" s="410">
        <v>-16.984960000000044</v>
      </c>
      <c r="R104" s="409">
        <f t="shared" si="68"/>
        <v>-5.6131463932516654E-2</v>
      </c>
      <c r="S104" s="410">
        <v>-20.176350000000006</v>
      </c>
      <c r="T104" s="409">
        <f t="shared" si="69"/>
        <v>-7.1467631207916632E-2</v>
      </c>
      <c r="U104" s="410">
        <v>-22.495000000000005</v>
      </c>
      <c r="V104" s="409">
        <f t="shared" si="70"/>
        <v>-7.8228240760060672E-2</v>
      </c>
      <c r="W104" s="410">
        <v>-25.234999999999999</v>
      </c>
      <c r="X104" s="409">
        <f t="shared" si="71"/>
        <v>-8.8700719869523659E-2</v>
      </c>
      <c r="Y104" s="410">
        <v>-2.9436200000000277</v>
      </c>
      <c r="Z104" s="409">
        <f t="shared" si="72"/>
        <v>-9.1623919918325525E-3</v>
      </c>
      <c r="AA104" s="410">
        <f t="shared" si="62"/>
        <v>-262.22663000000011</v>
      </c>
      <c r="AB104" s="361">
        <f t="shared" si="73"/>
        <v>-7.3809814256536904E-2</v>
      </c>
    </row>
    <row r="105" spans="2:28" s="130" customFormat="1" ht="13" x14ac:dyDescent="0.3">
      <c r="B105" s="7" t="s">
        <v>191</v>
      </c>
      <c r="C105" s="381">
        <v>1</v>
      </c>
      <c r="D105" s="411">
        <f t="shared" si="74"/>
        <v>3.6491055166593344E-3</v>
      </c>
      <c r="E105" s="381">
        <v>1.2558199999999999</v>
      </c>
      <c r="F105" s="411">
        <f t="shared" si="74"/>
        <v>4.4836302617015959E-3</v>
      </c>
      <c r="G105" s="381">
        <v>1.23739</v>
      </c>
      <c r="H105" s="411">
        <f t="shared" si="63"/>
        <v>3.772081978057487E-3</v>
      </c>
      <c r="I105" s="381">
        <v>1.17109</v>
      </c>
      <c r="J105" s="411">
        <f t="shared" si="64"/>
        <v>3.9770766827412892E-3</v>
      </c>
      <c r="K105" s="381">
        <v>1.2139500000000001</v>
      </c>
      <c r="L105" s="411">
        <f t="shared" si="65"/>
        <v>3.9313634685510359E-3</v>
      </c>
      <c r="M105" s="381">
        <v>1.1745699999999999</v>
      </c>
      <c r="N105" s="411">
        <f t="shared" si="66"/>
        <v>3.987757346949861E-3</v>
      </c>
      <c r="O105" s="381">
        <v>1.1745699999999999</v>
      </c>
      <c r="P105" s="411">
        <f t="shared" si="67"/>
        <v>3.987755586913241E-3</v>
      </c>
      <c r="Q105" s="381">
        <v>1</v>
      </c>
      <c r="R105" s="411">
        <f t="shared" si="68"/>
        <v>3.3047745730644352E-3</v>
      </c>
      <c r="S105" s="381">
        <v>1</v>
      </c>
      <c r="T105" s="411">
        <f t="shared" si="69"/>
        <v>3.5421486645461947E-3</v>
      </c>
      <c r="U105" s="381">
        <v>1</v>
      </c>
      <c r="V105" s="411">
        <f t="shared" si="70"/>
        <v>3.4775834967797578E-3</v>
      </c>
      <c r="W105" s="381">
        <v>1</v>
      </c>
      <c r="X105" s="411">
        <f t="shared" si="71"/>
        <v>3.5149879084415952E-3</v>
      </c>
      <c r="Y105" s="381">
        <v>1</v>
      </c>
      <c r="Z105" s="411">
        <f t="shared" si="72"/>
        <v>3.1126273064568341E-3</v>
      </c>
      <c r="AA105" s="381">
        <f t="shared" si="62"/>
        <v>13.22739</v>
      </c>
      <c r="AB105" s="151">
        <f t="shared" si="73"/>
        <v>3.7231580903845395E-3</v>
      </c>
    </row>
    <row r="106" spans="2:28" s="130" customFormat="1" ht="13" x14ac:dyDescent="0.3">
      <c r="B106" s="7" t="s">
        <v>84</v>
      </c>
      <c r="C106" s="381">
        <v>-38.715379999999982</v>
      </c>
      <c r="D106" s="411">
        <f t="shared" si="74"/>
        <v>-0.1412765067375624</v>
      </c>
      <c r="E106" s="381">
        <v>-30.356820000000049</v>
      </c>
      <c r="F106" s="411">
        <f t="shared" si="74"/>
        <v>-0.10838237709307741</v>
      </c>
      <c r="G106" s="381">
        <v>-7.8593900000000136</v>
      </c>
      <c r="H106" s="411">
        <f t="shared" si="63"/>
        <v>-2.3958706129454162E-2</v>
      </c>
      <c r="I106" s="381">
        <v>-28.463090000000008</v>
      </c>
      <c r="J106" s="411">
        <f t="shared" si="64"/>
        <v>-9.6661991441961595E-2</v>
      </c>
      <c r="K106" s="381">
        <v>-26.16995</v>
      </c>
      <c r="L106" s="411">
        <f t="shared" si="65"/>
        <v>-8.4751089751478367E-2</v>
      </c>
      <c r="M106" s="381">
        <v>-25.527570000000001</v>
      </c>
      <c r="N106" s="411">
        <f t="shared" si="66"/>
        <v>-8.6668103916562558E-2</v>
      </c>
      <c r="O106" s="381">
        <v>-25.526889999999984</v>
      </c>
      <c r="P106" s="411">
        <f t="shared" si="67"/>
        <v>-8.6665757012370212E-2</v>
      </c>
      <c r="Q106" s="381">
        <v>-17.984960000000044</v>
      </c>
      <c r="R106" s="411">
        <f t="shared" si="68"/>
        <v>-5.9436238505581086E-2</v>
      </c>
      <c r="S106" s="381">
        <v>-21.176350000000006</v>
      </c>
      <c r="T106" s="411">
        <f t="shared" si="69"/>
        <v>-7.5009779872462837E-2</v>
      </c>
      <c r="U106" s="381">
        <v>-23.495000000000005</v>
      </c>
      <c r="V106" s="411">
        <f t="shared" si="70"/>
        <v>-8.1705824256840434E-2</v>
      </c>
      <c r="W106" s="381">
        <v>-26.234999999999999</v>
      </c>
      <c r="X106" s="411">
        <f t="shared" si="71"/>
        <v>-9.2215707777965242E-2</v>
      </c>
      <c r="Y106" s="381">
        <v>-3.9436200000000277</v>
      </c>
      <c r="Z106" s="411">
        <f t="shared" si="72"/>
        <v>-1.2275019298289386E-2</v>
      </c>
      <c r="AA106" s="381">
        <f t="shared" si="62"/>
        <v>-275.45402000000013</v>
      </c>
      <c r="AB106" s="151">
        <f t="shared" si="73"/>
        <v>-7.7532972346921442E-2</v>
      </c>
    </row>
    <row r="107" spans="2:28" s="130" customFormat="1" ht="13" x14ac:dyDescent="0.3">
      <c r="B107" s="1" t="s">
        <v>193</v>
      </c>
      <c r="C107" s="412">
        <v>-37.715379999999982</v>
      </c>
      <c r="D107" s="411">
        <f t="shared" si="74"/>
        <v>-0.13762740122090306</v>
      </c>
      <c r="E107" s="412">
        <v>-23.172906945262895</v>
      </c>
      <c r="F107" s="411">
        <f t="shared" si="74"/>
        <v>-8.2733788943778419E-2</v>
      </c>
      <c r="G107" s="412">
        <v>-5.3515868077162532</v>
      </c>
      <c r="H107" s="411">
        <f t="shared" si="63"/>
        <v>-1.6313873678788966E-2</v>
      </c>
      <c r="I107" s="412">
        <v>-23.30478443159792</v>
      </c>
      <c r="J107" s="411">
        <f t="shared" si="64"/>
        <v>-7.9144143284649596E-2</v>
      </c>
      <c r="K107" s="412">
        <v>-20.557683594876227</v>
      </c>
      <c r="L107" s="411">
        <f t="shared" si="65"/>
        <v>-6.6575827903066293E-2</v>
      </c>
      <c r="M107" s="412">
        <v>-20.733545042015379</v>
      </c>
      <c r="N107" s="411">
        <f t="shared" si="66"/>
        <v>-7.0392012880980029E-2</v>
      </c>
      <c r="O107" s="412">
        <v>-20.732966106745437</v>
      </c>
      <c r="P107" s="411">
        <f t="shared" si="67"/>
        <v>-7.0390016282943529E-2</v>
      </c>
      <c r="Q107" s="412">
        <v>-16.984960000000044</v>
      </c>
      <c r="R107" s="411">
        <f t="shared" si="68"/>
        <v>-5.6131463932516654E-2</v>
      </c>
      <c r="S107" s="412">
        <v>-20.176350000000006</v>
      </c>
      <c r="T107" s="411">
        <f t="shared" si="69"/>
        <v>-7.1467631207916632E-2</v>
      </c>
      <c r="U107" s="412">
        <v>-22.495000000000005</v>
      </c>
      <c r="V107" s="411">
        <f t="shared" si="70"/>
        <v>-7.8228240760060672E-2</v>
      </c>
      <c r="W107" s="412">
        <v>-25.234999999999999</v>
      </c>
      <c r="X107" s="411">
        <f t="shared" si="71"/>
        <v>-8.8700719869523659E-2</v>
      </c>
      <c r="Y107" s="412">
        <v>-2.9436200000000277</v>
      </c>
      <c r="Z107" s="411">
        <f t="shared" si="72"/>
        <v>-9.1623919918325525E-3</v>
      </c>
      <c r="AA107" s="412">
        <f t="shared" si="62"/>
        <v>-239.40378292821416</v>
      </c>
      <c r="AB107" s="151">
        <f t="shared" si="73"/>
        <v>-6.738579049062926E-2</v>
      </c>
    </row>
    <row r="109" spans="2:28" ht="13" x14ac:dyDescent="0.3">
      <c r="B109" s="281" t="s">
        <v>342</v>
      </c>
      <c r="C109" s="396" t="str">
        <f>+C43</f>
        <v>Enero</v>
      </c>
      <c r="D109" s="397"/>
      <c r="E109" s="396" t="str">
        <f>+E43</f>
        <v>Febrero</v>
      </c>
      <c r="F109" s="397"/>
      <c r="G109" s="396" t="str">
        <f>+G43</f>
        <v>Marzo</v>
      </c>
      <c r="H109" s="397"/>
      <c r="I109" s="396" t="str">
        <f>+I43</f>
        <v>Abril</v>
      </c>
      <c r="J109" s="397"/>
      <c r="K109" s="396" t="str">
        <f>+K43</f>
        <v>Mayo</v>
      </c>
      <c r="L109" s="397"/>
      <c r="M109" s="396" t="str">
        <f>+M43</f>
        <v>Junio</v>
      </c>
      <c r="N109" s="397"/>
      <c r="O109" s="396" t="str">
        <f>+O43</f>
        <v>Julio</v>
      </c>
      <c r="P109" s="397"/>
      <c r="Q109" s="396" t="str">
        <f>+Q43</f>
        <v>Agosto</v>
      </c>
      <c r="R109" s="397"/>
      <c r="S109" s="396" t="str">
        <f>+S43</f>
        <v>Septiembre</v>
      </c>
      <c r="T109" s="397"/>
      <c r="U109" s="396" t="str">
        <f>+U43</f>
        <v>Octubre</v>
      </c>
      <c r="V109" s="397"/>
      <c r="W109" s="396" t="str">
        <f>+W43</f>
        <v>Noviembre</v>
      </c>
      <c r="X109" s="397"/>
      <c r="Y109" s="396" t="str">
        <f>+Y43</f>
        <v>Diciembre</v>
      </c>
      <c r="Z109" s="397"/>
      <c r="AA109" s="396" t="s">
        <v>218</v>
      </c>
      <c r="AB109" s="115"/>
    </row>
    <row r="110" spans="2:28" x14ac:dyDescent="0.25">
      <c r="B110" s="278" t="s">
        <v>38</v>
      </c>
      <c r="C110" s="398">
        <v>575.39280000000008</v>
      </c>
      <c r="D110" s="414">
        <f>IF(C$110=0,"N.D.",C110/C$110)</f>
        <v>1</v>
      </c>
      <c r="E110" s="398">
        <v>592.32500000000005</v>
      </c>
      <c r="F110" s="414">
        <f>IF(E$110=0,"N.D.",E110/E$110)</f>
        <v>1</v>
      </c>
      <c r="G110" s="398">
        <v>704.00900000000001</v>
      </c>
      <c r="H110" s="414">
        <f>IF(G$110=0,"N.D.",G110/G$110)</f>
        <v>1</v>
      </c>
      <c r="I110" s="398">
        <v>634.43899999999996</v>
      </c>
      <c r="J110" s="414">
        <f>IF(I$110=0,"N.D.",I110/I$110)</f>
        <v>1</v>
      </c>
      <c r="K110" s="398">
        <v>658.94100000000003</v>
      </c>
      <c r="L110" s="414">
        <f>IF(K$110=0,"N.D.",K110/K$110)</f>
        <v>1</v>
      </c>
      <c r="M110" s="398">
        <v>657.42</v>
      </c>
      <c r="N110" s="414">
        <f>IF(M$110=0,"N.D.",M110/M$110)</f>
        <v>1</v>
      </c>
      <c r="O110" s="398">
        <v>657.41998999999998</v>
      </c>
      <c r="P110" s="414">
        <f>IF(O$110=0,"N.D.",O110/O$110)</f>
        <v>1</v>
      </c>
      <c r="Q110" s="398">
        <v>664.33663000000001</v>
      </c>
      <c r="R110" s="414">
        <f>IF(Q$110=0,"N.D.",Q110/Q$110)</f>
        <v>1</v>
      </c>
      <c r="S110" s="398">
        <v>617.20121000000006</v>
      </c>
      <c r="T110" s="414">
        <f>IF(S$110=0,"N.D.",S110/S$110)</f>
        <v>1</v>
      </c>
      <c r="U110" s="398">
        <v>615.48400000000004</v>
      </c>
      <c r="V110" s="414">
        <f>IF(U$110=0,"N.D.",U110/U$110)</f>
        <v>1</v>
      </c>
      <c r="W110" s="398">
        <v>589.61800000000005</v>
      </c>
      <c r="X110" s="414">
        <f>IF(W$110=0,"N.D.",W110/W$110)</f>
        <v>1</v>
      </c>
      <c r="Y110" s="398">
        <v>619.06700000000001</v>
      </c>
      <c r="Z110" s="414">
        <f>IF(Y$110=0,"N.D.",Y110/Y$110)</f>
        <v>1</v>
      </c>
      <c r="AA110" s="398">
        <f>+Y110+W110+U110+S110+Q110+O110+M110+K110+I110+G110+E110+C110</f>
        <v>7585.6536299999989</v>
      </c>
      <c r="AB110" s="176">
        <f>IF(AA$110=0,"N.D.",AA110/AA$110)</f>
        <v>1</v>
      </c>
    </row>
    <row r="111" spans="2:28" x14ac:dyDescent="0.25">
      <c r="B111" s="278" t="s">
        <v>39</v>
      </c>
      <c r="C111" s="398">
        <v>392.57979999999998</v>
      </c>
      <c r="D111" s="414">
        <f>IF(C$110=0,"N.D.",C111/C$110)</f>
        <v>0.6822813910775386</v>
      </c>
      <c r="E111" s="398">
        <v>214.60300000000001</v>
      </c>
      <c r="F111" s="414">
        <f>IF(E$110=0,"N.D.",E111/E$110)</f>
        <v>0.36230616637825519</v>
      </c>
      <c r="G111" s="398">
        <v>246.81899999999999</v>
      </c>
      <c r="H111" s="414">
        <f>IF(G$110=0,"N.D.",G111/G$110)</f>
        <v>0.35059068847131214</v>
      </c>
      <c r="I111" s="398">
        <v>221.245</v>
      </c>
      <c r="J111" s="414">
        <f>IF(I$110=0,"N.D.",I111/I$110)</f>
        <v>0.34872540937741853</v>
      </c>
      <c r="K111" s="398">
        <v>234.102</v>
      </c>
      <c r="L111" s="414">
        <f>IF(K$110=0,"N.D.",K111/K$110)</f>
        <v>0.35527004693895203</v>
      </c>
      <c r="M111" s="398">
        <v>231.77500000000001</v>
      </c>
      <c r="N111" s="414">
        <f>IF(M$110=0,"N.D.",M111/M$110)</f>
        <v>0.3525524018131484</v>
      </c>
      <c r="O111" s="398">
        <v>231.77472</v>
      </c>
      <c r="P111" s="414">
        <f>IF(O$110=0,"N.D.",O111/O$110)</f>
        <v>0.35255198126847348</v>
      </c>
      <c r="Q111" s="398">
        <v>238.36032299999999</v>
      </c>
      <c r="R111" s="414">
        <f>IF(Q$110=0,"N.D.",Q111/Q$110)</f>
        <v>0.35879449097967092</v>
      </c>
      <c r="S111" s="398">
        <v>220.81745000000001</v>
      </c>
      <c r="T111" s="414">
        <f>IF(S$110=0,"N.D.",S111/S$110)</f>
        <v>0.35777222471744669</v>
      </c>
      <c r="U111" s="398">
        <v>223.45099999999999</v>
      </c>
      <c r="V111" s="414">
        <f>IF(U$110=0,"N.D.",U111/U$110)</f>
        <v>0.36304924254732857</v>
      </c>
      <c r="W111" s="398">
        <v>211.899</v>
      </c>
      <c r="X111" s="414">
        <f>IF(W$110=0,"N.D.",W111/W$110)</f>
        <v>0.3593835330671723</v>
      </c>
      <c r="Y111" s="398">
        <v>211.101</v>
      </c>
      <c r="Z111" s="414">
        <f>IF(Y$110=0,"N.D.",Y111/Y$110)</f>
        <v>0.34099863181206558</v>
      </c>
      <c r="AA111" s="398">
        <f t="shared" ref="AA111:AA138" si="75">+Y111+W111+U111+S111+Q111+O111+M111+K111+I111+G111+E111+C111</f>
        <v>2878.5272930000001</v>
      </c>
      <c r="AB111" s="176">
        <f>IF(AA$110=0,"N.D.",AA111/AA$110)</f>
        <v>0.37946990904197142</v>
      </c>
    </row>
    <row r="112" spans="2:28" x14ac:dyDescent="0.25">
      <c r="B112" s="278" t="s">
        <v>219</v>
      </c>
      <c r="C112" s="398"/>
      <c r="D112" s="414">
        <f>IF(C$110=0,"N.D.",C112/C$110)</f>
        <v>0</v>
      </c>
      <c r="E112" s="398">
        <v>0</v>
      </c>
      <c r="F112" s="414">
        <f>IF(E$110=0,"N.D.",E112/E$110)</f>
        <v>0</v>
      </c>
      <c r="G112" s="398">
        <v>0</v>
      </c>
      <c r="H112" s="414">
        <f>IF(G$110=0,"N.D.",G112/G$110)</f>
        <v>0</v>
      </c>
      <c r="I112" s="398">
        <v>0</v>
      </c>
      <c r="J112" s="414">
        <f>IF(I$110=0,"N.D.",I112/I$110)</f>
        <v>0</v>
      </c>
      <c r="K112" s="398">
        <v>0</v>
      </c>
      <c r="L112" s="414">
        <f>IF(K$110=0,"N.D.",K112/K$110)</f>
        <v>0</v>
      </c>
      <c r="M112" s="398">
        <v>0</v>
      </c>
      <c r="N112" s="414">
        <f>IF(M$110=0,"N.D.",M112/M$110)</f>
        <v>0</v>
      </c>
      <c r="O112" s="398">
        <v>0</v>
      </c>
      <c r="P112" s="414">
        <v>0.29126268468435834</v>
      </c>
      <c r="Q112" s="398"/>
      <c r="R112" s="414">
        <v>0.28612495746320654</v>
      </c>
      <c r="S112" s="398"/>
      <c r="T112" s="414">
        <f>IF(S$110=0,"N.D.",S112/S$110)</f>
        <v>0</v>
      </c>
      <c r="U112" s="398">
        <v>190.535</v>
      </c>
      <c r="V112" s="414">
        <f>IF(U$110=0,"N.D.",U112/U$110)</f>
        <v>0.30956937954520342</v>
      </c>
      <c r="W112" s="398">
        <v>185.04300000000001</v>
      </c>
      <c r="X112" s="414">
        <f>IF(W$110=0,"N.D.",W112/W$110)</f>
        <v>0.31383539851225706</v>
      </c>
      <c r="Y112" s="398">
        <v>188.49799999999999</v>
      </c>
      <c r="Z112" s="414">
        <f>IF(Y$110=0,"N.D.",Y112/Y$110)</f>
        <v>0.30448723643805919</v>
      </c>
      <c r="AA112" s="398"/>
      <c r="AB112" s="176">
        <f>IF(AA$110=0,"N.D.",AA112/AA$110)</f>
        <v>0</v>
      </c>
    </row>
    <row r="113" spans="2:28" ht="13" x14ac:dyDescent="0.3">
      <c r="B113" s="278" t="s">
        <v>40</v>
      </c>
      <c r="C113" s="335">
        <v>182.81300000000005</v>
      </c>
      <c r="D113" s="415">
        <f>IF(C$110=0,"N.D.",C113/C$110)</f>
        <v>0.31771860892246134</v>
      </c>
      <c r="E113" s="335">
        <v>377.72200000000004</v>
      </c>
      <c r="F113" s="415">
        <f>IF(E$110=0,"N.D.",E113/E$110)</f>
        <v>0.63769383362174481</v>
      </c>
      <c r="G113" s="335">
        <v>457.19000000000005</v>
      </c>
      <c r="H113" s="415">
        <f>IF(G$110=0,"N.D.",G113/G$110)</f>
        <v>0.64940931152868786</v>
      </c>
      <c r="I113" s="335">
        <v>413.19399999999996</v>
      </c>
      <c r="J113" s="415">
        <f>IF(I$110=0,"N.D.",I113/I$110)</f>
        <v>0.65127459062258153</v>
      </c>
      <c r="K113" s="335">
        <v>424.83900000000006</v>
      </c>
      <c r="L113" s="415">
        <f>IF(K$110=0,"N.D.",K113/K$110)</f>
        <v>0.64472995306104797</v>
      </c>
      <c r="M113" s="335">
        <v>425.64499999999998</v>
      </c>
      <c r="N113" s="415">
        <f>IF(M$110=0,"N.D.",M113/M$110)</f>
        <v>0.6474475981868516</v>
      </c>
      <c r="O113" s="335">
        <v>425.64526999999998</v>
      </c>
      <c r="P113" s="415">
        <f>IF(O$110=0,"N.D.",O113/O$110)</f>
        <v>0.64744801873152658</v>
      </c>
      <c r="Q113" s="335">
        <v>235.89301700000004</v>
      </c>
      <c r="R113" s="415">
        <f>IF(Q$110=0,"N.D.",Q113/Q$110)</f>
        <v>0.35508055155712254</v>
      </c>
      <c r="S113" s="335">
        <v>214.16144000000006</v>
      </c>
      <c r="T113" s="415">
        <f>IF(S$110=0,"N.D.",S113/S$110)</f>
        <v>0.34698804300788721</v>
      </c>
      <c r="U113" s="335">
        <v>201.49800000000002</v>
      </c>
      <c r="V113" s="415">
        <f>IF(U$110=0,"N.D.",U113/U$110)</f>
        <v>0.32738137790746796</v>
      </c>
      <c r="W113" s="335">
        <v>192.67600000000004</v>
      </c>
      <c r="X113" s="415">
        <f>IF(W$110=0,"N.D.",W113/W$110)</f>
        <v>0.32678106842057064</v>
      </c>
      <c r="Y113" s="335">
        <v>219.46800000000002</v>
      </c>
      <c r="Z113" s="415">
        <f>IF(Y$110=0,"N.D.",Y113/Y$110)</f>
        <v>0.35451413174987523</v>
      </c>
      <c r="AA113" s="335">
        <f t="shared" si="75"/>
        <v>3770.7447270000007</v>
      </c>
      <c r="AB113" s="178">
        <f>IF(AA$110=0,"N.D.",AA113/AA$110)</f>
        <v>0.49708896700573463</v>
      </c>
    </row>
    <row r="114" spans="2:28" x14ac:dyDescent="0.25">
      <c r="B114" s="278"/>
      <c r="C114" s="403"/>
      <c r="D114" s="416"/>
      <c r="E114" s="403"/>
      <c r="F114" s="416"/>
      <c r="G114" s="403"/>
      <c r="H114" s="416"/>
      <c r="I114" s="403"/>
      <c r="J114" s="416"/>
      <c r="K114" s="403"/>
      <c r="L114" s="416"/>
      <c r="M114" s="403"/>
      <c r="N114" s="416"/>
      <c r="O114" s="403"/>
      <c r="P114" s="416"/>
      <c r="Q114" s="403"/>
      <c r="R114" s="416"/>
      <c r="S114" s="403"/>
      <c r="T114" s="416"/>
      <c r="U114" s="403"/>
      <c r="V114" s="416"/>
      <c r="W114" s="403"/>
      <c r="X114" s="416"/>
      <c r="Y114" s="403"/>
      <c r="Z114" s="416"/>
      <c r="AA114" s="403"/>
      <c r="AB114" s="180"/>
    </row>
    <row r="115" spans="2:28" x14ac:dyDescent="0.25">
      <c r="B115" s="278" t="s">
        <v>41</v>
      </c>
      <c r="C115" s="400">
        <v>185.33108000000001</v>
      </c>
      <c r="D115" s="417">
        <f>IF(C$110=0,"N.D.",C115/C$110)</f>
        <v>0.32209488891762289</v>
      </c>
      <c r="E115" s="400">
        <v>372.38200000000001</v>
      </c>
      <c r="F115" s="417">
        <f>IF(E$110=0,"N.D.",E115/E$110)</f>
        <v>0.62867851264086438</v>
      </c>
      <c r="G115" s="400">
        <v>400.67</v>
      </c>
      <c r="H115" s="417">
        <f>IF(G$110=0,"N.D.",G115/G$110)</f>
        <v>0.56912624696559277</v>
      </c>
      <c r="I115" s="400">
        <v>375.45400000000001</v>
      </c>
      <c r="J115" s="417">
        <v>0.58220658594117658</v>
      </c>
      <c r="K115" s="400">
        <v>394.54599999999999</v>
      </c>
      <c r="L115" s="417">
        <v>0.58933579461456165</v>
      </c>
      <c r="M115" s="400">
        <v>400.04599999999999</v>
      </c>
      <c r="N115" s="417">
        <f>IF(M$110=0,"N.D.",M115/M$110)</f>
        <v>0.60850902010891061</v>
      </c>
      <c r="O115" s="400">
        <v>400.04596000000004</v>
      </c>
      <c r="P115" s="417">
        <v>0.60179845141924371</v>
      </c>
      <c r="Q115" s="400">
        <v>393.69508999999994</v>
      </c>
      <c r="R115" s="417">
        <v>0.59261385301003189</v>
      </c>
      <c r="S115" s="400">
        <v>374.47988999999995</v>
      </c>
      <c r="T115" s="417">
        <f>IF(S$110=0,"N.D.",S115/S$110)</f>
        <v>0.60673874894056012</v>
      </c>
      <c r="U115" s="400">
        <v>193.91800000000001</v>
      </c>
      <c r="V115" s="417">
        <f>IF(U$110=0,"N.D.",U115/U$110)</f>
        <v>0.31506586686250171</v>
      </c>
      <c r="W115" s="400">
        <v>200.76599999999999</v>
      </c>
      <c r="X115" s="417">
        <f>IF(W$110=0,"N.D.",W115/W$110)</f>
        <v>0.34050181643029892</v>
      </c>
      <c r="Y115" s="400">
        <v>205.02199999999999</v>
      </c>
      <c r="Z115" s="417">
        <f>IF(Y$110=0,"N.D.",Y115/Y$110)</f>
        <v>0.33117901616464773</v>
      </c>
      <c r="AA115" s="400">
        <f t="shared" si="75"/>
        <v>3896.3560199999997</v>
      </c>
      <c r="AB115" s="182">
        <f>IF(AA$110=0,"N.D.",AA115/AA$110)</f>
        <v>0.51364802692685041</v>
      </c>
    </row>
    <row r="116" spans="2:28" x14ac:dyDescent="0.25">
      <c r="B116" s="278" t="s">
        <v>42</v>
      </c>
      <c r="C116" s="398">
        <v>23.71209</v>
      </c>
      <c r="D116" s="414">
        <f>IF(C$110=0,"N.D.",C116/C$110)</f>
        <v>4.1210265404780864E-2</v>
      </c>
      <c r="E116" s="398">
        <v>21.039000000000001</v>
      </c>
      <c r="F116" s="414">
        <f>IF(E$110=0,"N.D.",E116/E$110)</f>
        <v>3.5519351707255307E-2</v>
      </c>
      <c r="G116" s="398">
        <v>17.097000000000001</v>
      </c>
      <c r="H116" s="414">
        <f>IF(G$110=0,"N.D.",G116/G$110)</f>
        <v>2.4285200899420323E-2</v>
      </c>
      <c r="I116" s="398">
        <v>22.446999999999999</v>
      </c>
      <c r="J116" s="414">
        <f>IF(I$110=0,"N.D.",I116/I$110)</f>
        <v>3.5380864038938337E-2</v>
      </c>
      <c r="K116" s="398">
        <v>24.567</v>
      </c>
      <c r="L116" s="414">
        <f>IF(K$110=0,"N.D.",K116/K$110)</f>
        <v>3.7282548816965404E-2</v>
      </c>
      <c r="M116" s="398">
        <v>23.498999999999999</v>
      </c>
      <c r="N116" s="414">
        <f>IF(M$110=0,"N.D.",M116/M$110)</f>
        <v>3.5744273067445466E-2</v>
      </c>
      <c r="O116" s="398">
        <v>23.49888</v>
      </c>
      <c r="P116" s="414">
        <f>IF(O$110=0,"N.D.",O116/O$110)</f>
        <v>3.5744091079433105E-2</v>
      </c>
      <c r="Q116" s="398">
        <v>24.426749999999998</v>
      </c>
      <c r="R116" s="414">
        <f>IF(Q$110=0,"N.D.",Q116/Q$110)</f>
        <v>3.676863339599383E-2</v>
      </c>
      <c r="S116" s="398">
        <v>17.489470000000001</v>
      </c>
      <c r="T116" s="414">
        <f>IF(S$110=0,"N.D.",S116/S$110)</f>
        <v>2.833673965091546E-2</v>
      </c>
      <c r="U116" s="398">
        <v>17.922000000000001</v>
      </c>
      <c r="V116" s="414">
        <f>IF(U$110=0,"N.D.",U116/U$110)</f>
        <v>2.9118547354602231E-2</v>
      </c>
      <c r="W116" s="398">
        <v>19.196000000000002</v>
      </c>
      <c r="X116" s="414">
        <f>IF(W$110=0,"N.D.",W116/W$110)</f>
        <v>3.2556672286124237E-2</v>
      </c>
      <c r="Y116" s="398">
        <v>14.943</v>
      </c>
      <c r="Z116" s="414">
        <f>IF(Y$110=0,"N.D.",Y116/Y$110)</f>
        <v>2.4137936604600146E-2</v>
      </c>
      <c r="AA116" s="398">
        <f t="shared" si="75"/>
        <v>249.83719000000002</v>
      </c>
      <c r="AB116" s="176">
        <f>IF(AA$110=0,"N.D.",AA116/AA$110)</f>
        <v>3.2935486140829771E-2</v>
      </c>
    </row>
    <row r="117" spans="2:28" x14ac:dyDescent="0.25">
      <c r="B117" s="278" t="s">
        <v>43</v>
      </c>
      <c r="C117" s="398">
        <v>2.8382100000000001</v>
      </c>
      <c r="D117" s="414">
        <f>IF(C$110=0,"N.D.",C117/C$110)</f>
        <v>4.9326477495025998E-3</v>
      </c>
      <c r="E117" s="398">
        <v>2.8380000000000001</v>
      </c>
      <c r="F117" s="414">
        <f>IF(E$110=0,"N.D.",E117/E$110)</f>
        <v>4.7912885662431941E-3</v>
      </c>
      <c r="G117" s="398">
        <v>2.8380000000000001</v>
      </c>
      <c r="H117" s="414">
        <f>IF(G$110=0,"N.D.",G117/G$110)</f>
        <v>4.0311984647923536E-3</v>
      </c>
      <c r="I117" s="398">
        <v>2.8380000000000001</v>
      </c>
      <c r="J117" s="414">
        <f>IF(I$110=0,"N.D.",I117/I$110)</f>
        <v>4.4732432905291138E-3</v>
      </c>
      <c r="K117" s="398">
        <v>2.8380000000000001</v>
      </c>
      <c r="L117" s="414">
        <f>IF(K$110=0,"N.D.",K117/K$110)</f>
        <v>4.3069106338807263E-3</v>
      </c>
      <c r="M117" s="398">
        <v>2.8380000000000001</v>
      </c>
      <c r="N117" s="414">
        <f>IF(M$110=0,"N.D.",M117/M$110)</f>
        <v>4.3168750570411613E-3</v>
      </c>
      <c r="O117" s="398">
        <v>2.8382100000000001</v>
      </c>
      <c r="P117" s="414">
        <f>IF(O$110=0,"N.D.",O117/O$110)</f>
        <v>4.3171945532109544E-3</v>
      </c>
      <c r="Q117" s="398">
        <v>2.8382100000000001</v>
      </c>
      <c r="R117" s="414">
        <f>IF(Q$110=0,"N.D.",Q117/Q$110)</f>
        <v>4.2722467373205062E-3</v>
      </c>
      <c r="S117" s="398">
        <v>2.8382100000000001</v>
      </c>
      <c r="T117" s="414">
        <f>IF(S$110=0,"N.D.",S117/S$110)</f>
        <v>4.5985165842432488E-3</v>
      </c>
      <c r="U117" s="398">
        <v>2.8380000000000001</v>
      </c>
      <c r="V117" s="414">
        <f>IF(U$110=0,"N.D.",U117/U$110)</f>
        <v>4.6110053226403932E-3</v>
      </c>
      <c r="W117" s="398">
        <v>2.8380000000000001</v>
      </c>
      <c r="X117" s="414">
        <f>IF(W$110=0,"N.D.",W117/W$110)</f>
        <v>4.8132858901865274E-3</v>
      </c>
      <c r="Y117" s="398">
        <v>2.8380000000000001</v>
      </c>
      <c r="Z117" s="414">
        <f>IF(Y$110=0,"N.D.",Y117/Y$110)</f>
        <v>4.5843180140437145E-3</v>
      </c>
      <c r="AA117" s="398">
        <f t="shared" si="75"/>
        <v>34.056840000000008</v>
      </c>
      <c r="AB117" s="176">
        <f>IF(AA$110=0,"N.D.",AA117/AA$110)</f>
        <v>4.4896381592366506E-3</v>
      </c>
    </row>
    <row r="118" spans="2:28" ht="13" x14ac:dyDescent="0.3">
      <c r="B118" s="278" t="s">
        <v>44</v>
      </c>
      <c r="C118" s="335">
        <v>211.88138000000001</v>
      </c>
      <c r="D118" s="415">
        <f>IF(C$110=0,"N.D.",C118/C$110)</f>
        <v>0.36823780207190632</v>
      </c>
      <c r="E118" s="335">
        <v>396.25900000000001</v>
      </c>
      <c r="F118" s="415">
        <f>IF(E$110=0,"N.D.",E118/E$110)</f>
        <v>0.66898915291436289</v>
      </c>
      <c r="G118" s="335">
        <v>420.60500000000002</v>
      </c>
      <c r="H118" s="415">
        <f>IF(G$110=0,"N.D.",G118/G$110)</f>
        <v>0.59744264632980548</v>
      </c>
      <c r="I118" s="335">
        <v>400.73900000000003</v>
      </c>
      <c r="J118" s="415">
        <f>IF(I$110=0,"N.D.",I118/I$110)</f>
        <v>0.63164307364459005</v>
      </c>
      <c r="K118" s="335">
        <v>421.95100000000002</v>
      </c>
      <c r="L118" s="415">
        <f>IF(K$110=0,"N.D.",K118/K$110)</f>
        <v>0.64034716309957951</v>
      </c>
      <c r="M118" s="335">
        <v>426.38300000000004</v>
      </c>
      <c r="N118" s="415">
        <f>IF(M$110=0,"N.D.",M118/M$110)</f>
        <v>0.6485701682333973</v>
      </c>
      <c r="O118" s="335">
        <v>426.38305000000003</v>
      </c>
      <c r="P118" s="415">
        <f>IF(O$110=0,"N.D.",O118/O$110)</f>
        <v>0.6485702541536652</v>
      </c>
      <c r="Q118" s="335">
        <v>230.87675999999999</v>
      </c>
      <c r="R118" s="415">
        <f>IF(Q$110=0,"N.D.",Q118/Q$110)</f>
        <v>0.34752977568013971</v>
      </c>
      <c r="S118" s="335">
        <v>212.58524999999997</v>
      </c>
      <c r="T118" s="415">
        <f>IF(S$110=0,"N.D.",S118/S$110)</f>
        <v>0.34443427290105272</v>
      </c>
      <c r="U118" s="335">
        <v>214.678</v>
      </c>
      <c r="V118" s="415">
        <f>IF(U$110=0,"N.D.",U118/U$110)</f>
        <v>0.3487954195397443</v>
      </c>
      <c r="W118" s="335">
        <v>222.79999999999998</v>
      </c>
      <c r="X118" s="415">
        <f>IF(W$110=0,"N.D.",W118/W$110)</f>
        <v>0.37787177460660965</v>
      </c>
      <c r="Y118" s="335">
        <v>222.803</v>
      </c>
      <c r="Z118" s="415">
        <f>IF(Y$110=0,"N.D.",Y118/Y$110)</f>
        <v>0.35990127078329165</v>
      </c>
      <c r="AA118" s="335">
        <f t="shared" si="75"/>
        <v>3807.9444400000002</v>
      </c>
      <c r="AB118" s="178">
        <f>IF(AA$110=0,"N.D.",AA118/AA$110)</f>
        <v>0.50199292318597477</v>
      </c>
    </row>
    <row r="119" spans="2:28" ht="13" x14ac:dyDescent="0.3">
      <c r="B119" s="278" t="s">
        <v>45</v>
      </c>
      <c r="C119" s="335">
        <v>-29.068379999999948</v>
      </c>
      <c r="D119" s="415">
        <f>IF(C$110=0,"N.D.",C119/C$110)</f>
        <v>-5.0519193149444939E-2</v>
      </c>
      <c r="E119" s="335">
        <v>-18.536999999999978</v>
      </c>
      <c r="F119" s="415">
        <f>IF(E$110=0,"N.D.",E119/E$110)</f>
        <v>-3.1295319292618036E-2</v>
      </c>
      <c r="G119" s="335">
        <v>36.585000000000036</v>
      </c>
      <c r="H119" s="415">
        <f>IF(G$110=0,"N.D.",G119/G$110)</f>
        <v>5.1966665198882454E-2</v>
      </c>
      <c r="I119" s="335">
        <v>12.454999999999927</v>
      </c>
      <c r="J119" s="415">
        <f>IF(I$110=0,"N.D.",I119/I$110)</f>
        <v>1.9631516977991467E-2</v>
      </c>
      <c r="K119" s="335">
        <v>2.8880000000000337</v>
      </c>
      <c r="L119" s="415">
        <f>IF(K$110=0,"N.D.",K119/K$110)</f>
        <v>4.3827899614685287E-3</v>
      </c>
      <c r="M119" s="335">
        <v>-0.73800000000005639</v>
      </c>
      <c r="N119" s="415">
        <f>IF(M$110=0,"N.D.",M119/M$110)</f>
        <v>-1.1225700465456732E-3</v>
      </c>
      <c r="O119" s="335">
        <v>-0.7377800000000434</v>
      </c>
      <c r="P119" s="415">
        <f>IF(O$110=0,"N.D.",O119/O$110)</f>
        <v>-1.1222354221386596E-3</v>
      </c>
      <c r="Q119" s="335">
        <v>5.0162570000000706</v>
      </c>
      <c r="R119" s="415">
        <f>IF(Q$110=0,"N.D.",Q119/Q$110)</f>
        <v>7.5507758769828336E-3</v>
      </c>
      <c r="S119" s="335">
        <v>1.5761900000000897</v>
      </c>
      <c r="T119" s="415">
        <f>IF(S$110=0,"N.D.",S119/S$110)</f>
        <v>2.5537701068345112E-3</v>
      </c>
      <c r="U119" s="335">
        <v>-13.179999999999978</v>
      </c>
      <c r="V119" s="415">
        <f>IF(U$110=0,"N.D.",U119/U$110)</f>
        <v>-2.1414041632276351E-2</v>
      </c>
      <c r="W119" s="335">
        <v>-30.123999999999938</v>
      </c>
      <c r="X119" s="415">
        <f>IF(W$110=0,"N.D.",W119/W$110)</f>
        <v>-5.1090706186038989E-2</v>
      </c>
      <c r="Y119" s="335">
        <v>-3.3349999999999795</v>
      </c>
      <c r="Z119" s="415">
        <f>IF(Y$110=0,"N.D.",Y119/Y$110)</f>
        <v>-5.3871390334163825E-3</v>
      </c>
      <c r="AA119" s="335">
        <f t="shared" si="75"/>
        <v>-37.199712999999761</v>
      </c>
      <c r="AB119" s="178">
        <f>IF(AA$110=0,"N.D.",AA119/AA$110)</f>
        <v>-4.9039561802401684E-3</v>
      </c>
    </row>
    <row r="120" spans="2:28" x14ac:dyDescent="0.25">
      <c r="C120" s="403"/>
      <c r="D120" s="416"/>
      <c r="E120" s="403"/>
      <c r="F120" s="416"/>
      <c r="G120" s="403"/>
      <c r="H120" s="416"/>
      <c r="I120" s="403"/>
      <c r="J120" s="416"/>
      <c r="K120" s="403"/>
      <c r="L120" s="416"/>
      <c r="M120" s="403"/>
      <c r="N120" s="416"/>
      <c r="O120" s="403"/>
      <c r="P120" s="416"/>
      <c r="Q120" s="403"/>
      <c r="R120" s="416"/>
      <c r="S120" s="403"/>
      <c r="T120" s="416"/>
      <c r="U120" s="403"/>
      <c r="V120" s="416"/>
      <c r="W120" s="403"/>
      <c r="X120" s="416"/>
      <c r="Y120" s="403"/>
      <c r="Z120" s="416"/>
      <c r="AA120" s="403"/>
      <c r="AB120" s="180"/>
    </row>
    <row r="121" spans="2:28" x14ac:dyDescent="0.25">
      <c r="B121" s="278"/>
      <c r="C121" s="400">
        <v>0</v>
      </c>
      <c r="D121" s="417">
        <f t="shared" ref="D121:D127" si="76">IF(C$110=0,"N.D.",C121/C$110)</f>
        <v>0</v>
      </c>
      <c r="E121" s="400">
        <v>0</v>
      </c>
      <c r="F121" s="417">
        <f t="shared" ref="F121:F127" si="77">IF(E$110=0,"N.D.",E121/E$110)</f>
        <v>0</v>
      </c>
      <c r="G121" s="400">
        <v>0</v>
      </c>
      <c r="H121" s="417">
        <f t="shared" ref="H121:H127" si="78">IF(G$110=0,"N.D.",G121/G$110)</f>
        <v>0</v>
      </c>
      <c r="I121" s="400">
        <v>0</v>
      </c>
      <c r="J121" s="417">
        <f t="shared" ref="J121:J127" si="79">IF(I$110=0,"N.D.",I121/I$110)</f>
        <v>0</v>
      </c>
      <c r="K121" s="400">
        <v>0</v>
      </c>
      <c r="L121" s="417">
        <f t="shared" ref="L121:L127" si="80">IF(K$110=0,"N.D.",K121/K$110)</f>
        <v>0</v>
      </c>
      <c r="M121" s="400">
        <v>0</v>
      </c>
      <c r="N121" s="417">
        <f t="shared" ref="N121:N127" si="81">IF(M$110=0,"N.D.",M121/M$110)</f>
        <v>0</v>
      </c>
      <c r="O121" s="400">
        <v>0</v>
      </c>
      <c r="P121" s="417">
        <f t="shared" ref="P121:P127" si="82">IF(O$110=0,"N.D.",O121/O$110)</f>
        <v>0</v>
      </c>
      <c r="Q121" s="400">
        <v>0</v>
      </c>
      <c r="R121" s="417">
        <f t="shared" ref="R121:R127" si="83">IF(Q$110=0,"N.D.",Q121/Q$110)</f>
        <v>0</v>
      </c>
      <c r="S121" s="400">
        <v>0</v>
      </c>
      <c r="T121" s="417">
        <f t="shared" ref="T121:T127" si="84">IF(S$110=0,"N.D.",S121/S$110)</f>
        <v>0</v>
      </c>
      <c r="U121" s="400">
        <v>0</v>
      </c>
      <c r="V121" s="417">
        <f t="shared" ref="V121:V127" si="85">IF(U$110=0,"N.D.",U121/U$110)</f>
        <v>0</v>
      </c>
      <c r="W121" s="400">
        <v>0</v>
      </c>
      <c r="X121" s="417">
        <f t="shared" ref="X121:X127" si="86">IF(W$110=0,"N.D.",W121/W$110)</f>
        <v>0</v>
      </c>
      <c r="Y121" s="400">
        <v>0</v>
      </c>
      <c r="Z121" s="417">
        <f t="shared" ref="Z121:Z127" si="87">IF(Y$110=0,"N.D.",Y121/Y$110)</f>
        <v>0</v>
      </c>
      <c r="AA121" s="400">
        <f t="shared" si="75"/>
        <v>0</v>
      </c>
      <c r="AB121" s="182">
        <f t="shared" ref="AB121:AB127" si="88">IF(AA$110=0,"N.D.",AA121/AA$110)</f>
        <v>0</v>
      </c>
    </row>
    <row r="122" spans="2:28" x14ac:dyDescent="0.25">
      <c r="B122" s="278" t="s">
        <v>52</v>
      </c>
      <c r="C122" s="398">
        <v>-0.98956</v>
      </c>
      <c r="D122" s="414">
        <f t="shared" si="76"/>
        <v>-1.7197990659598103E-3</v>
      </c>
      <c r="E122" s="398">
        <v>-2</v>
      </c>
      <c r="F122" s="414">
        <f t="shared" si="77"/>
        <v>-3.3765247119402352E-3</v>
      </c>
      <c r="G122" s="398">
        <v>-0.92200000000000004</v>
      </c>
      <c r="H122" s="414">
        <f t="shared" si="78"/>
        <v>-1.3096423483222517E-3</v>
      </c>
      <c r="I122" s="398">
        <v>-1.5660000000000001</v>
      </c>
      <c r="J122" s="414">
        <f t="shared" si="79"/>
        <v>-2.468322407670399E-3</v>
      </c>
      <c r="K122" s="398">
        <v>-1.9850000000000001</v>
      </c>
      <c r="L122" s="414">
        <f t="shared" si="80"/>
        <v>-3.0124093052337009E-3</v>
      </c>
      <c r="M122" s="398">
        <v>-1.0169999999999999</v>
      </c>
      <c r="N122" s="414">
        <f t="shared" si="81"/>
        <v>-1.5469562836542849E-3</v>
      </c>
      <c r="O122" s="398">
        <v>-1.01728</v>
      </c>
      <c r="P122" s="414">
        <f t="shared" si="82"/>
        <v>-1.5473822145262118E-3</v>
      </c>
      <c r="Q122" s="398">
        <v>-2.66655</v>
      </c>
      <c r="R122" s="414">
        <f t="shared" si="83"/>
        <v>-4.0138536392310626E-3</v>
      </c>
      <c r="S122" s="398">
        <v>-1.2646700000000002</v>
      </c>
      <c r="T122" s="414">
        <f t="shared" si="84"/>
        <v>-2.0490400529188852E-3</v>
      </c>
      <c r="U122" s="398">
        <v>-0.80100000000000005</v>
      </c>
      <c r="V122" s="414">
        <f t="shared" si="85"/>
        <v>-1.3014148215063268E-3</v>
      </c>
      <c r="W122" s="398">
        <v>-2.4209999999999998</v>
      </c>
      <c r="X122" s="414">
        <f t="shared" si="86"/>
        <v>-4.1060483228123968E-3</v>
      </c>
      <c r="Y122" s="398">
        <v>-1.155</v>
      </c>
      <c r="Z122" s="414">
        <f t="shared" si="87"/>
        <v>-1.8657108196689534E-3</v>
      </c>
      <c r="AA122" s="398">
        <f t="shared" si="75"/>
        <v>-17.805060000000001</v>
      </c>
      <c r="AB122" s="176">
        <f t="shared" si="88"/>
        <v>-2.3472018191792927E-3</v>
      </c>
    </row>
    <row r="123" spans="2:28" x14ac:dyDescent="0.25">
      <c r="B123" s="278" t="s">
        <v>46</v>
      </c>
      <c r="C123" s="398">
        <v>18.486139999999999</v>
      </c>
      <c r="D123" s="414">
        <f t="shared" si="76"/>
        <v>3.2127861175878451E-2</v>
      </c>
      <c r="E123" s="398">
        <v>17.105</v>
      </c>
      <c r="F123" s="414">
        <f t="shared" si="77"/>
        <v>2.8877727598868863E-2</v>
      </c>
      <c r="G123" s="398">
        <v>16.664000000000001</v>
      </c>
      <c r="H123" s="414">
        <f t="shared" si="78"/>
        <v>2.3670151944080262E-2</v>
      </c>
      <c r="I123" s="398">
        <v>18.925999999999998</v>
      </c>
      <c r="J123" s="414">
        <f t="shared" si="79"/>
        <v>2.9831079110836503E-2</v>
      </c>
      <c r="K123" s="398">
        <v>18.292000000000002</v>
      </c>
      <c r="L123" s="414">
        <f t="shared" si="80"/>
        <v>2.7759693204702698E-2</v>
      </c>
      <c r="M123" s="398">
        <v>18.568999999999999</v>
      </c>
      <c r="N123" s="414">
        <f t="shared" si="81"/>
        <v>2.8245261780901098E-2</v>
      </c>
      <c r="O123" s="398">
        <v>18.568919999999999</v>
      </c>
      <c r="P123" s="414">
        <f t="shared" si="82"/>
        <v>2.8245140522727336E-2</v>
      </c>
      <c r="Q123" s="398">
        <v>17.215580000000003</v>
      </c>
      <c r="R123" s="414">
        <f t="shared" si="83"/>
        <v>2.5913940647830907E-2</v>
      </c>
      <c r="S123" s="398">
        <v>19.248900000000003</v>
      </c>
      <c r="T123" s="414">
        <f t="shared" si="84"/>
        <v>3.1187398352637709E-2</v>
      </c>
      <c r="U123" s="398">
        <v>19.321000000000002</v>
      </c>
      <c r="V123" s="414">
        <f t="shared" si="85"/>
        <v>3.1391555263824894E-2</v>
      </c>
      <c r="W123" s="398">
        <v>19.585000000000001</v>
      </c>
      <c r="X123" s="414">
        <f t="shared" si="86"/>
        <v>3.3216421479669883E-2</v>
      </c>
      <c r="Y123" s="398">
        <v>18.943999999999999</v>
      </c>
      <c r="Z123" s="414">
        <f t="shared" si="87"/>
        <v>3.0600888110656841E-2</v>
      </c>
      <c r="AA123" s="398">
        <f t="shared" si="75"/>
        <v>220.92553999999996</v>
      </c>
      <c r="AB123" s="176">
        <f t="shared" si="88"/>
        <v>2.9124127039794723E-2</v>
      </c>
    </row>
    <row r="124" spans="2:28" x14ac:dyDescent="0.25">
      <c r="B124" s="278" t="s">
        <v>47</v>
      </c>
      <c r="C124" s="398">
        <v>0</v>
      </c>
      <c r="D124" s="414">
        <f t="shared" si="76"/>
        <v>0</v>
      </c>
      <c r="E124" s="398">
        <v>0</v>
      </c>
      <c r="F124" s="414">
        <f t="shared" si="77"/>
        <v>0</v>
      </c>
      <c r="G124" s="398">
        <v>0</v>
      </c>
      <c r="H124" s="414">
        <f t="shared" si="78"/>
        <v>0</v>
      </c>
      <c r="I124" s="398">
        <v>0</v>
      </c>
      <c r="J124" s="414">
        <f t="shared" si="79"/>
        <v>0</v>
      </c>
      <c r="K124" s="398">
        <v>0</v>
      </c>
      <c r="L124" s="414">
        <f t="shared" si="80"/>
        <v>0</v>
      </c>
      <c r="M124" s="398">
        <v>0</v>
      </c>
      <c r="N124" s="414">
        <f t="shared" si="81"/>
        <v>0</v>
      </c>
      <c r="O124" s="398">
        <v>0</v>
      </c>
      <c r="P124" s="414">
        <f t="shared" si="82"/>
        <v>0</v>
      </c>
      <c r="Q124" s="398">
        <v>0</v>
      </c>
      <c r="R124" s="414">
        <f t="shared" si="83"/>
        <v>0</v>
      </c>
      <c r="S124" s="398">
        <v>0</v>
      </c>
      <c r="T124" s="414">
        <f t="shared" si="84"/>
        <v>0</v>
      </c>
      <c r="U124" s="398">
        <v>0</v>
      </c>
      <c r="V124" s="414">
        <f t="shared" si="85"/>
        <v>0</v>
      </c>
      <c r="W124" s="398">
        <v>0</v>
      </c>
      <c r="X124" s="414">
        <f t="shared" si="86"/>
        <v>0</v>
      </c>
      <c r="Y124" s="398">
        <v>0</v>
      </c>
      <c r="Z124" s="414">
        <f t="shared" si="87"/>
        <v>0</v>
      </c>
      <c r="AA124" s="398">
        <f t="shared" si="75"/>
        <v>0</v>
      </c>
      <c r="AB124" s="176">
        <f t="shared" si="88"/>
        <v>0</v>
      </c>
    </row>
    <row r="125" spans="2:28" x14ac:dyDescent="0.25">
      <c r="C125" s="398">
        <v>0</v>
      </c>
      <c r="D125" s="414">
        <f t="shared" si="76"/>
        <v>0</v>
      </c>
      <c r="E125" s="398"/>
      <c r="F125" s="414">
        <f t="shared" si="77"/>
        <v>0</v>
      </c>
      <c r="G125" s="398"/>
      <c r="H125" s="414">
        <f t="shared" si="78"/>
        <v>0</v>
      </c>
      <c r="I125" s="398"/>
      <c r="J125" s="414">
        <f t="shared" si="79"/>
        <v>0</v>
      </c>
      <c r="K125" s="398"/>
      <c r="L125" s="414">
        <f t="shared" si="80"/>
        <v>0</v>
      </c>
      <c r="M125" s="398"/>
      <c r="N125" s="414">
        <f t="shared" si="81"/>
        <v>0</v>
      </c>
      <c r="O125" s="398"/>
      <c r="P125" s="414">
        <f t="shared" si="82"/>
        <v>0</v>
      </c>
      <c r="Q125" s="398">
        <v>0</v>
      </c>
      <c r="R125" s="414">
        <f t="shared" si="83"/>
        <v>0</v>
      </c>
      <c r="S125" s="398">
        <v>0</v>
      </c>
      <c r="T125" s="414">
        <f t="shared" si="84"/>
        <v>0</v>
      </c>
      <c r="U125" s="398"/>
      <c r="V125" s="414">
        <f t="shared" si="85"/>
        <v>0</v>
      </c>
      <c r="W125" s="398"/>
      <c r="X125" s="414">
        <f t="shared" si="86"/>
        <v>0</v>
      </c>
      <c r="Y125" s="398"/>
      <c r="Z125" s="414">
        <f t="shared" si="87"/>
        <v>0</v>
      </c>
      <c r="AA125" s="398">
        <f t="shared" si="75"/>
        <v>0</v>
      </c>
      <c r="AB125" s="176">
        <f t="shared" si="88"/>
        <v>0</v>
      </c>
    </row>
    <row r="126" spans="2:28" ht="13" x14ac:dyDescent="0.3">
      <c r="B126" s="278" t="s">
        <v>48</v>
      </c>
      <c r="C126" s="335">
        <v>17.496579999999998</v>
      </c>
      <c r="D126" s="415">
        <f t="shared" si="76"/>
        <v>3.0408062109918643E-2</v>
      </c>
      <c r="E126" s="335">
        <v>15.105</v>
      </c>
      <c r="F126" s="415">
        <f t="shared" si="77"/>
        <v>2.5501202886928628E-2</v>
      </c>
      <c r="G126" s="335">
        <v>15.742000000000001</v>
      </c>
      <c r="H126" s="415">
        <f t="shared" si="78"/>
        <v>2.236050959575801E-2</v>
      </c>
      <c r="I126" s="335">
        <v>17.36</v>
      </c>
      <c r="J126" s="415">
        <f t="shared" si="79"/>
        <v>2.7362756703166104E-2</v>
      </c>
      <c r="K126" s="335">
        <v>16.307000000000002</v>
      </c>
      <c r="L126" s="415">
        <f t="shared" si="80"/>
        <v>2.4747283899468998E-2</v>
      </c>
      <c r="M126" s="335">
        <v>17.552</v>
      </c>
      <c r="N126" s="415">
        <f t="shared" si="81"/>
        <v>2.6698305497246815E-2</v>
      </c>
      <c r="O126" s="335">
        <v>17.551639999999999</v>
      </c>
      <c r="P126" s="415">
        <f t="shared" si="82"/>
        <v>2.6697758308201123E-2</v>
      </c>
      <c r="Q126" s="335">
        <v>14.549030000000002</v>
      </c>
      <c r="R126" s="415">
        <f t="shared" si="83"/>
        <v>2.1900087008599845E-2</v>
      </c>
      <c r="S126" s="335">
        <v>17.984230000000004</v>
      </c>
      <c r="T126" s="415">
        <f t="shared" si="84"/>
        <v>2.9138358299718826E-2</v>
      </c>
      <c r="U126" s="335">
        <v>18.520000000000003</v>
      </c>
      <c r="V126" s="415">
        <f t="shared" si="85"/>
        <v>3.0090140442318569E-2</v>
      </c>
      <c r="W126" s="335">
        <v>17.164000000000001</v>
      </c>
      <c r="X126" s="415">
        <f t="shared" si="86"/>
        <v>2.9110373156857491E-2</v>
      </c>
      <c r="Y126" s="335">
        <v>17.788999999999998</v>
      </c>
      <c r="Z126" s="415">
        <f t="shared" si="87"/>
        <v>2.8735177290987887E-2</v>
      </c>
      <c r="AA126" s="335">
        <f t="shared" si="75"/>
        <v>203.12047999999999</v>
      </c>
      <c r="AB126" s="178">
        <f t="shared" si="88"/>
        <v>2.6776925220615432E-2</v>
      </c>
    </row>
    <row r="127" spans="2:28" ht="13" x14ac:dyDescent="0.3">
      <c r="B127" s="278" t="s">
        <v>49</v>
      </c>
      <c r="C127" s="335">
        <v>-46.56495999999995</v>
      </c>
      <c r="D127" s="415">
        <f t="shared" si="76"/>
        <v>-8.092725525936359E-2</v>
      </c>
      <c r="E127" s="335">
        <v>-33.641999999999982</v>
      </c>
      <c r="F127" s="415">
        <f t="shared" si="77"/>
        <v>-5.6796522179546664E-2</v>
      </c>
      <c r="G127" s="335">
        <v>20.843000000000035</v>
      </c>
      <c r="H127" s="415">
        <f t="shared" si="78"/>
        <v>2.9606155603124441E-2</v>
      </c>
      <c r="I127" s="335">
        <v>-4.9050000000000722</v>
      </c>
      <c r="J127" s="415">
        <f t="shared" si="79"/>
        <v>-7.7312397251746382E-3</v>
      </c>
      <c r="K127" s="335">
        <v>-13.418999999999969</v>
      </c>
      <c r="L127" s="415">
        <f t="shared" si="80"/>
        <v>-2.036449393800047E-2</v>
      </c>
      <c r="M127" s="335">
        <v>-18.290000000000056</v>
      </c>
      <c r="N127" s="415">
        <f t="shared" si="81"/>
        <v>-2.7820875543792489E-2</v>
      </c>
      <c r="O127" s="335">
        <v>-18.289420000000042</v>
      </c>
      <c r="P127" s="415">
        <f t="shared" si="82"/>
        <v>-2.7819993730339783E-2</v>
      </c>
      <c r="Q127" s="335">
        <v>-9.5327729999999313</v>
      </c>
      <c r="R127" s="415">
        <f t="shared" si="83"/>
        <v>-1.4349311131617011E-2</v>
      </c>
      <c r="S127" s="335">
        <v>-16.408039999999914</v>
      </c>
      <c r="T127" s="415">
        <f t="shared" si="84"/>
        <v>-2.6584588192884315E-2</v>
      </c>
      <c r="U127" s="335">
        <v>-31.699999999999982</v>
      </c>
      <c r="V127" s="415">
        <f t="shared" si="85"/>
        <v>-5.1504182074594923E-2</v>
      </c>
      <c r="W127" s="335">
        <v>-47.28799999999994</v>
      </c>
      <c r="X127" s="415">
        <f t="shared" si="86"/>
        <v>-8.0201079342896484E-2</v>
      </c>
      <c r="Y127" s="335">
        <v>-21.123999999999977</v>
      </c>
      <c r="Z127" s="415">
        <f t="shared" si="87"/>
        <v>-3.4122316324404267E-2</v>
      </c>
      <c r="AA127" s="335">
        <f t="shared" si="75"/>
        <v>-240.32019299999976</v>
      </c>
      <c r="AB127" s="178">
        <f t="shared" si="88"/>
        <v>-3.1680881400855607E-2</v>
      </c>
    </row>
    <row r="128" spans="2:28" x14ac:dyDescent="0.25">
      <c r="C128" s="403"/>
      <c r="D128" s="416"/>
      <c r="E128" s="403"/>
      <c r="F128" s="416"/>
      <c r="G128" s="403"/>
      <c r="H128" s="416"/>
      <c r="I128" s="403"/>
      <c r="J128" s="416"/>
      <c r="K128" s="403"/>
      <c r="L128" s="416"/>
      <c r="M128" s="403"/>
      <c r="N128" s="416"/>
      <c r="O128" s="403"/>
      <c r="P128" s="416"/>
      <c r="Q128" s="403"/>
      <c r="R128" s="416"/>
      <c r="S128" s="403"/>
      <c r="T128" s="416"/>
      <c r="U128" s="403"/>
      <c r="V128" s="416"/>
      <c r="W128" s="403"/>
      <c r="X128" s="416"/>
      <c r="Y128" s="403"/>
      <c r="Z128" s="416"/>
      <c r="AA128" s="403"/>
      <c r="AB128" s="180"/>
    </row>
    <row r="129" spans="2:28" x14ac:dyDescent="0.25">
      <c r="B129" s="278" t="s">
        <v>50</v>
      </c>
      <c r="C129" s="400">
        <v>0</v>
      </c>
      <c r="D129" s="417">
        <f t="shared" ref="D129:D138" si="89">IF(C$110=0,"N.D.",C129/C$110)</f>
        <v>0</v>
      </c>
      <c r="E129" s="400">
        <v>0</v>
      </c>
      <c r="F129" s="417">
        <f t="shared" ref="F129:F138" si="90">IF(E$110=0,"N.D.",E129/E$110)</f>
        <v>0</v>
      </c>
      <c r="G129" s="400">
        <v>0</v>
      </c>
      <c r="H129" s="417">
        <f t="shared" ref="H129:H138" si="91">IF(G$110=0,"N.D.",G129/G$110)</f>
        <v>0</v>
      </c>
      <c r="I129" s="400">
        <v>0</v>
      </c>
      <c r="J129" s="417">
        <f t="shared" ref="J129:J138" si="92">IF(I$110=0,"N.D.",I129/I$110)</f>
        <v>0</v>
      </c>
      <c r="K129" s="400">
        <v>0</v>
      </c>
      <c r="L129" s="417">
        <f t="shared" ref="L129:L138" si="93">IF(K$110=0,"N.D.",K129/K$110)</f>
        <v>0</v>
      </c>
      <c r="M129" s="400">
        <v>0</v>
      </c>
      <c r="N129" s="417">
        <f t="shared" ref="N129:N138" si="94">IF(M$110=0,"N.D.",M129/M$110)</f>
        <v>0</v>
      </c>
      <c r="O129" s="400">
        <v>0</v>
      </c>
      <c r="P129" s="417">
        <f t="shared" ref="P129:P138" si="95">IF(O$110=0,"N.D.",O129/O$110)</f>
        <v>0</v>
      </c>
      <c r="Q129" s="400">
        <v>0</v>
      </c>
      <c r="R129" s="417">
        <f t="shared" ref="R129:R138" si="96">IF(Q$110=0,"N.D.",Q129/Q$110)</f>
        <v>0</v>
      </c>
      <c r="S129" s="400">
        <v>0</v>
      </c>
      <c r="T129" s="417">
        <f t="shared" ref="T129:T138" si="97">IF(S$110=0,"N.D.",S129/S$110)</f>
        <v>0</v>
      </c>
      <c r="U129" s="400">
        <v>0</v>
      </c>
      <c r="V129" s="417">
        <f t="shared" ref="V129:V138" si="98">IF(U$110=0,"N.D.",U129/U$110)</f>
        <v>0</v>
      </c>
      <c r="W129" s="400">
        <v>0</v>
      </c>
      <c r="X129" s="417">
        <f t="shared" ref="X129:X138" si="99">IF(W$110=0,"N.D.",W129/W$110)</f>
        <v>0</v>
      </c>
      <c r="Y129" s="400">
        <v>0</v>
      </c>
      <c r="Z129" s="417">
        <f t="shared" ref="Z129:Z138" si="100">IF(Y$110=0,"N.D.",Y129/Y$110)</f>
        <v>0</v>
      </c>
      <c r="AA129" s="400">
        <f t="shared" si="75"/>
        <v>0</v>
      </c>
      <c r="AB129" s="182">
        <f t="shared" ref="AB129:AB138" si="101">IF(AA$110=0,"N.D.",AA129/AA$110)</f>
        <v>0</v>
      </c>
    </row>
    <row r="130" spans="2:28" x14ac:dyDescent="0.25">
      <c r="B130" s="278" t="s">
        <v>51</v>
      </c>
      <c r="C130" s="398">
        <v>0</v>
      </c>
      <c r="D130" s="414">
        <f t="shared" si="89"/>
        <v>0</v>
      </c>
      <c r="E130" s="398">
        <v>0</v>
      </c>
      <c r="F130" s="414">
        <f t="shared" si="90"/>
        <v>0</v>
      </c>
      <c r="G130" s="398">
        <v>0</v>
      </c>
      <c r="H130" s="414">
        <f t="shared" si="91"/>
        <v>0</v>
      </c>
      <c r="I130" s="398">
        <v>0</v>
      </c>
      <c r="J130" s="414">
        <f t="shared" si="92"/>
        <v>0</v>
      </c>
      <c r="K130" s="398">
        <v>0</v>
      </c>
      <c r="L130" s="414">
        <f t="shared" si="93"/>
        <v>0</v>
      </c>
      <c r="M130" s="398">
        <v>0</v>
      </c>
      <c r="N130" s="414">
        <f t="shared" si="94"/>
        <v>0</v>
      </c>
      <c r="O130" s="398">
        <v>0</v>
      </c>
      <c r="P130" s="414">
        <f t="shared" si="95"/>
        <v>0</v>
      </c>
      <c r="Q130" s="398">
        <v>0</v>
      </c>
      <c r="R130" s="414">
        <f t="shared" si="96"/>
        <v>0</v>
      </c>
      <c r="S130" s="398">
        <v>0</v>
      </c>
      <c r="T130" s="414">
        <f t="shared" si="97"/>
        <v>0</v>
      </c>
      <c r="U130" s="398">
        <v>0</v>
      </c>
      <c r="V130" s="414">
        <f t="shared" si="98"/>
        <v>0</v>
      </c>
      <c r="W130" s="398">
        <v>0</v>
      </c>
      <c r="X130" s="414">
        <f t="shared" si="99"/>
        <v>0</v>
      </c>
      <c r="Y130" s="398">
        <v>0</v>
      </c>
      <c r="Z130" s="414">
        <f t="shared" si="100"/>
        <v>0</v>
      </c>
      <c r="AA130" s="398">
        <f t="shared" si="75"/>
        <v>0</v>
      </c>
      <c r="AB130" s="176">
        <f t="shared" si="101"/>
        <v>0</v>
      </c>
    </row>
    <row r="131" spans="2:28" ht="13" x14ac:dyDescent="0.3">
      <c r="B131" s="278" t="s">
        <v>53</v>
      </c>
      <c r="C131" s="335">
        <v>-46.56495999999995</v>
      </c>
      <c r="D131" s="415">
        <f t="shared" si="89"/>
        <v>-8.092725525936359E-2</v>
      </c>
      <c r="E131" s="335">
        <v>-33.641999999999982</v>
      </c>
      <c r="F131" s="415">
        <f t="shared" si="90"/>
        <v>-5.6796522179546664E-2</v>
      </c>
      <c r="G131" s="335">
        <v>20.843000000000035</v>
      </c>
      <c r="H131" s="415">
        <f t="shared" si="91"/>
        <v>2.9606155603124441E-2</v>
      </c>
      <c r="I131" s="335">
        <v>-4.9050000000000722</v>
      </c>
      <c r="J131" s="415">
        <f t="shared" si="92"/>
        <v>-7.7312397251746382E-3</v>
      </c>
      <c r="K131" s="335">
        <v>-13.418999999999969</v>
      </c>
      <c r="L131" s="415">
        <f t="shared" si="93"/>
        <v>-2.036449393800047E-2</v>
      </c>
      <c r="M131" s="335">
        <v>-18.290000000000056</v>
      </c>
      <c r="N131" s="415">
        <f t="shared" si="94"/>
        <v>-2.7820875543792489E-2</v>
      </c>
      <c r="O131" s="335">
        <v>-18.289420000000042</v>
      </c>
      <c r="P131" s="415">
        <f t="shared" si="95"/>
        <v>-2.7819993730339783E-2</v>
      </c>
      <c r="Q131" s="335">
        <v>-9.5327729999999313</v>
      </c>
      <c r="R131" s="415">
        <f t="shared" si="96"/>
        <v>-1.4349311131617011E-2</v>
      </c>
      <c r="S131" s="335">
        <v>-16.408039999999914</v>
      </c>
      <c r="T131" s="415">
        <f t="shared" si="97"/>
        <v>-2.6584588192884315E-2</v>
      </c>
      <c r="U131" s="335">
        <v>-31.699999999999982</v>
      </c>
      <c r="V131" s="415">
        <f t="shared" si="98"/>
        <v>-5.1504182074594923E-2</v>
      </c>
      <c r="W131" s="335">
        <v>-47.28799999999994</v>
      </c>
      <c r="X131" s="415">
        <f t="shared" si="99"/>
        <v>-8.0201079342896484E-2</v>
      </c>
      <c r="Y131" s="335">
        <v>-21.123999999999977</v>
      </c>
      <c r="Z131" s="415">
        <f t="shared" si="100"/>
        <v>-3.4122316324404267E-2</v>
      </c>
      <c r="AA131" s="335">
        <f t="shared" si="75"/>
        <v>-240.32019299999976</v>
      </c>
      <c r="AB131" s="178">
        <f t="shared" si="101"/>
        <v>-3.1680881400855607E-2</v>
      </c>
    </row>
    <row r="132" spans="2:28" ht="13" x14ac:dyDescent="0.3">
      <c r="B132" s="274" t="s">
        <v>3</v>
      </c>
      <c r="C132" s="335">
        <v>-26.230169999999948</v>
      </c>
      <c r="D132" s="415">
        <f t="shared" si="89"/>
        <v>-4.5586545399942342E-2</v>
      </c>
      <c r="E132" s="335">
        <v>-15.698999999999977</v>
      </c>
      <c r="F132" s="415">
        <f t="shared" si="90"/>
        <v>-2.6504030726374837E-2</v>
      </c>
      <c r="G132" s="335">
        <v>39.423000000000037</v>
      </c>
      <c r="H132" s="415">
        <f t="shared" si="91"/>
        <v>5.5997863663674805E-2</v>
      </c>
      <c r="I132" s="335">
        <v>15.292999999999928</v>
      </c>
      <c r="J132" s="415">
        <f t="shared" si="92"/>
        <v>2.410476026852058E-2</v>
      </c>
      <c r="K132" s="335">
        <v>5.7260000000000337</v>
      </c>
      <c r="L132" s="415">
        <f t="shared" si="93"/>
        <v>8.6897005953492559E-3</v>
      </c>
      <c r="M132" s="335">
        <v>2.0999999999999437</v>
      </c>
      <c r="N132" s="415">
        <f t="shared" si="94"/>
        <v>3.1943050104954883E-3</v>
      </c>
      <c r="O132" s="335">
        <v>2.1004299999999567</v>
      </c>
      <c r="P132" s="415">
        <f t="shared" si="95"/>
        <v>3.1949591310722948E-3</v>
      </c>
      <c r="Q132" s="335">
        <v>7.8544670000000707</v>
      </c>
      <c r="R132" s="415">
        <f t="shared" si="96"/>
        <v>1.182302261430334E-2</v>
      </c>
      <c r="S132" s="335">
        <v>4.4144000000000894</v>
      </c>
      <c r="T132" s="415">
        <f t="shared" si="97"/>
        <v>7.1522866910777591E-3</v>
      </c>
      <c r="U132" s="335">
        <v>-10.341999999999977</v>
      </c>
      <c r="V132" s="415">
        <f t="shared" si="98"/>
        <v>-1.6803036309635956E-2</v>
      </c>
      <c r="W132" s="335">
        <v>-27.285999999999937</v>
      </c>
      <c r="X132" s="415">
        <f t="shared" si="99"/>
        <v>-4.627742029585246E-2</v>
      </c>
      <c r="Y132" s="335">
        <v>-0.49699999999997946</v>
      </c>
      <c r="Z132" s="415">
        <f t="shared" si="100"/>
        <v>-8.0282101937266797E-4</v>
      </c>
      <c r="AA132" s="335">
        <f t="shared" si="75"/>
        <v>-3.1428729999997493</v>
      </c>
      <c r="AB132" s="178">
        <f t="shared" si="101"/>
        <v>-4.1431802100351761E-4</v>
      </c>
    </row>
    <row r="133" spans="2:28" s="130" customFormat="1" ht="13" x14ac:dyDescent="0.3">
      <c r="B133" s="1" t="s">
        <v>194</v>
      </c>
      <c r="C133" s="373">
        <v>0</v>
      </c>
      <c r="D133" s="407">
        <f t="shared" si="89"/>
        <v>0</v>
      </c>
      <c r="E133" s="373">
        <v>0</v>
      </c>
      <c r="F133" s="407">
        <f t="shared" si="90"/>
        <v>0</v>
      </c>
      <c r="G133" s="373">
        <v>0</v>
      </c>
      <c r="H133" s="407">
        <f t="shared" si="91"/>
        <v>0</v>
      </c>
      <c r="I133" s="373">
        <v>0</v>
      </c>
      <c r="J133" s="407">
        <f t="shared" si="92"/>
        <v>0</v>
      </c>
      <c r="K133" s="373">
        <v>0</v>
      </c>
      <c r="L133" s="407">
        <f t="shared" si="93"/>
        <v>0</v>
      </c>
      <c r="M133" s="373">
        <v>0</v>
      </c>
      <c r="N133" s="407">
        <f t="shared" si="94"/>
        <v>0</v>
      </c>
      <c r="O133" s="373">
        <v>0</v>
      </c>
      <c r="P133" s="407">
        <f t="shared" si="95"/>
        <v>0</v>
      </c>
      <c r="Q133" s="373">
        <v>0</v>
      </c>
      <c r="R133" s="407">
        <f t="shared" si="96"/>
        <v>0</v>
      </c>
      <c r="S133" s="373">
        <v>0</v>
      </c>
      <c r="T133" s="407">
        <f t="shared" si="97"/>
        <v>0</v>
      </c>
      <c r="U133" s="373">
        <v>0</v>
      </c>
      <c r="V133" s="407">
        <f t="shared" si="98"/>
        <v>0</v>
      </c>
      <c r="W133" s="373">
        <v>0</v>
      </c>
      <c r="X133" s="407">
        <f t="shared" si="99"/>
        <v>0</v>
      </c>
      <c r="Y133" s="373">
        <v>0</v>
      </c>
      <c r="Z133" s="407">
        <f t="shared" si="100"/>
        <v>0</v>
      </c>
      <c r="AA133" s="373">
        <f t="shared" si="75"/>
        <v>0</v>
      </c>
      <c r="AB133" s="360">
        <f t="shared" si="101"/>
        <v>0</v>
      </c>
    </row>
    <row r="134" spans="2:28" s="130" customFormat="1" ht="13" x14ac:dyDescent="0.3">
      <c r="B134" s="1" t="s">
        <v>123</v>
      </c>
      <c r="C134" s="408">
        <v>0</v>
      </c>
      <c r="D134" s="409">
        <f t="shared" si="89"/>
        <v>0</v>
      </c>
      <c r="E134" s="408"/>
      <c r="F134" s="409">
        <f t="shared" si="90"/>
        <v>0</v>
      </c>
      <c r="G134" s="408"/>
      <c r="H134" s="409">
        <f t="shared" si="91"/>
        <v>0</v>
      </c>
      <c r="I134" s="408"/>
      <c r="J134" s="409">
        <f t="shared" si="92"/>
        <v>0</v>
      </c>
      <c r="K134" s="408"/>
      <c r="L134" s="409">
        <f t="shared" si="93"/>
        <v>0</v>
      </c>
      <c r="M134" s="408"/>
      <c r="N134" s="409">
        <f t="shared" si="94"/>
        <v>0</v>
      </c>
      <c r="O134" s="408"/>
      <c r="P134" s="409">
        <f t="shared" si="95"/>
        <v>0</v>
      </c>
      <c r="Q134" s="408">
        <v>0</v>
      </c>
      <c r="R134" s="409">
        <f t="shared" si="96"/>
        <v>0</v>
      </c>
      <c r="S134" s="408">
        <v>0</v>
      </c>
      <c r="T134" s="409">
        <f t="shared" si="97"/>
        <v>0</v>
      </c>
      <c r="U134" s="408">
        <v>0</v>
      </c>
      <c r="V134" s="409">
        <f t="shared" si="98"/>
        <v>0</v>
      </c>
      <c r="W134" s="408">
        <v>0</v>
      </c>
      <c r="X134" s="409">
        <f t="shared" si="99"/>
        <v>0</v>
      </c>
      <c r="Y134" s="408">
        <v>0</v>
      </c>
      <c r="Z134" s="409">
        <f t="shared" si="100"/>
        <v>0</v>
      </c>
      <c r="AA134" s="408">
        <f t="shared" si="75"/>
        <v>0</v>
      </c>
      <c r="AB134" s="361">
        <f t="shared" si="101"/>
        <v>0</v>
      </c>
    </row>
    <row r="135" spans="2:28" s="130" customFormat="1" ht="13" x14ac:dyDescent="0.3">
      <c r="B135" s="7" t="s">
        <v>190</v>
      </c>
      <c r="C135" s="410">
        <v>-43.726749999999939</v>
      </c>
      <c r="D135" s="409">
        <f t="shared" si="89"/>
        <v>-7.5994607509860979E-2</v>
      </c>
      <c r="E135" s="410">
        <v>-30.803999999999981</v>
      </c>
      <c r="F135" s="409">
        <f t="shared" si="90"/>
        <v>-5.2005233613303468E-2</v>
      </c>
      <c r="G135" s="410">
        <v>23.681000000000036</v>
      </c>
      <c r="H135" s="409">
        <f t="shared" si="91"/>
        <v>3.3637354067916798E-2</v>
      </c>
      <c r="I135" s="410">
        <v>-2.0670000000000721</v>
      </c>
      <c r="J135" s="409">
        <f t="shared" si="92"/>
        <v>-3.2579964346455248E-3</v>
      </c>
      <c r="K135" s="410">
        <v>-10.580999999999968</v>
      </c>
      <c r="L135" s="409">
        <f t="shared" si="93"/>
        <v>-1.6057583304119744E-2</v>
      </c>
      <c r="M135" s="410">
        <v>-15.452000000000055</v>
      </c>
      <c r="N135" s="409">
        <f t="shared" si="94"/>
        <v>-2.3504000486751324E-2</v>
      </c>
      <c r="O135" s="410">
        <v>-15.451210000000042</v>
      </c>
      <c r="P135" s="409">
        <f t="shared" si="95"/>
        <v>-2.3502799177128827E-2</v>
      </c>
      <c r="Q135" s="410">
        <v>-6.694562999999949</v>
      </c>
      <c r="R135" s="409">
        <f t="shared" si="96"/>
        <v>-1.0077064394296531E-2</v>
      </c>
      <c r="S135" s="410">
        <v>-13.569829999999921</v>
      </c>
      <c r="T135" s="409">
        <f t="shared" si="97"/>
        <v>-2.1986071608641078E-2</v>
      </c>
      <c r="U135" s="410">
        <v>-28.861999999999952</v>
      </c>
      <c r="V135" s="409">
        <f t="shared" si="98"/>
        <v>-4.689317675195448E-2</v>
      </c>
      <c r="W135" s="410">
        <v>-44.449999999999939</v>
      </c>
      <c r="X135" s="409">
        <f t="shared" si="99"/>
        <v>-7.5387793452709947E-2</v>
      </c>
      <c r="Y135" s="410">
        <v>-18.285779999999995</v>
      </c>
      <c r="Z135" s="409">
        <f t="shared" si="100"/>
        <v>-2.9537642936871122E-2</v>
      </c>
      <c r="AA135" s="410">
        <f t="shared" si="75"/>
        <v>-206.26313299999975</v>
      </c>
      <c r="AB135" s="361">
        <f t="shared" si="101"/>
        <v>-2.7191214239503811E-2</v>
      </c>
    </row>
    <row r="136" spans="2:28" s="130" customFormat="1" ht="13" x14ac:dyDescent="0.3">
      <c r="B136" s="7" t="s">
        <v>191</v>
      </c>
      <c r="C136" s="381">
        <v>14</v>
      </c>
      <c r="D136" s="411">
        <f t="shared" si="89"/>
        <v>2.4331204700510672E-2</v>
      </c>
      <c r="E136" s="381">
        <v>16.894939999999998</v>
      </c>
      <c r="F136" s="411">
        <f t="shared" si="90"/>
        <v>2.8523091208373777E-2</v>
      </c>
      <c r="G136" s="381">
        <v>17.336359999999999</v>
      </c>
      <c r="H136" s="411">
        <f t="shared" si="91"/>
        <v>2.4625196552884976E-2</v>
      </c>
      <c r="I136" s="381">
        <v>15.07441</v>
      </c>
      <c r="J136" s="411">
        <f t="shared" si="92"/>
        <v>2.3760219658627544E-2</v>
      </c>
      <c r="K136" s="381">
        <v>15.70759</v>
      </c>
      <c r="L136" s="411">
        <f t="shared" si="93"/>
        <v>2.3837627344481523E-2</v>
      </c>
      <c r="M136" s="381">
        <v>15.43108</v>
      </c>
      <c r="N136" s="411">
        <f t="shared" si="94"/>
        <v>2.3472179124456208E-2</v>
      </c>
      <c r="O136" s="381">
        <v>15.43108</v>
      </c>
      <c r="P136" s="411">
        <f t="shared" si="95"/>
        <v>2.3472179481490971E-2</v>
      </c>
      <c r="Q136" s="381">
        <v>15</v>
      </c>
      <c r="R136" s="411">
        <f t="shared" si="96"/>
        <v>2.257891454818621E-2</v>
      </c>
      <c r="S136" s="381">
        <v>15</v>
      </c>
      <c r="T136" s="411">
        <f t="shared" si="97"/>
        <v>2.4303257603788559E-2</v>
      </c>
      <c r="U136" s="381">
        <v>15</v>
      </c>
      <c r="V136" s="411">
        <f t="shared" si="98"/>
        <v>2.4371064073152184E-2</v>
      </c>
      <c r="W136" s="381">
        <v>14</v>
      </c>
      <c r="X136" s="411">
        <f t="shared" si="99"/>
        <v>2.3744186914239386E-2</v>
      </c>
      <c r="Y136" s="381">
        <v>15</v>
      </c>
      <c r="Z136" s="411">
        <f t="shared" si="100"/>
        <v>2.4230010645051342E-2</v>
      </c>
      <c r="AA136" s="381">
        <f t="shared" si="75"/>
        <v>183.87546</v>
      </c>
      <c r="AB136" s="151">
        <f t="shared" si="101"/>
        <v>2.4239896648167947E-2</v>
      </c>
    </row>
    <row r="137" spans="2:28" s="130" customFormat="1" ht="13" x14ac:dyDescent="0.3">
      <c r="B137" s="7" t="s">
        <v>84</v>
      </c>
      <c r="C137" s="381">
        <v>-57.726749999999939</v>
      </c>
      <c r="D137" s="411">
        <f t="shared" si="89"/>
        <v>-0.10032581221037165</v>
      </c>
      <c r="E137" s="381">
        <v>-47.698939999999979</v>
      </c>
      <c r="F137" s="411">
        <f t="shared" si="90"/>
        <v>-8.0528324821677252E-2</v>
      </c>
      <c r="G137" s="381">
        <v>6.3446400000000374</v>
      </c>
      <c r="H137" s="411">
        <f t="shared" si="91"/>
        <v>9.0121575150318208E-3</v>
      </c>
      <c r="I137" s="381">
        <v>-17.141410000000072</v>
      </c>
      <c r="J137" s="411">
        <f t="shared" si="92"/>
        <v>-2.7018216093273068E-2</v>
      </c>
      <c r="K137" s="381">
        <v>-26.288589999999967</v>
      </c>
      <c r="L137" s="411">
        <f t="shared" si="93"/>
        <v>-3.9895210648601263E-2</v>
      </c>
      <c r="M137" s="381">
        <v>-30.883080000000056</v>
      </c>
      <c r="N137" s="411">
        <f t="shared" si="94"/>
        <v>-4.6976179611207536E-2</v>
      </c>
      <c r="O137" s="381">
        <v>-30.88229000000004</v>
      </c>
      <c r="P137" s="411">
        <f t="shared" si="95"/>
        <v>-4.6974978658619798E-2</v>
      </c>
      <c r="Q137" s="381">
        <v>-21.694562999999949</v>
      </c>
      <c r="R137" s="411">
        <f t="shared" si="96"/>
        <v>-3.265597894248274E-2</v>
      </c>
      <c r="S137" s="381">
        <v>-28.569829999999921</v>
      </c>
      <c r="T137" s="411">
        <f t="shared" si="97"/>
        <v>-4.6289329212429633E-2</v>
      </c>
      <c r="U137" s="381">
        <v>-43.861999999999952</v>
      </c>
      <c r="V137" s="411">
        <f t="shared" si="98"/>
        <v>-7.126424082510667E-2</v>
      </c>
      <c r="W137" s="381">
        <v>-58.449999999999939</v>
      </c>
      <c r="X137" s="411">
        <f t="shared" si="99"/>
        <v>-9.913198036694934E-2</v>
      </c>
      <c r="Y137" s="381">
        <v>-33.285779999999995</v>
      </c>
      <c r="Z137" s="411">
        <f t="shared" si="100"/>
        <v>-5.3767653581922467E-2</v>
      </c>
      <c r="AA137" s="381">
        <f t="shared" si="75"/>
        <v>-390.13859299999979</v>
      </c>
      <c r="AB137" s="151">
        <f t="shared" si="101"/>
        <v>-5.1431110887671765E-2</v>
      </c>
    </row>
    <row r="138" spans="2:28" s="130" customFormat="1" ht="13" x14ac:dyDescent="0.3">
      <c r="B138" s="1" t="s">
        <v>193</v>
      </c>
      <c r="C138" s="412">
        <v>-3.1233392857142812</v>
      </c>
      <c r="D138" s="411">
        <f t="shared" si="89"/>
        <v>-5.4281862507043546E-3</v>
      </c>
      <c r="E138" s="412">
        <v>-1.8232677949729317</v>
      </c>
      <c r="F138" s="411">
        <f t="shared" si="90"/>
        <v>-3.0781543831054428E-3</v>
      </c>
      <c r="G138" s="412">
        <v>1.3659730185575309</v>
      </c>
      <c r="H138" s="411">
        <f t="shared" si="91"/>
        <v>1.9402777784908018E-3</v>
      </c>
      <c r="I138" s="412">
        <v>-0.13711979440655203</v>
      </c>
      <c r="J138" s="411">
        <f t="shared" si="92"/>
        <v>-2.161276252036083E-4</v>
      </c>
      <c r="K138" s="412">
        <v>-0.67362338843832614</v>
      </c>
      <c r="L138" s="411">
        <f t="shared" si="93"/>
        <v>-1.0222817952416469E-3</v>
      </c>
      <c r="M138" s="412">
        <v>-1.0013557054982578</v>
      </c>
      <c r="N138" s="411">
        <f t="shared" si="94"/>
        <v>-1.5231597844578167E-3</v>
      </c>
      <c r="O138" s="412">
        <v>-1.0013045101185427</v>
      </c>
      <c r="P138" s="411">
        <f t="shared" si="95"/>
        <v>-1.5230819344549331E-3</v>
      </c>
      <c r="Q138" s="412">
        <v>-0.4463041999999966</v>
      </c>
      <c r="R138" s="411">
        <f t="shared" si="96"/>
        <v>-6.7180429295310212E-4</v>
      </c>
      <c r="S138" s="412">
        <v>-0.90465533333332815</v>
      </c>
      <c r="T138" s="411">
        <f t="shared" si="97"/>
        <v>-1.4657381072427386E-3</v>
      </c>
      <c r="U138" s="412">
        <v>-1.9241333333333301</v>
      </c>
      <c r="V138" s="411">
        <f t="shared" si="98"/>
        <v>-3.1262117834636319E-3</v>
      </c>
      <c r="W138" s="412">
        <v>-3.1749999999999958</v>
      </c>
      <c r="X138" s="411">
        <f t="shared" si="99"/>
        <v>-5.3848423894792821E-3</v>
      </c>
      <c r="Y138" s="412">
        <v>-1.2190519999999998</v>
      </c>
      <c r="Z138" s="411">
        <f t="shared" si="100"/>
        <v>-1.9691761957914083E-3</v>
      </c>
      <c r="AA138" s="412">
        <f t="shared" si="75"/>
        <v>-14.063182327258009</v>
      </c>
      <c r="AB138" s="151">
        <f t="shared" si="101"/>
        <v>-1.8539183323162108E-3</v>
      </c>
    </row>
    <row r="139" spans="2:28" x14ac:dyDescent="0.25">
      <c r="D139" s="315"/>
      <c r="F139" s="315"/>
      <c r="H139" s="315"/>
      <c r="J139" s="315"/>
      <c r="L139" s="315"/>
      <c r="N139" s="315"/>
      <c r="P139" s="315"/>
      <c r="R139" s="315"/>
      <c r="T139" s="315"/>
      <c r="V139" s="315"/>
      <c r="X139" s="315"/>
      <c r="Z139" s="315"/>
      <c r="AB139" s="220"/>
    </row>
    <row r="140" spans="2:28" ht="13" x14ac:dyDescent="0.3">
      <c r="B140" s="283"/>
      <c r="D140" s="315"/>
      <c r="F140" s="315"/>
      <c r="H140" s="315"/>
      <c r="J140" s="315"/>
      <c r="L140" s="315"/>
      <c r="N140" s="315"/>
      <c r="P140" s="315"/>
      <c r="R140" s="315"/>
      <c r="T140" s="315"/>
      <c r="V140" s="315"/>
      <c r="X140" s="315"/>
      <c r="Z140" s="315"/>
      <c r="AB140" s="220"/>
    </row>
    <row r="141" spans="2:28" ht="13" x14ac:dyDescent="0.3">
      <c r="C141" s="394"/>
      <c r="D141" s="395"/>
      <c r="E141" s="394"/>
      <c r="F141" s="395"/>
      <c r="G141" s="394"/>
      <c r="H141" s="395"/>
      <c r="I141" s="394"/>
      <c r="J141" s="395"/>
      <c r="K141" s="394"/>
      <c r="L141" s="395"/>
      <c r="M141" s="394"/>
      <c r="N141" s="395"/>
      <c r="O141" s="394"/>
      <c r="P141" s="395"/>
      <c r="Q141" s="394"/>
      <c r="R141" s="395"/>
      <c r="S141" s="394"/>
      <c r="T141" s="395"/>
      <c r="U141" s="394"/>
      <c r="V141" s="395"/>
      <c r="W141" s="394"/>
      <c r="X141" s="395"/>
      <c r="Y141" s="394"/>
      <c r="Z141" s="395"/>
      <c r="AA141" s="394"/>
      <c r="AB141" s="23"/>
    </row>
    <row r="142" spans="2:28" ht="13" x14ac:dyDescent="0.3">
      <c r="C142" s="394"/>
      <c r="D142" s="395"/>
      <c r="E142" s="394"/>
      <c r="F142" s="395"/>
      <c r="G142" s="394"/>
      <c r="H142" s="395"/>
      <c r="I142" s="394"/>
      <c r="J142" s="395"/>
      <c r="K142" s="394"/>
      <c r="L142" s="395"/>
      <c r="M142" s="394"/>
      <c r="N142" s="395"/>
      <c r="O142" s="394"/>
      <c r="P142" s="395"/>
      <c r="Q142" s="394"/>
      <c r="R142" s="395"/>
      <c r="S142" s="394"/>
      <c r="T142" s="395"/>
      <c r="U142" s="394"/>
      <c r="V142" s="395"/>
      <c r="W142" s="394"/>
      <c r="X142" s="395"/>
      <c r="Y142" s="394"/>
      <c r="Z142" s="395"/>
      <c r="AA142" s="394"/>
      <c r="AB142" s="23"/>
    </row>
    <row r="143" spans="2:28" ht="13" x14ac:dyDescent="0.3">
      <c r="B143" s="277" t="s">
        <v>329</v>
      </c>
      <c r="C143" s="396" t="str">
        <f>+C43</f>
        <v>Enero</v>
      </c>
      <c r="D143" s="397"/>
      <c r="E143" s="396" t="str">
        <f>+E43</f>
        <v>Febrero</v>
      </c>
      <c r="F143" s="397"/>
      <c r="G143" s="396" t="str">
        <f>+G43</f>
        <v>Marzo</v>
      </c>
      <c r="H143" s="397"/>
      <c r="I143" s="396" t="str">
        <f>+I43</f>
        <v>Abril</v>
      </c>
      <c r="J143" s="397"/>
      <c r="K143" s="396" t="str">
        <f>+K43</f>
        <v>Mayo</v>
      </c>
      <c r="L143" s="397"/>
      <c r="M143" s="396" t="str">
        <f>+M43</f>
        <v>Junio</v>
      </c>
      <c r="N143" s="397"/>
      <c r="O143" s="396" t="str">
        <f>+O43</f>
        <v>Julio</v>
      </c>
      <c r="P143" s="397"/>
      <c r="Q143" s="396" t="str">
        <f>+Q43</f>
        <v>Agosto</v>
      </c>
      <c r="R143" s="397"/>
      <c r="S143" s="396" t="str">
        <f>+S43</f>
        <v>Septiembre</v>
      </c>
      <c r="T143" s="397"/>
      <c r="U143" s="396" t="str">
        <f>+U43</f>
        <v>Octubre</v>
      </c>
      <c r="V143" s="397"/>
      <c r="W143" s="396" t="str">
        <f>+W43</f>
        <v>Noviembre</v>
      </c>
      <c r="X143" s="397"/>
      <c r="Y143" s="396" t="str">
        <f>+Y43</f>
        <v>Diciembre</v>
      </c>
      <c r="Z143" s="397"/>
      <c r="AA143" s="396" t="s">
        <v>218</v>
      </c>
      <c r="AB143" s="115"/>
    </row>
    <row r="144" spans="2:28" x14ac:dyDescent="0.25">
      <c r="B144" s="278" t="s">
        <v>38</v>
      </c>
      <c r="C144" s="398">
        <v>250.25758999999996</v>
      </c>
      <c r="D144" s="420">
        <f>IF(C$144=0,"N.D.",C144/C$144)</f>
        <v>1</v>
      </c>
      <c r="E144" s="398">
        <v>231.84800000000001</v>
      </c>
      <c r="F144" s="420">
        <f>IF(E$144=0,"N.D.",E144/E$144)</f>
        <v>1</v>
      </c>
      <c r="G144" s="398">
        <v>263.733</v>
      </c>
      <c r="H144" s="420">
        <f>IF(G$144=0,"N.D.",G144/G$144)</f>
        <v>1</v>
      </c>
      <c r="I144" s="398">
        <v>240.624</v>
      </c>
      <c r="J144" s="420">
        <f>IF(I$144=0,"N.D.",I144/I$144)</f>
        <v>1</v>
      </c>
      <c r="K144" s="398">
        <v>247.77500000000001</v>
      </c>
      <c r="L144" s="420">
        <f>IF(K$144=0,"N.D.",K144/K$144)</f>
        <v>1</v>
      </c>
      <c r="M144" s="398">
        <v>252.08099999999999</v>
      </c>
      <c r="N144" s="420">
        <f>IF(M$144=0,"N.D.",M144/M$144)</f>
        <v>1</v>
      </c>
      <c r="O144" s="398">
        <v>252.08104</v>
      </c>
      <c r="P144" s="420">
        <f>IF(O$144=0,"N.D.",O144/O$144)</f>
        <v>1</v>
      </c>
      <c r="Q144" s="398">
        <v>226.47732000000002</v>
      </c>
      <c r="R144" s="420">
        <f>IF(Q$144=0,"N.D.",Q144/Q$144)</f>
        <v>1</v>
      </c>
      <c r="S144" s="398">
        <v>243.88057999999995</v>
      </c>
      <c r="T144" s="420">
        <f>IF(S$144=0,"N.D.",S144/S$144)</f>
        <v>1</v>
      </c>
      <c r="U144" s="398">
        <v>245.50700000000001</v>
      </c>
      <c r="V144" s="420">
        <f>IF(U$144=0,"N.D.",U144/U$144)</f>
        <v>1</v>
      </c>
      <c r="W144" s="398">
        <v>230.303</v>
      </c>
      <c r="X144" s="420">
        <f>IF(W$144=0,"N.D.",W144/W$144)</f>
        <v>1</v>
      </c>
      <c r="Y144" s="398">
        <v>250.977</v>
      </c>
      <c r="Z144" s="420">
        <f>IF(Y$144=0,"N.D.",Y144/Y$144)</f>
        <v>1</v>
      </c>
      <c r="AA144" s="398">
        <f>+Y144+W144+U144+S144+Q144+O144+M144+K144+I144+G144+E144+C144</f>
        <v>2935.5445300000001</v>
      </c>
      <c r="AB144" s="155">
        <f>IF(AA$144=0,"N.D.",AA144/AA$144)</f>
        <v>1</v>
      </c>
    </row>
    <row r="145" spans="2:28" x14ac:dyDescent="0.25">
      <c r="B145" s="278" t="s">
        <v>39</v>
      </c>
      <c r="C145" s="398">
        <v>180.52710000000002</v>
      </c>
      <c r="D145" s="420">
        <f>IF(C$144=0,"N.D.",C145/C$144)</f>
        <v>0.7213651342203049</v>
      </c>
      <c r="E145" s="398">
        <v>81.222999999999999</v>
      </c>
      <c r="F145" s="420">
        <f>IF(E$144=0,"N.D.",E145/E$144)</f>
        <v>0.35032866360719089</v>
      </c>
      <c r="G145" s="398">
        <v>90.48</v>
      </c>
      <c r="H145" s="420">
        <f>IF(G$144=0,"N.D.",G145/G$144)</f>
        <v>0.34307424554378863</v>
      </c>
      <c r="I145" s="398">
        <v>84.215000000000003</v>
      </c>
      <c r="J145" s="420">
        <f>IF(I$144=0,"N.D.",I145/I$144)</f>
        <v>0.34998587007114834</v>
      </c>
      <c r="K145" s="398">
        <v>85.992000000000004</v>
      </c>
      <c r="L145" s="420">
        <f>IF(K$144=0,"N.D.",K145/K$144)</f>
        <v>0.34705680556956919</v>
      </c>
      <c r="M145" s="398">
        <v>89.034000000000006</v>
      </c>
      <c r="N145" s="420">
        <f>IF(M$144=0,"N.D.",M145/M$144)</f>
        <v>0.35319599652492656</v>
      </c>
      <c r="O145" s="398">
        <v>89.033910000000006</v>
      </c>
      <c r="P145" s="420">
        <f>IF(O$144=0,"N.D.",O145/O$144)</f>
        <v>0.35319558345205176</v>
      </c>
      <c r="Q145" s="398">
        <v>90.76785000000001</v>
      </c>
      <c r="R145" s="420">
        <f>IF(Q$144=0,"N.D.",Q145/Q$144)</f>
        <v>0.40078119080533098</v>
      </c>
      <c r="S145" s="398">
        <v>98.477420000000009</v>
      </c>
      <c r="T145" s="420">
        <f>IF(S$144=0,"N.D.",S145/S$144)</f>
        <v>0.40379361079098641</v>
      </c>
      <c r="U145" s="398">
        <v>100.45</v>
      </c>
      <c r="V145" s="420">
        <f>IF(U$144=0,"N.D.",U145/U$144)</f>
        <v>0.4091533031644719</v>
      </c>
      <c r="W145" s="398">
        <v>91.775999999999996</v>
      </c>
      <c r="X145" s="420">
        <f>IF(W$144=0,"N.D.",W145/W$144)</f>
        <v>0.39850110506593489</v>
      </c>
      <c r="Y145" s="398">
        <v>103.91200000000001</v>
      </c>
      <c r="Z145" s="420">
        <f>IF(Y$144=0,"N.D.",Y145/Y$144)</f>
        <v>0.41402997087382509</v>
      </c>
      <c r="AA145" s="398">
        <f t="shared" ref="AA145:AA172" si="102">+Y145+W145+U145+S145+Q145+O145+M145+K145+I145+G145+E145+C145</f>
        <v>1185.8882800000001</v>
      </c>
      <c r="AB145" s="155">
        <f>IF(AA$144=0,"N.D.",AA145/AA$144)</f>
        <v>0.40397557178258853</v>
      </c>
    </row>
    <row r="146" spans="2:28" x14ac:dyDescent="0.25">
      <c r="B146" s="278" t="s">
        <v>219</v>
      </c>
      <c r="C146" s="398"/>
      <c r="D146" s="420">
        <f>IF(C$144=0,"N.D.",C146/C$144)</f>
        <v>0</v>
      </c>
      <c r="E146" s="398">
        <v>0</v>
      </c>
      <c r="F146" s="420">
        <f>IF(E$144=0,"N.D.",E146/E$144)</f>
        <v>0</v>
      </c>
      <c r="G146" s="398">
        <v>0</v>
      </c>
      <c r="H146" s="420">
        <f>IF(G$144=0,"N.D.",G146/G$144)</f>
        <v>0</v>
      </c>
      <c r="I146" s="398">
        <v>0</v>
      </c>
      <c r="J146" s="420">
        <f>IF(I$144=0,"N.D.",I146/I$144)</f>
        <v>0</v>
      </c>
      <c r="K146" s="398">
        <v>0</v>
      </c>
      <c r="L146" s="420">
        <f>IF(K$144=0,"N.D.",K146/K$144)</f>
        <v>0</v>
      </c>
      <c r="M146" s="398">
        <v>0</v>
      </c>
      <c r="N146" s="420">
        <f>IF(M$144=0,"N.D.",M146/M$144)</f>
        <v>0</v>
      </c>
      <c r="O146" s="398">
        <v>0</v>
      </c>
      <c r="P146" s="420">
        <f>IF(O$144=0,"N.D.",O146/O$144)</f>
        <v>0</v>
      </c>
      <c r="Q146" s="398"/>
      <c r="R146" s="420">
        <f>IF(Q$144=0,"N.D.",Q146/Q$144)</f>
        <v>0</v>
      </c>
      <c r="S146" s="398"/>
      <c r="T146" s="420">
        <f>IF(S$144=0,"N.D.",S146/S$144)</f>
        <v>0</v>
      </c>
      <c r="U146" s="398">
        <v>71.391999999999996</v>
      </c>
      <c r="V146" s="420">
        <f>IF(U$144=0,"N.D.",U146/U$144)</f>
        <v>0.29079415250888974</v>
      </c>
      <c r="W146" s="398">
        <v>68.697000000000003</v>
      </c>
      <c r="X146" s="420">
        <f>IF(W$144=0,"N.D.",W146/W$144)</f>
        <v>0.29828964451179535</v>
      </c>
      <c r="Y146" s="398">
        <v>74.938999999999993</v>
      </c>
      <c r="Z146" s="420">
        <f>IF(Y$144=0,"N.D.",Y146/Y$144)</f>
        <v>0.2985891137434904</v>
      </c>
      <c r="AA146" s="398"/>
      <c r="AB146" s="155">
        <f>IF(AA$144=0,"N.D.",AA146/AA$144)</f>
        <v>0</v>
      </c>
    </row>
    <row r="147" spans="2:28" ht="13" x14ac:dyDescent="0.3">
      <c r="B147" s="278" t="s">
        <v>40</v>
      </c>
      <c r="C147" s="335">
        <v>69.730489999999961</v>
      </c>
      <c r="D147" s="415">
        <f>IF(C$144=0,"N.D.",C147/C$144)</f>
        <v>0.2786348657796951</v>
      </c>
      <c r="E147" s="335">
        <v>150.625</v>
      </c>
      <c r="F147" s="415">
        <f>IF(E$144=0,"N.D.",E147/E$144)</f>
        <v>0.64967133639280905</v>
      </c>
      <c r="G147" s="335">
        <v>173.25299999999999</v>
      </c>
      <c r="H147" s="415">
        <f>IF(G$144=0,"N.D.",G147/G$144)</f>
        <v>0.65692575445621137</v>
      </c>
      <c r="I147" s="335">
        <v>156.40899999999999</v>
      </c>
      <c r="J147" s="415">
        <f>IF(I$144=0,"N.D.",I147/I$144)</f>
        <v>0.65001412992885166</v>
      </c>
      <c r="K147" s="335">
        <v>161.78300000000002</v>
      </c>
      <c r="L147" s="415">
        <f>IF(K$144=0,"N.D.",K147/K$144)</f>
        <v>0.65294319443043092</v>
      </c>
      <c r="M147" s="335">
        <v>163.04699999999997</v>
      </c>
      <c r="N147" s="415">
        <f>IF(M$144=0,"N.D.",M147/M$144)</f>
        <v>0.64680400347507339</v>
      </c>
      <c r="O147" s="335">
        <v>163.04712999999998</v>
      </c>
      <c r="P147" s="415">
        <f>IF(O$144=0,"N.D.",O147/O$144)</f>
        <v>0.64680441654794818</v>
      </c>
      <c r="Q147" s="335">
        <v>65.361310000000003</v>
      </c>
      <c r="R147" s="415">
        <f>IF(Q$144=0,"N.D.",Q147/Q$144)</f>
        <v>0.28859980328273044</v>
      </c>
      <c r="S147" s="335">
        <v>74.735909999999947</v>
      </c>
      <c r="T147" s="415">
        <f>IF(S$144=0,"N.D.",S147/S$144)</f>
        <v>0.30644469518647183</v>
      </c>
      <c r="U147" s="335">
        <v>73.66500000000002</v>
      </c>
      <c r="V147" s="415">
        <f>IF(U$144=0,"N.D.",U147/U$144)</f>
        <v>0.30005254432663842</v>
      </c>
      <c r="W147" s="335">
        <v>69.829999999999984</v>
      </c>
      <c r="X147" s="415">
        <f>IF(W$144=0,"N.D.",W147/W$144)</f>
        <v>0.3032092504222697</v>
      </c>
      <c r="Y147" s="335">
        <v>72.126000000000005</v>
      </c>
      <c r="Z147" s="415">
        <f>IF(Y$144=0,"N.D.",Y147/Y$144)</f>
        <v>0.28738091538268451</v>
      </c>
      <c r="AA147" s="335">
        <f t="shared" si="102"/>
        <v>1393.6128399999998</v>
      </c>
      <c r="AB147" s="26">
        <f>IF(AA$144=0,"N.D.",AA147/AA$144)</f>
        <v>0.474737421203418</v>
      </c>
    </row>
    <row r="148" spans="2:28" x14ac:dyDescent="0.25">
      <c r="B148" s="278"/>
      <c r="C148" s="403"/>
      <c r="D148" s="421"/>
      <c r="E148" s="403"/>
      <c r="F148" s="421"/>
      <c r="G148" s="403"/>
      <c r="H148" s="421"/>
      <c r="I148" s="403"/>
      <c r="J148" s="421"/>
      <c r="K148" s="403"/>
      <c r="L148" s="421"/>
      <c r="M148" s="403"/>
      <c r="N148" s="421"/>
      <c r="O148" s="403"/>
      <c r="P148" s="421"/>
      <c r="Q148" s="403"/>
      <c r="R148" s="421"/>
      <c r="S148" s="403"/>
      <c r="T148" s="421"/>
      <c r="U148" s="403"/>
      <c r="V148" s="421"/>
      <c r="W148" s="403"/>
      <c r="X148" s="421"/>
      <c r="Y148" s="403"/>
      <c r="Z148" s="421"/>
      <c r="AA148" s="403"/>
      <c r="AB148" s="157"/>
    </row>
    <row r="149" spans="2:28" x14ac:dyDescent="0.25">
      <c r="B149" s="278" t="s">
        <v>41</v>
      </c>
      <c r="C149" s="400">
        <v>81.276309999999995</v>
      </c>
      <c r="D149" s="422">
        <f>IF(C$144=0,"N.D.",C149/C$144)</f>
        <v>0.32477060935494506</v>
      </c>
      <c r="E149" s="400">
        <v>156.10400000000001</v>
      </c>
      <c r="F149" s="422">
        <f>IF(E$144=0,"N.D.",E149/E$144)</f>
        <v>0.67330319864738963</v>
      </c>
      <c r="G149" s="400">
        <v>176.91399999999999</v>
      </c>
      <c r="H149" s="422">
        <f>IF(G$144=0,"N.D.",G149/G$144)</f>
        <v>0.67080721790598818</v>
      </c>
      <c r="I149" s="400">
        <v>162.06299999999999</v>
      </c>
      <c r="J149" s="422">
        <v>0.62592810221121253</v>
      </c>
      <c r="K149" s="400">
        <v>164.512</v>
      </c>
      <c r="L149" s="422">
        <v>0.6183030452285655</v>
      </c>
      <c r="M149" s="400">
        <v>167.876</v>
      </c>
      <c r="N149" s="422">
        <f>IF(M$144=0,"N.D.",M149/M$144)</f>
        <v>0.66596054442817987</v>
      </c>
      <c r="O149" s="400">
        <v>167.87632000000002</v>
      </c>
      <c r="P149" s="422">
        <v>0.71135410690497625</v>
      </c>
      <c r="Q149" s="400">
        <v>151.86914999999999</v>
      </c>
      <c r="R149" s="422">
        <v>0.67057111943924441</v>
      </c>
      <c r="S149" s="400">
        <v>145.54203000000001</v>
      </c>
      <c r="T149" s="422">
        <f>IF(S$144=0,"N.D.",S149/S$144)</f>
        <v>0.59677580724139678</v>
      </c>
      <c r="U149" s="400">
        <v>79.17</v>
      </c>
      <c r="V149" s="422">
        <f>IF(U$144=0,"N.D.",U149/U$144)</f>
        <v>0.3224755302292806</v>
      </c>
      <c r="W149" s="400">
        <v>73.864000000000004</v>
      </c>
      <c r="X149" s="422">
        <f>IF(W$144=0,"N.D.",W149/W$144)</f>
        <v>0.32072530535859284</v>
      </c>
      <c r="Y149" s="400">
        <v>77.52</v>
      </c>
      <c r="Z149" s="422">
        <f>IF(Y$144=0,"N.D.",Y149/Y$144)</f>
        <v>0.30887292461062166</v>
      </c>
      <c r="AA149" s="400">
        <f t="shared" si="102"/>
        <v>1604.58681</v>
      </c>
      <c r="AB149" s="156">
        <f>IF(AA$144=0,"N.D.",AA149/AA$144)</f>
        <v>0.54660618961893248</v>
      </c>
    </row>
    <row r="150" spans="2:28" x14ac:dyDescent="0.25">
      <c r="B150" s="278" t="s">
        <v>42</v>
      </c>
      <c r="C150" s="398">
        <v>21.097830000000002</v>
      </c>
      <c r="D150" s="420">
        <f>IF(C$144=0,"N.D.",C150/C$144)</f>
        <v>8.4304456060653371E-2</v>
      </c>
      <c r="E150" s="398">
        <v>16.943000000000001</v>
      </c>
      <c r="F150" s="420">
        <f>IF(E$144=0,"N.D.",E150/E$144)</f>
        <v>7.3078051136951802E-2</v>
      </c>
      <c r="G150" s="398">
        <v>16.483000000000001</v>
      </c>
      <c r="H150" s="420">
        <f>IF(G$144=0,"N.D.",G150/G$144)</f>
        <v>6.2498815089503397E-2</v>
      </c>
      <c r="I150" s="398">
        <v>15.959</v>
      </c>
      <c r="J150" s="420">
        <f>IF(I$144=0,"N.D.",I150/I$144)</f>
        <v>6.6323392512800047E-2</v>
      </c>
      <c r="K150" s="398">
        <v>18.687000000000001</v>
      </c>
      <c r="L150" s="420">
        <f>IF(K$144=0,"N.D.",K150/K$144)</f>
        <v>7.5419231157299968E-2</v>
      </c>
      <c r="M150" s="398">
        <v>18.337</v>
      </c>
      <c r="N150" s="420">
        <f>IF(M$144=0,"N.D.",M150/M$144)</f>
        <v>7.2742491500747783E-2</v>
      </c>
      <c r="O150" s="398">
        <v>18.336869999999998</v>
      </c>
      <c r="P150" s="420">
        <f>IF(O$144=0,"N.D.",O150/O$144)</f>
        <v>7.2741964250861532E-2</v>
      </c>
      <c r="Q150" s="398">
        <v>13.740629999999999</v>
      </c>
      <c r="R150" s="420">
        <f>IF(Q$144=0,"N.D.",Q150/Q$144)</f>
        <v>6.0671108259317083E-2</v>
      </c>
      <c r="S150" s="398">
        <v>13.777469999999999</v>
      </c>
      <c r="T150" s="420">
        <f>IF(S$144=0,"N.D.",S150/S$144)</f>
        <v>5.6492689987862103E-2</v>
      </c>
      <c r="U150" s="398">
        <v>12.039</v>
      </c>
      <c r="V150" s="420">
        <f>IF(U$144=0,"N.D.",U150/U$144)</f>
        <v>4.903729832550599E-2</v>
      </c>
      <c r="W150" s="398">
        <v>11.632</v>
      </c>
      <c r="X150" s="420">
        <f>IF(W$144=0,"N.D.",W150/W$144)</f>
        <v>5.0507375066759876E-2</v>
      </c>
      <c r="Y150" s="398">
        <v>11.771000000000001</v>
      </c>
      <c r="Z150" s="420">
        <f>IF(Y$144=0,"N.D.",Y150/Y$144)</f>
        <v>4.6900712017435862E-2</v>
      </c>
      <c r="AA150" s="398">
        <f t="shared" si="102"/>
        <v>188.80380000000002</v>
      </c>
      <c r="AB150" s="155">
        <f>IF(AA$144=0,"N.D.",AA150/AA$144)</f>
        <v>6.431644898263561E-2</v>
      </c>
    </row>
    <row r="151" spans="2:28" x14ac:dyDescent="0.25">
      <c r="B151" s="278" t="s">
        <v>43</v>
      </c>
      <c r="C151" s="398">
        <v>12.40868</v>
      </c>
      <c r="D151" s="420">
        <f>IF(C$144=0,"N.D.",C151/C$144)</f>
        <v>4.958363100995259E-2</v>
      </c>
      <c r="E151" s="398">
        <v>12.409000000000001</v>
      </c>
      <c r="F151" s="420">
        <f>IF(E$144=0,"N.D.",E151/E$144)</f>
        <v>5.3522135192022362E-2</v>
      </c>
      <c r="G151" s="398">
        <v>12.409000000000001</v>
      </c>
      <c r="H151" s="420">
        <f>IF(G$144=0,"N.D.",G151/G$144)</f>
        <v>4.7051373927419017E-2</v>
      </c>
      <c r="I151" s="398">
        <v>12.409000000000001</v>
      </c>
      <c r="J151" s="420">
        <f>IF(I$144=0,"N.D.",I151/I$144)</f>
        <v>5.1570084447104203E-2</v>
      </c>
      <c r="K151" s="398">
        <v>12.409000000000001</v>
      </c>
      <c r="L151" s="420">
        <f>IF(K$144=0,"N.D.",K151/K$144)</f>
        <v>5.0081727373625269E-2</v>
      </c>
      <c r="M151" s="398">
        <v>12.409000000000001</v>
      </c>
      <c r="N151" s="420">
        <f>IF(M$144=0,"N.D.",M151/M$144)</f>
        <v>4.9226240771815415E-2</v>
      </c>
      <c r="O151" s="398">
        <v>12.40868</v>
      </c>
      <c r="P151" s="420">
        <f>IF(O$144=0,"N.D.",O151/O$144)</f>
        <v>4.9224963527602077E-2</v>
      </c>
      <c r="Q151" s="398">
        <v>12.408659999999999</v>
      </c>
      <c r="R151" s="420">
        <f>IF(Q$144=0,"N.D.",Q151/Q$144)</f>
        <v>5.4789857103572218E-2</v>
      </c>
      <c r="S151" s="398">
        <v>12.40868</v>
      </c>
      <c r="T151" s="420">
        <f>IF(S$144=0,"N.D.",S151/S$144)</f>
        <v>5.0880147980622334E-2</v>
      </c>
      <c r="U151" s="398">
        <v>9.2420000000000009</v>
      </c>
      <c r="V151" s="420">
        <f>IF(U$144=0,"N.D.",U151/U$144)</f>
        <v>3.7644547813300643E-2</v>
      </c>
      <c r="W151" s="398">
        <v>9.2420000000000009</v>
      </c>
      <c r="X151" s="420">
        <f>IF(W$144=0,"N.D.",W151/W$144)</f>
        <v>4.0129742122334493E-2</v>
      </c>
      <c r="Y151" s="398">
        <v>9.2420000000000009</v>
      </c>
      <c r="Z151" s="420">
        <f>IF(Y$144=0,"N.D.",Y151/Y$144)</f>
        <v>3.6824091450611017E-2</v>
      </c>
      <c r="AA151" s="398">
        <f t="shared" si="102"/>
        <v>139.40570000000002</v>
      </c>
      <c r="AB151" s="155">
        <f>IF(AA$144=0,"N.D.",AA151/AA$144)</f>
        <v>4.7488872532960698E-2</v>
      </c>
    </row>
    <row r="152" spans="2:28" ht="13" x14ac:dyDescent="0.3">
      <c r="B152" s="278" t="s">
        <v>44</v>
      </c>
      <c r="C152" s="335">
        <v>114.78282</v>
      </c>
      <c r="D152" s="415">
        <f>IF(C$144=0,"N.D.",C152/C$144)</f>
        <v>0.45865869642555102</v>
      </c>
      <c r="E152" s="335">
        <v>185.45600000000002</v>
      </c>
      <c r="F152" s="415">
        <f>IF(E$144=0,"N.D.",E152/E$144)</f>
        <v>0.79990338497636382</v>
      </c>
      <c r="G152" s="335">
        <v>205.80599999999998</v>
      </c>
      <c r="H152" s="415">
        <f>IF(G$144=0,"N.D.",G152/G$144)</f>
        <v>0.78035740692291056</v>
      </c>
      <c r="I152" s="335">
        <v>190.43099999999998</v>
      </c>
      <c r="J152" s="415">
        <f>IF(I$144=0,"N.D.",I152/I$144)</f>
        <v>0.79140484739676831</v>
      </c>
      <c r="K152" s="335">
        <v>195.608</v>
      </c>
      <c r="L152" s="415">
        <f>IF(K$144=0,"N.D.",K152/K$144)</f>
        <v>0.78945817778226213</v>
      </c>
      <c r="M152" s="335">
        <v>198.62199999999999</v>
      </c>
      <c r="N152" s="415">
        <f>IF(M$144=0,"N.D.",M152/M$144)</f>
        <v>0.78792927670074298</v>
      </c>
      <c r="O152" s="335">
        <v>198.62187000000003</v>
      </c>
      <c r="P152" s="415">
        <f>IF(O$144=0,"N.D.",O152/O$144)</f>
        <v>0.78792863596564033</v>
      </c>
      <c r="Q152" s="335">
        <v>107.67028000000002</v>
      </c>
      <c r="R152" s="415">
        <f>IF(Q$144=0,"N.D.",Q152/Q$144)</f>
        <v>0.4754130788901953</v>
      </c>
      <c r="S152" s="335">
        <v>101.06093000000003</v>
      </c>
      <c r="T152" s="415">
        <f>IF(S$144=0,"N.D.",S152/S$144)</f>
        <v>0.41438695118733948</v>
      </c>
      <c r="U152" s="335">
        <v>100.45100000000001</v>
      </c>
      <c r="V152" s="415">
        <f>IF(U$144=0,"N.D.",U152/U$144)</f>
        <v>0.4091573763680873</v>
      </c>
      <c r="W152" s="335">
        <v>94.738000000000014</v>
      </c>
      <c r="X152" s="415">
        <f>IF(W$144=0,"N.D.",W152/W$144)</f>
        <v>0.41136242254768723</v>
      </c>
      <c r="Y152" s="335">
        <v>98.533000000000001</v>
      </c>
      <c r="Z152" s="415">
        <f>IF(Y$144=0,"N.D.",Y152/Y$144)</f>
        <v>0.39259772807866855</v>
      </c>
      <c r="AA152" s="335">
        <f t="shared" si="102"/>
        <v>1791.7809000000002</v>
      </c>
      <c r="AB152" s="26">
        <f>IF(AA$144=0,"N.D.",AA152/AA$144)</f>
        <v>0.61037428718548514</v>
      </c>
    </row>
    <row r="153" spans="2:28" ht="13" x14ac:dyDescent="0.3">
      <c r="B153" s="278" t="s">
        <v>45</v>
      </c>
      <c r="C153" s="335">
        <v>-45.052330000000048</v>
      </c>
      <c r="D153" s="415">
        <f>IF(C$144=0,"N.D.",C153/C$144)</f>
        <v>-0.18002383064585595</v>
      </c>
      <c r="E153" s="335">
        <v>-34.831000000000017</v>
      </c>
      <c r="F153" s="415">
        <f>IF(E$144=0,"N.D.",E153/E$144)</f>
        <v>-0.15023204858355482</v>
      </c>
      <c r="G153" s="335">
        <v>-32.552999999999997</v>
      </c>
      <c r="H153" s="415">
        <f>IF(G$144=0,"N.D.",G153/G$144)</f>
        <v>-0.12343165246669927</v>
      </c>
      <c r="I153" s="335">
        <v>-34.021999999999991</v>
      </c>
      <c r="J153" s="415">
        <f>IF(I$144=0,"N.D.",I153/I$144)</f>
        <v>-0.1413907174679167</v>
      </c>
      <c r="K153" s="335">
        <v>-33.824999999999989</v>
      </c>
      <c r="L153" s="415">
        <f>IF(K$144=0,"N.D.",K153/K$144)</f>
        <v>-0.13651498335183124</v>
      </c>
      <c r="M153" s="335">
        <v>-35.575000000000017</v>
      </c>
      <c r="N153" s="415">
        <f>IF(M$144=0,"N.D.",M153/M$144)</f>
        <v>-0.14112527322566959</v>
      </c>
      <c r="O153" s="335">
        <v>-35.574740000000048</v>
      </c>
      <c r="P153" s="415">
        <f>IF(O$144=0,"N.D.",O153/O$144)</f>
        <v>-0.14112421941769221</v>
      </c>
      <c r="Q153" s="335">
        <v>-42.308970000000016</v>
      </c>
      <c r="R153" s="415">
        <f>IF(Q$144=0,"N.D.",Q153/Q$144)</f>
        <v>-0.18681327560746486</v>
      </c>
      <c r="S153" s="335">
        <v>-26.325020000000077</v>
      </c>
      <c r="T153" s="415">
        <f>IF(S$144=0,"N.D.",S153/S$144)</f>
        <v>-0.10794225600086764</v>
      </c>
      <c r="U153" s="335">
        <v>-26.785999999999987</v>
      </c>
      <c r="V153" s="415">
        <f>IF(U$144=0,"N.D.",U153/U$144)</f>
        <v>-0.10910483204144887</v>
      </c>
      <c r="W153" s="335">
        <v>-24.90800000000003</v>
      </c>
      <c r="X153" s="415">
        <f>IF(W$144=0,"N.D.",W153/W$144)</f>
        <v>-0.10815317212541752</v>
      </c>
      <c r="Y153" s="335">
        <v>-26.406999999999996</v>
      </c>
      <c r="Z153" s="415">
        <f>IF(Y$144=0,"N.D.",Y153/Y$144)</f>
        <v>-0.10521681269598408</v>
      </c>
      <c r="AA153" s="335">
        <f t="shared" si="102"/>
        <v>-398.1680600000002</v>
      </c>
      <c r="AB153" s="26">
        <f>IF(AA$144=0,"N.D.",AA153/AA$144)</f>
        <v>-0.13563686598206712</v>
      </c>
    </row>
    <row r="154" spans="2:28" x14ac:dyDescent="0.25">
      <c r="C154" s="403"/>
      <c r="D154" s="421"/>
      <c r="E154" s="403"/>
      <c r="F154" s="421"/>
      <c r="G154" s="403"/>
      <c r="H154" s="421"/>
      <c r="I154" s="403"/>
      <c r="J154" s="421"/>
      <c r="K154" s="403"/>
      <c r="L154" s="421"/>
      <c r="M154" s="403"/>
      <c r="N154" s="421"/>
      <c r="O154" s="403"/>
      <c r="P154" s="421"/>
      <c r="Q154" s="403"/>
      <c r="R154" s="421"/>
      <c r="S154" s="403"/>
      <c r="T154" s="421"/>
      <c r="U154" s="403"/>
      <c r="V154" s="421"/>
      <c r="W154" s="403"/>
      <c r="X154" s="421"/>
      <c r="Y154" s="403"/>
      <c r="Z154" s="421"/>
      <c r="AA154" s="403"/>
      <c r="AB154" s="157"/>
    </row>
    <row r="155" spans="2:28" x14ac:dyDescent="0.25">
      <c r="B155" s="278"/>
      <c r="C155" s="400">
        <v>0</v>
      </c>
      <c r="D155" s="423">
        <f t="shared" ref="D155:D161" si="103">IF(C$144=0,"N.D.",C155/C$144)</f>
        <v>0</v>
      </c>
      <c r="E155" s="400">
        <v>0</v>
      </c>
      <c r="F155" s="423">
        <f t="shared" ref="F155:F161" si="104">IF(E$144=0,"N.D.",E155/E$144)</f>
        <v>0</v>
      </c>
      <c r="G155" s="400">
        <v>0</v>
      </c>
      <c r="H155" s="423">
        <f t="shared" ref="H155:H161" si="105">IF(G$144=0,"N.D.",G155/G$144)</f>
        <v>0</v>
      </c>
      <c r="I155" s="400">
        <v>0</v>
      </c>
      <c r="J155" s="423">
        <f t="shared" ref="J155:J161" si="106">IF(I$144=0,"N.D.",I155/I$144)</f>
        <v>0</v>
      </c>
      <c r="K155" s="400">
        <v>0</v>
      </c>
      <c r="L155" s="423">
        <f t="shared" ref="L155:L161" si="107">IF(K$144=0,"N.D.",K155/K$144)</f>
        <v>0</v>
      </c>
      <c r="M155" s="400">
        <v>0</v>
      </c>
      <c r="N155" s="423">
        <f t="shared" ref="N155:N161" si="108">IF(M$144=0,"N.D.",M155/M$144)</f>
        <v>0</v>
      </c>
      <c r="O155" s="400">
        <v>0</v>
      </c>
      <c r="P155" s="423">
        <f t="shared" ref="P155:P161" si="109">IF(O$144=0,"N.D.",O155/O$144)</f>
        <v>0</v>
      </c>
      <c r="Q155" s="400">
        <v>0</v>
      </c>
      <c r="R155" s="423">
        <f t="shared" ref="R155:R161" si="110">IF(Q$144=0,"N.D.",Q155/Q$144)</f>
        <v>0</v>
      </c>
      <c r="S155" s="400">
        <v>0</v>
      </c>
      <c r="T155" s="423">
        <f t="shared" ref="T155:T161" si="111">IF(S$144=0,"N.D.",S155/S$144)</f>
        <v>0</v>
      </c>
      <c r="U155" s="400">
        <v>0</v>
      </c>
      <c r="V155" s="423">
        <f t="shared" ref="V155:V161" si="112">IF(U$144=0,"N.D.",U155/U$144)</f>
        <v>0</v>
      </c>
      <c r="W155" s="400">
        <v>0</v>
      </c>
      <c r="X155" s="423">
        <f t="shared" ref="X155:X161" si="113">IF(W$144=0,"N.D.",W155/W$144)</f>
        <v>0</v>
      </c>
      <c r="Y155" s="400">
        <v>0</v>
      </c>
      <c r="Z155" s="423">
        <f t="shared" ref="Z155:Z161" si="114">IF(Y$144=0,"N.D.",Y155/Y$144)</f>
        <v>0</v>
      </c>
      <c r="AA155" s="400">
        <f t="shared" si="102"/>
        <v>0</v>
      </c>
      <c r="AB155" s="162">
        <f t="shared" ref="AB155:AB161" si="115">IF(AA$144=0,"N.D.",AA155/AA$144)</f>
        <v>0</v>
      </c>
    </row>
    <row r="156" spans="2:28" x14ac:dyDescent="0.25">
      <c r="B156" s="278" t="s">
        <v>52</v>
      </c>
      <c r="C156" s="398">
        <v>-5.8567299999999998</v>
      </c>
      <c r="D156" s="424">
        <f t="shared" si="103"/>
        <v>-2.3402806684104969E-2</v>
      </c>
      <c r="E156" s="398">
        <v>-1.4179999999999999</v>
      </c>
      <c r="F156" s="424">
        <f t="shared" si="104"/>
        <v>-6.1160760498257475E-3</v>
      </c>
      <c r="G156" s="398">
        <v>0.255</v>
      </c>
      <c r="H156" s="424">
        <f t="shared" si="105"/>
        <v>9.6688696522619468E-4</v>
      </c>
      <c r="I156" s="398">
        <v>-5.19</v>
      </c>
      <c r="J156" s="424">
        <f t="shared" si="106"/>
        <v>-2.156892080590465E-2</v>
      </c>
      <c r="K156" s="398">
        <v>-0.14000000000000001</v>
      </c>
      <c r="L156" s="424">
        <f t="shared" si="107"/>
        <v>-5.650287559277571E-4</v>
      </c>
      <c r="M156" s="398">
        <v>-0.26700000000000002</v>
      </c>
      <c r="N156" s="424">
        <f t="shared" si="108"/>
        <v>-1.0591833577302534E-3</v>
      </c>
      <c r="O156" s="398">
        <v>-0.26700999999999997</v>
      </c>
      <c r="P156" s="424">
        <f t="shared" si="109"/>
        <v>-1.0592228594423442E-3</v>
      </c>
      <c r="Q156" s="398">
        <v>6.0099999999999997E-3</v>
      </c>
      <c r="R156" s="424">
        <f t="shared" si="110"/>
        <v>2.6536873537712293E-5</v>
      </c>
      <c r="S156" s="398">
        <v>-2.3792499999999999</v>
      </c>
      <c r="T156" s="424">
        <f t="shared" si="111"/>
        <v>-9.7557993342479356E-3</v>
      </c>
      <c r="U156" s="398">
        <v>-4.6580000000000004</v>
      </c>
      <c r="V156" s="424">
        <f t="shared" si="112"/>
        <v>-1.8972982440419214E-2</v>
      </c>
      <c r="W156" s="398">
        <v>-6.4370000000000003</v>
      </c>
      <c r="X156" s="424">
        <f t="shared" si="113"/>
        <v>-2.7950135256596745E-2</v>
      </c>
      <c r="Y156" s="398">
        <v>-8.3000000000000004E-2</v>
      </c>
      <c r="Z156" s="424">
        <f t="shared" si="114"/>
        <v>-3.3070759471983492E-4</v>
      </c>
      <c r="AA156" s="398">
        <f t="shared" si="102"/>
        <v>-26.434979999999999</v>
      </c>
      <c r="AB156" s="163">
        <f t="shared" si="115"/>
        <v>-9.0051367744028044E-3</v>
      </c>
    </row>
    <row r="157" spans="2:28" x14ac:dyDescent="0.25">
      <c r="B157" s="278" t="s">
        <v>46</v>
      </c>
      <c r="C157" s="398">
        <v>0.84921000000000002</v>
      </c>
      <c r="D157" s="424">
        <f t="shared" si="103"/>
        <v>3.3933436344528059E-3</v>
      </c>
      <c r="E157" s="398">
        <v>0.86499999999999999</v>
      </c>
      <c r="F157" s="424">
        <f t="shared" si="104"/>
        <v>3.7308926538076668E-3</v>
      </c>
      <c r="G157" s="398">
        <v>0.73099999999999998</v>
      </c>
      <c r="H157" s="424">
        <f t="shared" si="105"/>
        <v>2.7717426336484247E-3</v>
      </c>
      <c r="I157" s="398">
        <v>0.78300000000000003</v>
      </c>
      <c r="J157" s="424">
        <f t="shared" si="106"/>
        <v>3.2540394973070018E-3</v>
      </c>
      <c r="K157" s="398">
        <v>0.877</v>
      </c>
      <c r="L157" s="424">
        <f t="shared" si="107"/>
        <v>3.5395015639188778E-3</v>
      </c>
      <c r="M157" s="398">
        <v>0.87</v>
      </c>
      <c r="N157" s="424">
        <f t="shared" si="108"/>
        <v>3.4512716150761065E-3</v>
      </c>
      <c r="O157" s="398">
        <v>0.86980999999999997</v>
      </c>
      <c r="P157" s="424">
        <f t="shared" si="109"/>
        <v>3.4505173415660295E-3</v>
      </c>
      <c r="Q157" s="398">
        <v>0.95511999999999997</v>
      </c>
      <c r="R157" s="424">
        <f t="shared" si="110"/>
        <v>4.2172876295074489E-3</v>
      </c>
      <c r="S157" s="398">
        <v>1.14191</v>
      </c>
      <c r="T157" s="424">
        <f t="shared" si="111"/>
        <v>4.6822506326662013E-3</v>
      </c>
      <c r="U157" s="398">
        <v>1.169</v>
      </c>
      <c r="V157" s="424">
        <f t="shared" si="112"/>
        <v>4.7615750263739938E-3</v>
      </c>
      <c r="W157" s="398">
        <v>0</v>
      </c>
      <c r="X157" s="424">
        <f t="shared" si="113"/>
        <v>0</v>
      </c>
      <c r="Y157" s="398">
        <v>0</v>
      </c>
      <c r="Z157" s="424">
        <f t="shared" si="114"/>
        <v>0</v>
      </c>
      <c r="AA157" s="398">
        <f t="shared" si="102"/>
        <v>9.1110499999999988</v>
      </c>
      <c r="AB157" s="163">
        <f t="shared" si="115"/>
        <v>3.1037001506497327E-3</v>
      </c>
    </row>
    <row r="158" spans="2:28" x14ac:dyDescent="0.25">
      <c r="B158" s="278" t="s">
        <v>47</v>
      </c>
      <c r="C158" s="398">
        <v>0</v>
      </c>
      <c r="D158" s="424">
        <f t="shared" si="103"/>
        <v>0</v>
      </c>
      <c r="E158" s="398">
        <v>0</v>
      </c>
      <c r="F158" s="424">
        <f t="shared" si="104"/>
        <v>0</v>
      </c>
      <c r="G158" s="398">
        <v>0</v>
      </c>
      <c r="H158" s="424">
        <f t="shared" si="105"/>
        <v>0</v>
      </c>
      <c r="I158" s="398">
        <v>0</v>
      </c>
      <c r="J158" s="424">
        <f t="shared" si="106"/>
        <v>0</v>
      </c>
      <c r="K158" s="398">
        <v>0</v>
      </c>
      <c r="L158" s="424">
        <f t="shared" si="107"/>
        <v>0</v>
      </c>
      <c r="M158" s="398">
        <v>0</v>
      </c>
      <c r="N158" s="424">
        <f t="shared" si="108"/>
        <v>0</v>
      </c>
      <c r="O158" s="398">
        <v>0</v>
      </c>
      <c r="P158" s="424">
        <f t="shared" si="109"/>
        <v>0</v>
      </c>
      <c r="Q158" s="398">
        <v>0</v>
      </c>
      <c r="R158" s="424">
        <f t="shared" si="110"/>
        <v>0</v>
      </c>
      <c r="S158" s="398">
        <v>0</v>
      </c>
      <c r="T158" s="424">
        <f t="shared" si="111"/>
        <v>0</v>
      </c>
      <c r="U158" s="398">
        <v>0</v>
      </c>
      <c r="V158" s="424">
        <f t="shared" si="112"/>
        <v>0</v>
      </c>
      <c r="W158" s="398">
        <v>0</v>
      </c>
      <c r="X158" s="424">
        <f t="shared" si="113"/>
        <v>0</v>
      </c>
      <c r="Y158" s="398">
        <v>0</v>
      </c>
      <c r="Z158" s="424">
        <f t="shared" si="114"/>
        <v>0</v>
      </c>
      <c r="AA158" s="398">
        <f t="shared" si="102"/>
        <v>0</v>
      </c>
      <c r="AB158" s="163">
        <f t="shared" si="115"/>
        <v>0</v>
      </c>
    </row>
    <row r="159" spans="2:28" x14ac:dyDescent="0.25">
      <c r="C159" s="398">
        <v>0</v>
      </c>
      <c r="D159" s="424">
        <f t="shared" si="103"/>
        <v>0</v>
      </c>
      <c r="E159" s="398">
        <v>0</v>
      </c>
      <c r="F159" s="424">
        <f t="shared" si="104"/>
        <v>0</v>
      </c>
      <c r="G159" s="398">
        <v>0</v>
      </c>
      <c r="H159" s="424">
        <f t="shared" si="105"/>
        <v>0</v>
      </c>
      <c r="I159" s="398">
        <v>0</v>
      </c>
      <c r="J159" s="424">
        <f t="shared" si="106"/>
        <v>0</v>
      </c>
      <c r="K159" s="398">
        <v>0</v>
      </c>
      <c r="L159" s="424">
        <f t="shared" si="107"/>
        <v>0</v>
      </c>
      <c r="M159" s="398">
        <v>0</v>
      </c>
      <c r="N159" s="424">
        <f t="shared" si="108"/>
        <v>0</v>
      </c>
      <c r="O159" s="398">
        <v>0</v>
      </c>
      <c r="P159" s="424">
        <f t="shared" si="109"/>
        <v>0</v>
      </c>
      <c r="Q159" s="398">
        <v>0</v>
      </c>
      <c r="R159" s="424">
        <f t="shared" si="110"/>
        <v>0</v>
      </c>
      <c r="S159" s="398">
        <v>0</v>
      </c>
      <c r="T159" s="424">
        <f t="shared" si="111"/>
        <v>0</v>
      </c>
      <c r="U159" s="398">
        <v>0</v>
      </c>
      <c r="V159" s="424">
        <f t="shared" si="112"/>
        <v>0</v>
      </c>
      <c r="W159" s="398">
        <v>0</v>
      </c>
      <c r="X159" s="424">
        <f t="shared" si="113"/>
        <v>0</v>
      </c>
      <c r="Y159" s="398">
        <v>0</v>
      </c>
      <c r="Z159" s="424">
        <f t="shared" si="114"/>
        <v>0</v>
      </c>
      <c r="AA159" s="398">
        <f t="shared" si="102"/>
        <v>0</v>
      </c>
      <c r="AB159" s="163">
        <f t="shared" si="115"/>
        <v>0</v>
      </c>
    </row>
    <row r="160" spans="2:28" ht="13" x14ac:dyDescent="0.3">
      <c r="B160" s="278" t="s">
        <v>48</v>
      </c>
      <c r="C160" s="335">
        <v>-5.0075199999999995</v>
      </c>
      <c r="D160" s="415">
        <f t="shared" si="103"/>
        <v>-2.0009463049652162E-2</v>
      </c>
      <c r="E160" s="335">
        <v>-0.55299999999999994</v>
      </c>
      <c r="F160" s="415">
        <f t="shared" si="104"/>
        <v>-2.3851833960180802E-3</v>
      </c>
      <c r="G160" s="335">
        <v>0.98599999999999999</v>
      </c>
      <c r="H160" s="415">
        <f t="shared" si="105"/>
        <v>3.7386295988746194E-3</v>
      </c>
      <c r="I160" s="335">
        <v>-4.407</v>
      </c>
      <c r="J160" s="415">
        <f t="shared" si="106"/>
        <v>-1.8314881308597646E-2</v>
      </c>
      <c r="K160" s="335">
        <v>0.73699999999999999</v>
      </c>
      <c r="L160" s="415">
        <f t="shared" si="107"/>
        <v>2.9744728079911208E-3</v>
      </c>
      <c r="M160" s="335">
        <v>0.60299999999999998</v>
      </c>
      <c r="N160" s="415">
        <f t="shared" si="108"/>
        <v>2.3920882573458531E-3</v>
      </c>
      <c r="O160" s="335">
        <v>0.6028</v>
      </c>
      <c r="P160" s="415">
        <f t="shared" si="109"/>
        <v>2.3912944821236851E-3</v>
      </c>
      <c r="Q160" s="335">
        <v>0.96112999999999993</v>
      </c>
      <c r="R160" s="415">
        <f t="shared" si="110"/>
        <v>4.2438245030451604E-3</v>
      </c>
      <c r="S160" s="335">
        <v>-1.2373399999999999</v>
      </c>
      <c r="T160" s="415">
        <f t="shared" si="111"/>
        <v>-5.0735487015817335E-3</v>
      </c>
      <c r="U160" s="335">
        <v>-3.4890000000000003</v>
      </c>
      <c r="V160" s="415">
        <f t="shared" si="112"/>
        <v>-1.4211407414045222E-2</v>
      </c>
      <c r="W160" s="335">
        <v>-6.4370000000000003</v>
      </c>
      <c r="X160" s="415">
        <f t="shared" si="113"/>
        <v>-2.7950135256596745E-2</v>
      </c>
      <c r="Y160" s="335">
        <v>-8.3000000000000004E-2</v>
      </c>
      <c r="Z160" s="415">
        <f t="shared" si="114"/>
        <v>-3.3070759471983492E-4</v>
      </c>
      <c r="AA160" s="335">
        <f t="shared" si="102"/>
        <v>-17.323929999999997</v>
      </c>
      <c r="AB160" s="26">
        <f t="shared" si="115"/>
        <v>-5.9014366237530713E-3</v>
      </c>
    </row>
    <row r="161" spans="2:28" ht="13" x14ac:dyDescent="0.3">
      <c r="B161" s="278" t="s">
        <v>49</v>
      </c>
      <c r="C161" s="335">
        <v>-40.044810000000048</v>
      </c>
      <c r="D161" s="415">
        <f t="shared" si="103"/>
        <v>-0.1600143675962038</v>
      </c>
      <c r="E161" s="335">
        <v>-34.27800000000002</v>
      </c>
      <c r="F161" s="415">
        <f t="shared" si="104"/>
        <v>-0.14784686518753673</v>
      </c>
      <c r="G161" s="335">
        <v>-33.538999999999994</v>
      </c>
      <c r="H161" s="415">
        <f t="shared" si="105"/>
        <v>-0.12717028206557388</v>
      </c>
      <c r="I161" s="335">
        <v>-29.614999999999991</v>
      </c>
      <c r="J161" s="415">
        <f t="shared" si="106"/>
        <v>-0.12307583615931907</v>
      </c>
      <c r="K161" s="335">
        <v>-34.561999999999991</v>
      </c>
      <c r="L161" s="415">
        <f t="shared" si="107"/>
        <v>-0.13948945615982239</v>
      </c>
      <c r="M161" s="335">
        <v>-36.178000000000019</v>
      </c>
      <c r="N161" s="415">
        <f t="shared" si="108"/>
        <v>-0.14351736148301547</v>
      </c>
      <c r="O161" s="335">
        <v>-36.17754000000005</v>
      </c>
      <c r="P161" s="415">
        <f t="shared" si="109"/>
        <v>-0.1435155138998159</v>
      </c>
      <c r="Q161" s="335">
        <v>-43.270100000000014</v>
      </c>
      <c r="R161" s="415">
        <f t="shared" si="110"/>
        <v>-0.19105710011051</v>
      </c>
      <c r="S161" s="335">
        <v>-25.087680000000077</v>
      </c>
      <c r="T161" s="415">
        <f t="shared" si="111"/>
        <v>-0.10286870729928592</v>
      </c>
      <c r="U161" s="335">
        <v>-23.296999999999986</v>
      </c>
      <c r="V161" s="415">
        <f t="shared" si="112"/>
        <v>-9.4893424627403647E-2</v>
      </c>
      <c r="W161" s="335">
        <v>-18.471000000000029</v>
      </c>
      <c r="X161" s="415">
        <f t="shared" si="113"/>
        <v>-8.0203036868820771E-2</v>
      </c>
      <c r="Y161" s="335">
        <v>-26.323999999999998</v>
      </c>
      <c r="Z161" s="415">
        <f t="shared" si="114"/>
        <v>-0.10488610510126425</v>
      </c>
      <c r="AA161" s="335">
        <f t="shared" si="102"/>
        <v>-380.84413000000018</v>
      </c>
      <c r="AB161" s="26">
        <f t="shared" si="115"/>
        <v>-0.12973542935831403</v>
      </c>
    </row>
    <row r="162" spans="2:28" x14ac:dyDescent="0.25">
      <c r="C162" s="403"/>
      <c r="D162" s="421"/>
      <c r="E162" s="403"/>
      <c r="F162" s="421"/>
      <c r="G162" s="403"/>
      <c r="H162" s="421"/>
      <c r="I162" s="403"/>
      <c r="J162" s="421"/>
      <c r="K162" s="403"/>
      <c r="L162" s="421"/>
      <c r="M162" s="403"/>
      <c r="N162" s="421"/>
      <c r="O162" s="403"/>
      <c r="P162" s="421"/>
      <c r="Q162" s="403"/>
      <c r="R162" s="421"/>
      <c r="S162" s="403"/>
      <c r="T162" s="421"/>
      <c r="U162" s="403"/>
      <c r="V162" s="421"/>
      <c r="W162" s="403"/>
      <c r="X162" s="421"/>
      <c r="Y162" s="403"/>
      <c r="Z162" s="421"/>
      <c r="AA162" s="403"/>
      <c r="AB162" s="157"/>
    </row>
    <row r="163" spans="2:28" x14ac:dyDescent="0.25">
      <c r="B163" s="278" t="s">
        <v>50</v>
      </c>
      <c r="C163" s="400">
        <v>0</v>
      </c>
      <c r="D163" s="422">
        <f>IF(C$144=0,"N.D.",C163/C$144)</f>
        <v>0</v>
      </c>
      <c r="E163" s="400">
        <v>0</v>
      </c>
      <c r="F163" s="422">
        <f>IF(E$144=0,"N.D.",E163/E$144)</f>
        <v>0</v>
      </c>
      <c r="G163" s="400">
        <v>0</v>
      </c>
      <c r="H163" s="422">
        <f t="shared" ref="H163:H172" si="116">IF(G$144=0,"N.D.",G163/G$144)</f>
        <v>0</v>
      </c>
      <c r="I163" s="400">
        <v>0</v>
      </c>
      <c r="J163" s="422">
        <f t="shared" ref="J163:J172" si="117">IF(I$144=0,"N.D.",I163/I$144)</f>
        <v>0</v>
      </c>
      <c r="K163" s="400">
        <v>0</v>
      </c>
      <c r="L163" s="422">
        <f t="shared" ref="L163:L172" si="118">IF(K$144=0,"N.D.",K163/K$144)</f>
        <v>0</v>
      </c>
      <c r="M163" s="400">
        <v>0</v>
      </c>
      <c r="N163" s="422">
        <f t="shared" ref="N163:N172" si="119">IF(M$144=0,"N.D.",M163/M$144)</f>
        <v>0</v>
      </c>
      <c r="O163" s="400">
        <v>0</v>
      </c>
      <c r="P163" s="422">
        <f t="shared" ref="P163:P172" si="120">IF(O$144=0,"N.D.",O163/O$144)</f>
        <v>0</v>
      </c>
      <c r="Q163" s="400">
        <v>0</v>
      </c>
      <c r="R163" s="422">
        <f t="shared" ref="R163:R172" si="121">IF(Q$144=0,"N.D.",Q163/Q$144)</f>
        <v>0</v>
      </c>
      <c r="S163" s="400">
        <v>0</v>
      </c>
      <c r="T163" s="422">
        <f t="shared" ref="T163:T172" si="122">IF(S$144=0,"N.D.",S163/S$144)</f>
        <v>0</v>
      </c>
      <c r="U163" s="400">
        <v>0</v>
      </c>
      <c r="V163" s="422">
        <f t="shared" ref="V163:V172" si="123">IF(U$144=0,"N.D.",U163/U$144)</f>
        <v>0</v>
      </c>
      <c r="W163" s="400">
        <v>0</v>
      </c>
      <c r="X163" s="422">
        <f t="shared" ref="X163:X172" si="124">IF(W$144=0,"N.D.",W163/W$144)</f>
        <v>0</v>
      </c>
      <c r="Y163" s="400">
        <v>0</v>
      </c>
      <c r="Z163" s="422">
        <f t="shared" ref="Z163:Z172" si="125">IF(Y$144=0,"N.D.",Y163/Y$144)</f>
        <v>0</v>
      </c>
      <c r="AA163" s="400">
        <f t="shared" si="102"/>
        <v>0</v>
      </c>
      <c r="AB163" s="156">
        <f t="shared" ref="AB163:AB172" si="126">IF(AA$144=0,"N.D.",AA163/AA$144)</f>
        <v>0</v>
      </c>
    </row>
    <row r="164" spans="2:28" x14ac:dyDescent="0.25">
      <c r="B164" s="278" t="s">
        <v>51</v>
      </c>
      <c r="C164" s="398">
        <v>0</v>
      </c>
      <c r="D164" s="420">
        <f>IF(C$144=0,"N.D.",C164/C$144)</f>
        <v>0</v>
      </c>
      <c r="E164" s="398">
        <v>0</v>
      </c>
      <c r="F164" s="420">
        <f>IF(E$144=0,"N.D.",E164/E$144)</f>
        <v>0</v>
      </c>
      <c r="G164" s="398">
        <v>0</v>
      </c>
      <c r="H164" s="420">
        <f t="shared" si="116"/>
        <v>0</v>
      </c>
      <c r="I164" s="398">
        <v>0</v>
      </c>
      <c r="J164" s="420">
        <f t="shared" si="117"/>
        <v>0</v>
      </c>
      <c r="K164" s="398">
        <v>0</v>
      </c>
      <c r="L164" s="420">
        <f t="shared" si="118"/>
        <v>0</v>
      </c>
      <c r="M164" s="398">
        <v>0</v>
      </c>
      <c r="N164" s="420">
        <f t="shared" si="119"/>
        <v>0</v>
      </c>
      <c r="O164" s="398">
        <v>0</v>
      </c>
      <c r="P164" s="420">
        <f t="shared" si="120"/>
        <v>0</v>
      </c>
      <c r="Q164" s="398">
        <v>0</v>
      </c>
      <c r="R164" s="420">
        <f t="shared" si="121"/>
        <v>0</v>
      </c>
      <c r="S164" s="398">
        <v>0</v>
      </c>
      <c r="T164" s="420">
        <f t="shared" si="122"/>
        <v>0</v>
      </c>
      <c r="U164" s="398">
        <v>0</v>
      </c>
      <c r="V164" s="420">
        <f t="shared" si="123"/>
        <v>0</v>
      </c>
      <c r="W164" s="398">
        <v>0</v>
      </c>
      <c r="X164" s="420">
        <f t="shared" si="124"/>
        <v>0</v>
      </c>
      <c r="Y164" s="398">
        <v>0</v>
      </c>
      <c r="Z164" s="420">
        <f t="shared" si="125"/>
        <v>0</v>
      </c>
      <c r="AA164" s="398">
        <f t="shared" si="102"/>
        <v>0</v>
      </c>
      <c r="AB164" s="155">
        <f t="shared" si="126"/>
        <v>0</v>
      </c>
    </row>
    <row r="165" spans="2:28" ht="13" x14ac:dyDescent="0.3">
      <c r="B165" s="282" t="s">
        <v>53</v>
      </c>
      <c r="C165" s="335">
        <v>-40.044810000000048</v>
      </c>
      <c r="D165" s="415">
        <f>IF(C$144=0,"N.D.",C165/C$144)</f>
        <v>-0.1600143675962038</v>
      </c>
      <c r="E165" s="335">
        <v>-34.27800000000002</v>
      </c>
      <c r="F165" s="415">
        <f>IF(E$144=0,"N.D.",E165/E$144)</f>
        <v>-0.14784686518753673</v>
      </c>
      <c r="G165" s="335">
        <v>-33.538999999999994</v>
      </c>
      <c r="H165" s="415">
        <f t="shared" si="116"/>
        <v>-0.12717028206557388</v>
      </c>
      <c r="I165" s="335">
        <v>-29.614999999999991</v>
      </c>
      <c r="J165" s="415">
        <f t="shared" si="117"/>
        <v>-0.12307583615931907</v>
      </c>
      <c r="K165" s="335">
        <v>-34.561999999999991</v>
      </c>
      <c r="L165" s="415">
        <f t="shared" si="118"/>
        <v>-0.13948945615982239</v>
      </c>
      <c r="M165" s="335">
        <v>-36.178000000000019</v>
      </c>
      <c r="N165" s="415">
        <f t="shared" si="119"/>
        <v>-0.14351736148301547</v>
      </c>
      <c r="O165" s="335">
        <v>-36.17754000000005</v>
      </c>
      <c r="P165" s="415">
        <f t="shared" si="120"/>
        <v>-0.1435155138998159</v>
      </c>
      <c r="Q165" s="335">
        <v>-43.270100000000014</v>
      </c>
      <c r="R165" s="415">
        <f t="shared" si="121"/>
        <v>-0.19105710011051</v>
      </c>
      <c r="S165" s="335">
        <v>-25.087680000000077</v>
      </c>
      <c r="T165" s="415">
        <f t="shared" si="122"/>
        <v>-0.10286870729928592</v>
      </c>
      <c r="U165" s="335">
        <v>-23.296999999999986</v>
      </c>
      <c r="V165" s="415">
        <f t="shared" si="123"/>
        <v>-9.4893424627403647E-2</v>
      </c>
      <c r="W165" s="335">
        <v>-18.471000000000029</v>
      </c>
      <c r="X165" s="415">
        <f t="shared" si="124"/>
        <v>-8.0203036868820771E-2</v>
      </c>
      <c r="Y165" s="335">
        <v>-26.323999999999998</v>
      </c>
      <c r="Z165" s="415">
        <f t="shared" si="125"/>
        <v>-0.10488610510126425</v>
      </c>
      <c r="AA165" s="335">
        <f t="shared" si="102"/>
        <v>-380.84413000000018</v>
      </c>
      <c r="AB165" s="26">
        <f t="shared" si="126"/>
        <v>-0.12973542935831403</v>
      </c>
    </row>
    <row r="166" spans="2:28" ht="13" x14ac:dyDescent="0.3">
      <c r="B166" s="274" t="s">
        <v>122</v>
      </c>
      <c r="C166" s="335">
        <v>-32.643650000000044</v>
      </c>
      <c r="D166" s="415">
        <f t="shared" ref="D166:F172" si="127">IF(C$144=0,"N.D.",C166/C$144)</f>
        <v>-0.13044019963590334</v>
      </c>
      <c r="E166" s="335">
        <v>-22.422000000000018</v>
      </c>
      <c r="F166" s="415">
        <f t="shared" si="127"/>
        <v>-9.6709913391532454E-2</v>
      </c>
      <c r="G166" s="335">
        <v>-20.143999999999998</v>
      </c>
      <c r="H166" s="415">
        <f t="shared" si="116"/>
        <v>-7.6380278539280255E-2</v>
      </c>
      <c r="I166" s="335">
        <v>-21.612999999999992</v>
      </c>
      <c r="J166" s="415">
        <f t="shared" si="117"/>
        <v>-8.9820633020812529E-2</v>
      </c>
      <c r="K166" s="335">
        <v>-21.41599999999999</v>
      </c>
      <c r="L166" s="415">
        <f t="shared" si="118"/>
        <v>-8.6433255978205989E-2</v>
      </c>
      <c r="M166" s="335">
        <v>-23.166000000000018</v>
      </c>
      <c r="N166" s="415">
        <f t="shared" si="119"/>
        <v>-9.1899032453854196E-2</v>
      </c>
      <c r="O166" s="335">
        <v>-23.166060000000048</v>
      </c>
      <c r="P166" s="415">
        <f t="shared" si="120"/>
        <v>-9.189925589009014E-2</v>
      </c>
      <c r="Q166" s="335">
        <v>-29.900310000000015</v>
      </c>
      <c r="R166" s="415">
        <f t="shared" si="121"/>
        <v>-0.13202341850389263</v>
      </c>
      <c r="S166" s="335">
        <v>-13.916340000000076</v>
      </c>
      <c r="T166" s="415">
        <f t="shared" si="122"/>
        <v>-5.7062108020245313E-2</v>
      </c>
      <c r="U166" s="335">
        <v>-17.543999999999986</v>
      </c>
      <c r="V166" s="415">
        <f t="shared" si="123"/>
        <v>-7.1460284228148221E-2</v>
      </c>
      <c r="W166" s="335">
        <v>-15.666000000000029</v>
      </c>
      <c r="X166" s="415">
        <f t="shared" si="124"/>
        <v>-6.8023430003083016E-2</v>
      </c>
      <c r="Y166" s="335">
        <v>-17.164999999999996</v>
      </c>
      <c r="Z166" s="415">
        <f t="shared" si="125"/>
        <v>-6.8392721245373059E-2</v>
      </c>
      <c r="AA166" s="335">
        <f t="shared" si="102"/>
        <v>-258.76236000000023</v>
      </c>
      <c r="AB166" s="26">
        <f t="shared" si="126"/>
        <v>-8.8147993449106427E-2</v>
      </c>
    </row>
    <row r="167" spans="2:28" s="130" customFormat="1" ht="13" x14ac:dyDescent="0.3">
      <c r="B167" s="1" t="s">
        <v>194</v>
      </c>
      <c r="C167" s="373">
        <v>0</v>
      </c>
      <c r="D167" s="407">
        <f t="shared" si="127"/>
        <v>0</v>
      </c>
      <c r="E167" s="373">
        <v>0</v>
      </c>
      <c r="F167" s="407">
        <f t="shared" si="127"/>
        <v>0</v>
      </c>
      <c r="G167" s="373">
        <v>0</v>
      </c>
      <c r="H167" s="407">
        <f t="shared" si="116"/>
        <v>0</v>
      </c>
      <c r="I167" s="373">
        <v>0</v>
      </c>
      <c r="J167" s="407">
        <f t="shared" si="117"/>
        <v>0</v>
      </c>
      <c r="K167" s="373">
        <v>0</v>
      </c>
      <c r="L167" s="407">
        <f t="shared" si="118"/>
        <v>0</v>
      </c>
      <c r="M167" s="373">
        <v>0</v>
      </c>
      <c r="N167" s="407">
        <f t="shared" si="119"/>
        <v>0</v>
      </c>
      <c r="O167" s="373">
        <v>0</v>
      </c>
      <c r="P167" s="407">
        <f t="shared" si="120"/>
        <v>0</v>
      </c>
      <c r="Q167" s="373">
        <v>0</v>
      </c>
      <c r="R167" s="407">
        <f t="shared" si="121"/>
        <v>0</v>
      </c>
      <c r="S167" s="373">
        <v>0</v>
      </c>
      <c r="T167" s="407">
        <f t="shared" si="122"/>
        <v>0</v>
      </c>
      <c r="U167" s="373">
        <v>0</v>
      </c>
      <c r="V167" s="407">
        <f t="shared" si="123"/>
        <v>0</v>
      </c>
      <c r="W167" s="373">
        <v>0</v>
      </c>
      <c r="X167" s="407">
        <f t="shared" si="124"/>
        <v>0</v>
      </c>
      <c r="Y167" s="373">
        <v>0</v>
      </c>
      <c r="Z167" s="407">
        <f t="shared" si="125"/>
        <v>0</v>
      </c>
      <c r="AA167" s="373">
        <f t="shared" si="102"/>
        <v>0</v>
      </c>
      <c r="AB167" s="360">
        <f t="shared" si="126"/>
        <v>0</v>
      </c>
    </row>
    <row r="168" spans="2:28" s="130" customFormat="1" ht="13" x14ac:dyDescent="0.3">
      <c r="B168" s="1" t="s">
        <v>123</v>
      </c>
      <c r="C168" s="408">
        <v>0</v>
      </c>
      <c r="D168" s="409">
        <f t="shared" si="127"/>
        <v>0</v>
      </c>
      <c r="E168" s="408"/>
      <c r="F168" s="409">
        <f t="shared" si="127"/>
        <v>0</v>
      </c>
      <c r="G168" s="408"/>
      <c r="H168" s="409">
        <f t="shared" si="116"/>
        <v>0</v>
      </c>
      <c r="I168" s="408"/>
      <c r="J168" s="409">
        <f t="shared" si="117"/>
        <v>0</v>
      </c>
      <c r="K168" s="408"/>
      <c r="L168" s="409">
        <f t="shared" si="118"/>
        <v>0</v>
      </c>
      <c r="M168" s="408"/>
      <c r="N168" s="409">
        <f t="shared" si="119"/>
        <v>0</v>
      </c>
      <c r="O168" s="408"/>
      <c r="P168" s="409">
        <f t="shared" si="120"/>
        <v>0</v>
      </c>
      <c r="Q168" s="408">
        <v>0</v>
      </c>
      <c r="R168" s="409">
        <f t="shared" si="121"/>
        <v>0</v>
      </c>
      <c r="S168" s="408">
        <v>0</v>
      </c>
      <c r="T168" s="409">
        <f t="shared" si="122"/>
        <v>0</v>
      </c>
      <c r="U168" s="408">
        <v>0</v>
      </c>
      <c r="V168" s="409">
        <f t="shared" si="123"/>
        <v>0</v>
      </c>
      <c r="W168" s="408">
        <v>0</v>
      </c>
      <c r="X168" s="409">
        <f t="shared" si="124"/>
        <v>0</v>
      </c>
      <c r="Y168" s="408">
        <v>0</v>
      </c>
      <c r="Z168" s="409">
        <f t="shared" si="125"/>
        <v>0</v>
      </c>
      <c r="AA168" s="408">
        <f t="shared" si="102"/>
        <v>0</v>
      </c>
      <c r="AB168" s="361">
        <f t="shared" si="126"/>
        <v>0</v>
      </c>
    </row>
    <row r="169" spans="2:28" s="130" customFormat="1" ht="13" x14ac:dyDescent="0.3">
      <c r="B169" s="7" t="s">
        <v>190</v>
      </c>
      <c r="C169" s="410">
        <v>-27.636130000000048</v>
      </c>
      <c r="D169" s="409">
        <f t="shared" si="127"/>
        <v>-0.1104307365862512</v>
      </c>
      <c r="E169" s="410">
        <v>-21.869000000000021</v>
      </c>
      <c r="F169" s="409">
        <f t="shared" si="127"/>
        <v>-9.4324729995514389E-2</v>
      </c>
      <c r="G169" s="410">
        <v>-21.129999999999995</v>
      </c>
      <c r="H169" s="409">
        <f t="shared" si="116"/>
        <v>-8.0118908138154851E-2</v>
      </c>
      <c r="I169" s="410">
        <v>-17.205999999999989</v>
      </c>
      <c r="J169" s="409">
        <f t="shared" si="117"/>
        <v>-7.1505751712214863E-2</v>
      </c>
      <c r="K169" s="410">
        <v>-22.152999999999992</v>
      </c>
      <c r="L169" s="409">
        <f t="shared" si="118"/>
        <v>-8.9407728786197113E-2</v>
      </c>
      <c r="M169" s="410">
        <v>-23.76900000000002</v>
      </c>
      <c r="N169" s="409">
        <f t="shared" si="119"/>
        <v>-9.4291120711200049E-2</v>
      </c>
      <c r="O169" s="410">
        <v>-23.76886000000005</v>
      </c>
      <c r="P169" s="409">
        <f t="shared" si="120"/>
        <v>-9.429055037221383E-2</v>
      </c>
      <c r="Q169" s="410">
        <v>-30.861440000000002</v>
      </c>
      <c r="R169" s="409">
        <f t="shared" si="121"/>
        <v>-0.13626724300693774</v>
      </c>
      <c r="S169" s="410">
        <v>-12.67900000000008</v>
      </c>
      <c r="T169" s="409">
        <f t="shared" si="122"/>
        <v>-5.1988559318663599E-2</v>
      </c>
      <c r="U169" s="410">
        <v>-14.054999999999986</v>
      </c>
      <c r="V169" s="409">
        <f t="shared" si="123"/>
        <v>-5.7248876814102997E-2</v>
      </c>
      <c r="W169" s="410">
        <v>-9.2290000000000276</v>
      </c>
      <c r="X169" s="409">
        <f t="shared" si="124"/>
        <v>-4.0073294746486271E-2</v>
      </c>
      <c r="Y169" s="410">
        <v>-17.082890000000027</v>
      </c>
      <c r="Z169" s="409">
        <f t="shared" si="125"/>
        <v>-6.806555979233167E-2</v>
      </c>
      <c r="AA169" s="410">
        <f t="shared" si="102"/>
        <v>-241.43932000000024</v>
      </c>
      <c r="AB169" s="361">
        <f t="shared" si="126"/>
        <v>-8.2246860005901604E-2</v>
      </c>
    </row>
    <row r="170" spans="2:28" s="130" customFormat="1" ht="13" x14ac:dyDescent="0.3">
      <c r="B170" s="7" t="s">
        <v>191</v>
      </c>
      <c r="C170" s="381">
        <v>4</v>
      </c>
      <c r="D170" s="411">
        <f t="shared" si="127"/>
        <v>1.5983531208783718E-2</v>
      </c>
      <c r="E170" s="381">
        <v>0</v>
      </c>
      <c r="F170" s="411">
        <f t="shared" si="127"/>
        <v>0</v>
      </c>
      <c r="G170" s="381">
        <v>8.1243199999999991</v>
      </c>
      <c r="H170" s="411">
        <f t="shared" si="116"/>
        <v>3.080509454637834E-2</v>
      </c>
      <c r="I170" s="381">
        <v>7.8436499999999993</v>
      </c>
      <c r="J170" s="411">
        <f t="shared" si="117"/>
        <v>3.2597122481547974E-2</v>
      </c>
      <c r="K170" s="381">
        <v>7.9466400000000004</v>
      </c>
      <c r="L170" s="411">
        <f t="shared" si="118"/>
        <v>3.2072000807183941E-2</v>
      </c>
      <c r="M170" s="381">
        <v>7.90693</v>
      </c>
      <c r="N170" s="411">
        <f t="shared" si="119"/>
        <v>3.1366624219992784E-2</v>
      </c>
      <c r="O170" s="381">
        <v>7.90693</v>
      </c>
      <c r="P170" s="411">
        <f t="shared" si="120"/>
        <v>3.1366619242764154E-2</v>
      </c>
      <c r="Q170" s="381">
        <v>4</v>
      </c>
      <c r="R170" s="411">
        <f t="shared" si="121"/>
        <v>1.7661812670690381E-2</v>
      </c>
      <c r="S170" s="381">
        <v>2</v>
      </c>
      <c r="T170" s="411">
        <f t="shared" si="122"/>
        <v>8.2007349662691492E-3</v>
      </c>
      <c r="U170" s="381">
        <v>2</v>
      </c>
      <c r="V170" s="411">
        <f t="shared" si="123"/>
        <v>8.1464072307510585E-3</v>
      </c>
      <c r="W170" s="381">
        <v>0</v>
      </c>
      <c r="X170" s="411">
        <f t="shared" si="124"/>
        <v>0</v>
      </c>
      <c r="Y170" s="381">
        <v>0</v>
      </c>
      <c r="Z170" s="411">
        <f t="shared" si="125"/>
        <v>0</v>
      </c>
      <c r="AA170" s="381">
        <f t="shared" si="102"/>
        <v>51.728469999999994</v>
      </c>
      <c r="AB170" s="151">
        <f t="shared" si="126"/>
        <v>1.7621422353283119E-2</v>
      </c>
    </row>
    <row r="171" spans="2:28" s="130" customFormat="1" ht="13" x14ac:dyDescent="0.3">
      <c r="B171" s="7" t="s">
        <v>84</v>
      </c>
      <c r="C171" s="381">
        <v>-31.636130000000048</v>
      </c>
      <c r="D171" s="411">
        <f t="shared" si="127"/>
        <v>-0.12641426779503492</v>
      </c>
      <c r="E171" s="381">
        <v>-21.869000000000021</v>
      </c>
      <c r="F171" s="411">
        <f t="shared" si="127"/>
        <v>-9.4324729995514389E-2</v>
      </c>
      <c r="G171" s="381">
        <v>-29.254319999999993</v>
      </c>
      <c r="H171" s="411">
        <f t="shared" si="116"/>
        <v>-0.11092400268453319</v>
      </c>
      <c r="I171" s="381">
        <v>-25.049649999999989</v>
      </c>
      <c r="J171" s="411">
        <f t="shared" si="117"/>
        <v>-0.10410287419376284</v>
      </c>
      <c r="K171" s="381">
        <v>-30.099639999999994</v>
      </c>
      <c r="L171" s="411">
        <f t="shared" si="118"/>
        <v>-0.12147972959338106</v>
      </c>
      <c r="M171" s="381">
        <v>-31.675930000000019</v>
      </c>
      <c r="N171" s="411">
        <f t="shared" si="119"/>
        <v>-0.12565774493119283</v>
      </c>
      <c r="O171" s="381">
        <v>-31.675790000000049</v>
      </c>
      <c r="P171" s="411">
        <f t="shared" si="120"/>
        <v>-0.12565716961497797</v>
      </c>
      <c r="Q171" s="381">
        <v>-34.861440000000002</v>
      </c>
      <c r="R171" s="411">
        <f t="shared" si="121"/>
        <v>-0.1539290556776281</v>
      </c>
      <c r="S171" s="381">
        <v>-14.67900000000008</v>
      </c>
      <c r="T171" s="411">
        <f t="shared" si="122"/>
        <v>-6.0189294284932748E-2</v>
      </c>
      <c r="U171" s="381">
        <v>-16.054999999999986</v>
      </c>
      <c r="V171" s="411">
        <f t="shared" si="123"/>
        <v>-6.5395284044854063E-2</v>
      </c>
      <c r="W171" s="381">
        <v>-9.2290000000000276</v>
      </c>
      <c r="X171" s="411">
        <f t="shared" si="124"/>
        <v>-4.0073294746486271E-2</v>
      </c>
      <c r="Y171" s="381">
        <v>-17.082890000000027</v>
      </c>
      <c r="Z171" s="411">
        <f t="shared" si="125"/>
        <v>-6.806555979233167E-2</v>
      </c>
      <c r="AA171" s="381">
        <f t="shared" si="102"/>
        <v>-293.1677900000002</v>
      </c>
      <c r="AB171" s="151">
        <f t="shared" si="126"/>
        <v>-9.9868282359184712E-2</v>
      </c>
    </row>
    <row r="172" spans="2:28" s="130" customFormat="1" ht="13" x14ac:dyDescent="0.3">
      <c r="B172" s="1" t="s">
        <v>193</v>
      </c>
      <c r="C172" s="412">
        <v>-6.9090325000000119</v>
      </c>
      <c r="D172" s="411">
        <f t="shared" si="127"/>
        <v>-2.76076841465628E-2</v>
      </c>
      <c r="E172" s="412" t="s">
        <v>451</v>
      </c>
      <c r="F172" s="411" t="e">
        <f t="shared" si="127"/>
        <v>#VALUE!</v>
      </c>
      <c r="G172" s="412">
        <v>-2.6008330543356242</v>
      </c>
      <c r="H172" s="411">
        <f t="shared" si="116"/>
        <v>-9.8616140351629258E-3</v>
      </c>
      <c r="I172" s="412">
        <v>-2.1936215919884225</v>
      </c>
      <c r="J172" s="411">
        <f t="shared" si="117"/>
        <v>-9.1163873594837692E-3</v>
      </c>
      <c r="K172" s="412">
        <v>-2.7877190863056573</v>
      </c>
      <c r="L172" s="411">
        <f t="shared" si="118"/>
        <v>-1.1251010337223921E-2</v>
      </c>
      <c r="M172" s="412">
        <v>-3.0060971831039378</v>
      </c>
      <c r="N172" s="411">
        <f t="shared" si="119"/>
        <v>-1.1925124000237772E-2</v>
      </c>
      <c r="O172" s="412">
        <v>-3.006079477116915</v>
      </c>
      <c r="P172" s="411">
        <f t="shared" si="120"/>
        <v>-1.1925051868704267E-2</v>
      </c>
      <c r="Q172" s="412">
        <v>-7.7153600000000004</v>
      </c>
      <c r="R172" s="411">
        <f t="shared" si="121"/>
        <v>-3.4066810751734435E-2</v>
      </c>
      <c r="S172" s="412">
        <v>-6.3395000000000401</v>
      </c>
      <c r="T172" s="411">
        <f t="shared" si="122"/>
        <v>-2.59942796593318E-2</v>
      </c>
      <c r="U172" s="412">
        <v>-7.0274999999999928</v>
      </c>
      <c r="V172" s="411">
        <f t="shared" si="123"/>
        <v>-2.8624438407051499E-2</v>
      </c>
      <c r="W172" s="412" t="s">
        <v>451</v>
      </c>
      <c r="X172" s="411" t="e">
        <f t="shared" si="124"/>
        <v>#VALUE!</v>
      </c>
      <c r="Y172" s="412" t="s">
        <v>451</v>
      </c>
      <c r="Z172" s="411" t="e">
        <f t="shared" si="125"/>
        <v>#VALUE!</v>
      </c>
      <c r="AA172" s="412" t="e">
        <f t="shared" si="102"/>
        <v>#VALUE!</v>
      </c>
      <c r="AB172" s="151" t="e">
        <f t="shared" si="126"/>
        <v>#VALUE!</v>
      </c>
    </row>
    <row r="173" spans="2:28" x14ac:dyDescent="0.25">
      <c r="D173" s="315"/>
      <c r="F173" s="315"/>
      <c r="H173" s="315"/>
      <c r="J173" s="315"/>
      <c r="L173" s="315"/>
      <c r="N173" s="315"/>
      <c r="P173" s="315"/>
      <c r="R173" s="315"/>
      <c r="T173" s="315"/>
      <c r="V173" s="315"/>
      <c r="X173" s="315"/>
      <c r="Z173" s="315"/>
      <c r="AB173" s="220"/>
    </row>
    <row r="174" spans="2:28" ht="13" x14ac:dyDescent="0.3">
      <c r="B174" s="283" t="s">
        <v>181</v>
      </c>
      <c r="D174" s="315"/>
      <c r="F174" s="315"/>
      <c r="H174" s="315"/>
      <c r="J174" s="315"/>
      <c r="L174" s="315"/>
      <c r="N174" s="315"/>
      <c r="P174" s="315"/>
      <c r="R174" s="315"/>
      <c r="T174" s="315"/>
      <c r="V174" s="315"/>
      <c r="X174" s="315"/>
      <c r="Z174" s="315"/>
      <c r="AB174" s="220"/>
    </row>
    <row r="175" spans="2:28" ht="13" x14ac:dyDescent="0.3">
      <c r="B175" s="277" t="s">
        <v>328</v>
      </c>
      <c r="C175" s="396" t="s">
        <v>195</v>
      </c>
      <c r="D175" s="397"/>
      <c r="E175" s="396" t="s">
        <v>197</v>
      </c>
      <c r="F175" s="397"/>
      <c r="G175" s="396" t="s">
        <v>198</v>
      </c>
      <c r="H175" s="397"/>
      <c r="I175" s="396" t="s">
        <v>199</v>
      </c>
      <c r="J175" s="397"/>
      <c r="K175" s="396" t="s">
        <v>200</v>
      </c>
      <c r="L175" s="397"/>
      <c r="M175" s="396" t="s">
        <v>201</v>
      </c>
      <c r="N175" s="397"/>
      <c r="O175" s="396" t="s">
        <v>202</v>
      </c>
      <c r="P175" s="397"/>
      <c r="Q175" s="396" t="s">
        <v>203</v>
      </c>
      <c r="R175" s="397"/>
      <c r="S175" s="396" t="s">
        <v>204</v>
      </c>
      <c r="T175" s="397"/>
      <c r="U175" s="396" t="s">
        <v>205</v>
      </c>
      <c r="V175" s="397"/>
      <c r="W175" s="396" t="s">
        <v>206</v>
      </c>
      <c r="X175" s="397"/>
      <c r="Y175" s="396" t="s">
        <v>207</v>
      </c>
      <c r="Z175" s="397"/>
      <c r="AA175" s="396" t="s">
        <v>218</v>
      </c>
      <c r="AB175" s="115"/>
    </row>
    <row r="176" spans="2:28" x14ac:dyDescent="0.25">
      <c r="B176" s="278" t="s">
        <v>38</v>
      </c>
      <c r="C176" s="398">
        <v>315.26570000000004</v>
      </c>
      <c r="D176" s="420">
        <f>IF(C$176=0,"N.D.",C176/C$176)</f>
        <v>1</v>
      </c>
      <c r="E176" s="398">
        <v>315.10500000000002</v>
      </c>
      <c r="F176" s="420">
        <f>IF(E$176=0,"N.D.",E176/E$176)</f>
        <v>1</v>
      </c>
      <c r="G176" s="398">
        <v>360.86799999999999</v>
      </c>
      <c r="H176" s="420">
        <f>IF(G$176=0,"N.D.",G176/G$176)</f>
        <v>1</v>
      </c>
      <c r="I176" s="398">
        <v>322.06400000000002</v>
      </c>
      <c r="J176" s="420">
        <f>IF(I$176=0,"N.D.",I176/I$176)</f>
        <v>1</v>
      </c>
      <c r="K176" s="398">
        <v>338.30599999999998</v>
      </c>
      <c r="L176" s="420">
        <f>IF(K$176=0,"N.D.",K176/K$176)</f>
        <v>1</v>
      </c>
      <c r="M176" s="398">
        <v>328.839</v>
      </c>
      <c r="N176" s="420">
        <f>IF(M$176=0,"N.D.",M176/M$176)</f>
        <v>1</v>
      </c>
      <c r="O176" s="398">
        <v>328.83873</v>
      </c>
      <c r="P176" s="420">
        <f>IF(O$176=0,"N.D.",O176/O$176)</f>
        <v>1</v>
      </c>
      <c r="Q176" s="398">
        <v>315.27382999999998</v>
      </c>
      <c r="R176" s="420">
        <f>IF(Q$176=0,"N.D.",Q176/Q$176)</f>
        <v>1</v>
      </c>
      <c r="S176" s="398">
        <v>320.54498999999998</v>
      </c>
      <c r="T176" s="420">
        <f>IF(S$176=0,"N.D.",S176/S$176)</f>
        <v>1</v>
      </c>
      <c r="U176" s="398">
        <v>306.99799999999999</v>
      </c>
      <c r="V176" s="420">
        <f>IF(U$176=0,"N.D.",U176/U$176)</f>
        <v>1</v>
      </c>
      <c r="W176" s="398">
        <v>296.25400000000002</v>
      </c>
      <c r="X176" s="420">
        <f>IF(W$176=0,"N.D.",W176/W$176)</f>
        <v>1</v>
      </c>
      <c r="Y176" s="398">
        <v>313.16899999999998</v>
      </c>
      <c r="Z176" s="420">
        <f>IF(Y$176=0,"N.D.",Y176/Y$176)</f>
        <v>1</v>
      </c>
      <c r="AA176" s="398">
        <f>+Y176+W176+U176+S176+Q176+O176+M176+K176+I176+G176+E176+C176</f>
        <v>3861.5262499999999</v>
      </c>
      <c r="AB176" s="155">
        <f>IF(AA$176=0,"N.D.",AA176/AA$176)</f>
        <v>1</v>
      </c>
    </row>
    <row r="177" spans="2:28" x14ac:dyDescent="0.25">
      <c r="B177" s="279" t="s">
        <v>39</v>
      </c>
      <c r="C177" s="398">
        <v>220.95570000000001</v>
      </c>
      <c r="D177" s="420">
        <f>IF(C$176=0,"N.D.",C177/C$176)</f>
        <v>0.70085550061424373</v>
      </c>
      <c r="E177" s="398">
        <v>109.02500000000001</v>
      </c>
      <c r="F177" s="420">
        <f>IF(E$176=0,"N.D.",E177/E$176)</f>
        <v>0.34599577918471619</v>
      </c>
      <c r="G177" s="398">
        <v>122.73099999999999</v>
      </c>
      <c r="H177" s="420">
        <f>IF(G$176=0,"N.D.",G177/G$176)</f>
        <v>0.34009942693727346</v>
      </c>
      <c r="I177" s="398">
        <v>111.779</v>
      </c>
      <c r="J177" s="420">
        <f>IF(I$176=0,"N.D.",I177/I$176)</f>
        <v>0.34707076854289826</v>
      </c>
      <c r="K177" s="398">
        <v>116.44</v>
      </c>
      <c r="L177" s="420">
        <f>IF(K$176=0,"N.D.",K177/K$176)</f>
        <v>0.34418544158247266</v>
      </c>
      <c r="M177" s="398">
        <v>111.461</v>
      </c>
      <c r="N177" s="420">
        <f>IF(M$176=0,"N.D.",M177/M$176)</f>
        <v>0.33895310471081591</v>
      </c>
      <c r="O177" s="398">
        <v>111.46080000000001</v>
      </c>
      <c r="P177" s="420">
        <f>IF(O$176=0,"N.D.",O177/O$176)</f>
        <v>0.33895277481457248</v>
      </c>
      <c r="Q177" s="398">
        <v>119.16784999999999</v>
      </c>
      <c r="R177" s="420">
        <f>IF(Q$176=0,"N.D.",Q177/Q$176)</f>
        <v>0.37798205452066858</v>
      </c>
      <c r="S177" s="398">
        <v>121.39449999999998</v>
      </c>
      <c r="T177" s="420">
        <f>IF(S$176=0,"N.D.",S177/S$176)</f>
        <v>0.37871282904780385</v>
      </c>
      <c r="U177" s="398">
        <v>118.928</v>
      </c>
      <c r="V177" s="420">
        <f>IF(U$176=0,"N.D.",U177/U$176)</f>
        <v>0.38739014586414244</v>
      </c>
      <c r="W177" s="398">
        <v>113.279</v>
      </c>
      <c r="X177" s="420">
        <f>IF(W$176=0,"N.D.",W177/W$176)</f>
        <v>0.38237120849001194</v>
      </c>
      <c r="Y177" s="398">
        <v>118.16200000000001</v>
      </c>
      <c r="Z177" s="420">
        <f>IF(Y$176=0,"N.D.",Y177/Y$176)</f>
        <v>0.37731065335330127</v>
      </c>
      <c r="AA177" s="398">
        <f t="shared" ref="AA177:AA203" si="128">+Y177+W177+U177+S177+Q177+O177+M177+K177+I177+G177+E177+C177</f>
        <v>1494.7838500000003</v>
      </c>
      <c r="AB177" s="155">
        <f>IF(AA$176=0,"N.D.",AA177/AA$176)</f>
        <v>0.38709664345801104</v>
      </c>
    </row>
    <row r="178" spans="2:28" x14ac:dyDescent="0.25">
      <c r="B178" s="278" t="s">
        <v>219</v>
      </c>
      <c r="C178" s="398"/>
      <c r="D178" s="420">
        <f>IF(C$176=0,"N.D.",C178/C$176)</f>
        <v>0</v>
      </c>
      <c r="E178" s="398">
        <v>0</v>
      </c>
      <c r="F178" s="420">
        <f>IF(E$176=0,"N.D.",E178/E$176)</f>
        <v>0</v>
      </c>
      <c r="G178" s="398">
        <v>0</v>
      </c>
      <c r="H178" s="420">
        <f>IF(G$176=0,"N.D.",G178/G$176)</f>
        <v>0</v>
      </c>
      <c r="I178" s="398">
        <v>0</v>
      </c>
      <c r="J178" s="420">
        <f>IF(I$176=0,"N.D.",I178/I$176)</f>
        <v>0</v>
      </c>
      <c r="K178" s="398">
        <v>0</v>
      </c>
      <c r="L178" s="420">
        <f>IF(K$176=0,"N.D.",K178/K$176)</f>
        <v>0</v>
      </c>
      <c r="M178" s="398">
        <v>0</v>
      </c>
      <c r="N178" s="420">
        <f>IF(M$176=0,"N.D.",M178/M$176)</f>
        <v>0</v>
      </c>
      <c r="O178" s="398">
        <v>0</v>
      </c>
      <c r="P178" s="420">
        <f>IF(O$176=0,"N.D.",O178/O$176)</f>
        <v>0</v>
      </c>
      <c r="Q178" s="398"/>
      <c r="R178" s="420">
        <f>IF(Q$176=0,"N.D.",Q178/Q$176)</f>
        <v>0</v>
      </c>
      <c r="S178" s="398"/>
      <c r="T178" s="420">
        <f>IF(S$176=0,"N.D.",S178/S$176)</f>
        <v>0</v>
      </c>
      <c r="U178" s="398">
        <v>84.704999999999998</v>
      </c>
      <c r="V178" s="420">
        <f>IF(U$176=0,"N.D.",U178/U$176)</f>
        <v>0.27591384960162607</v>
      </c>
      <c r="W178" s="398">
        <v>79.727999999999994</v>
      </c>
      <c r="X178" s="420">
        <f>IF(W$176=0,"N.D.",W178/W$176)</f>
        <v>0.2691204169395181</v>
      </c>
      <c r="Y178" s="398">
        <v>81.963999999999999</v>
      </c>
      <c r="Z178" s="420">
        <f>IF(Y$176=0,"N.D.",Y178/Y$176)</f>
        <v>0.26172450018999327</v>
      </c>
      <c r="AA178" s="398"/>
      <c r="AB178" s="155">
        <f>IF(AA$176=0,"N.D.",AA178/AA$176)</f>
        <v>0</v>
      </c>
    </row>
    <row r="179" spans="2:28" ht="13" x14ac:dyDescent="0.3">
      <c r="B179" s="278" t="s">
        <v>40</v>
      </c>
      <c r="C179" s="335">
        <v>94.310000000000031</v>
      </c>
      <c r="D179" s="415">
        <f>IF(C$176=0,"N.D.",C179/C$176)</f>
        <v>0.29914449938575627</v>
      </c>
      <c r="E179" s="335">
        <v>206.08</v>
      </c>
      <c r="F179" s="415">
        <f>IF(E$176=0,"N.D.",E179/E$176)</f>
        <v>0.65400422081528375</v>
      </c>
      <c r="G179" s="335">
        <v>238.137</v>
      </c>
      <c r="H179" s="415">
        <f>IF(G$176=0,"N.D.",G179/G$176)</f>
        <v>0.65990057306272654</v>
      </c>
      <c r="I179" s="335">
        <v>210.28500000000003</v>
      </c>
      <c r="J179" s="415">
        <f>IF(I$176=0,"N.D.",I179/I$176)</f>
        <v>0.65292923145710169</v>
      </c>
      <c r="K179" s="335">
        <v>221.86599999999999</v>
      </c>
      <c r="L179" s="415">
        <f>IF(K$176=0,"N.D.",K179/K$176)</f>
        <v>0.65581455841752734</v>
      </c>
      <c r="M179" s="335">
        <v>217.37799999999999</v>
      </c>
      <c r="N179" s="415">
        <f>IF(M$176=0,"N.D.",M179/M$176)</f>
        <v>0.66104689528918403</v>
      </c>
      <c r="O179" s="335">
        <v>217.37792999999999</v>
      </c>
      <c r="P179" s="415">
        <f>IF(O$176=0,"N.D.",O179/O$176)</f>
        <v>0.66104722518542747</v>
      </c>
      <c r="Q179" s="335">
        <v>112.09627999999998</v>
      </c>
      <c r="R179" s="415">
        <f>IF(Q$176=0,"N.D.",Q179/Q$176)</f>
        <v>0.35555212432316374</v>
      </c>
      <c r="S179" s="335">
        <v>115.52665999999999</v>
      </c>
      <c r="T179" s="415">
        <f>IF(S$176=0,"N.D.",S179/S$176)</f>
        <v>0.3604070055813382</v>
      </c>
      <c r="U179" s="335">
        <v>103.36499999999999</v>
      </c>
      <c r="V179" s="415">
        <f>IF(U$176=0,"N.D.",U179/U$176)</f>
        <v>0.33669600453423149</v>
      </c>
      <c r="W179" s="335">
        <v>103.24700000000003</v>
      </c>
      <c r="X179" s="415">
        <f>IF(W$176=0,"N.D.",W179/W$176)</f>
        <v>0.34850837457047001</v>
      </c>
      <c r="Y179" s="335">
        <v>113.04299999999998</v>
      </c>
      <c r="Z179" s="415">
        <f>IF(Y$176=0,"N.D.",Y179/Y$176)</f>
        <v>0.36096484645670546</v>
      </c>
      <c r="AA179" s="335">
        <f t="shared" si="128"/>
        <v>1952.7118699999999</v>
      </c>
      <c r="AB179" s="26">
        <f>IF(AA$176=0,"N.D.",AA179/AA$176)</f>
        <v>0.50568395592286852</v>
      </c>
    </row>
    <row r="180" spans="2:28" x14ac:dyDescent="0.25">
      <c r="B180" s="278"/>
      <c r="C180" s="403"/>
      <c r="D180" s="421"/>
      <c r="E180" s="403"/>
      <c r="F180" s="421"/>
      <c r="G180" s="403"/>
      <c r="H180" s="421"/>
      <c r="I180" s="403"/>
      <c r="J180" s="421"/>
      <c r="K180" s="403"/>
      <c r="L180" s="421"/>
      <c r="M180" s="403"/>
      <c r="N180" s="421"/>
      <c r="O180" s="403"/>
      <c r="P180" s="421"/>
      <c r="Q180" s="403"/>
      <c r="R180" s="421"/>
      <c r="S180" s="403"/>
      <c r="T180" s="421"/>
      <c r="U180" s="403"/>
      <c r="V180" s="421"/>
      <c r="W180" s="403"/>
      <c r="X180" s="421"/>
      <c r="Y180" s="403"/>
      <c r="Z180" s="421"/>
      <c r="AA180" s="403"/>
      <c r="AB180" s="157"/>
    </row>
    <row r="181" spans="2:28" x14ac:dyDescent="0.25">
      <c r="B181" s="278" t="s">
        <v>41</v>
      </c>
      <c r="C181" s="400">
        <v>99.658429999999996</v>
      </c>
      <c r="D181" s="422">
        <f>IF(C$176=0,"N.D.",C181/C$176)</f>
        <v>0.31610933254077428</v>
      </c>
      <c r="E181" s="400">
        <v>198.00299999999999</v>
      </c>
      <c r="F181" s="422">
        <f>IF(E$176=0,"N.D.",E181/E$176)</f>
        <v>0.62837149521588032</v>
      </c>
      <c r="G181" s="400">
        <v>215.10900000000001</v>
      </c>
      <c r="H181" s="422">
        <f>IF(G$176=0,"N.D.",G181/G$176)</f>
        <v>0.5960877661638051</v>
      </c>
      <c r="I181" s="400">
        <v>203.14500000000001</v>
      </c>
      <c r="J181" s="422">
        <v>0.57605049333064073</v>
      </c>
      <c r="K181" s="400">
        <v>222.62</v>
      </c>
      <c r="L181" s="422">
        <v>0.60856208648209675</v>
      </c>
      <c r="M181" s="400">
        <v>210.58199999999999</v>
      </c>
      <c r="N181" s="422">
        <f>IF(M$176=0,"N.D.",M181/M$176)</f>
        <v>0.64038024686852835</v>
      </c>
      <c r="O181" s="400">
        <v>210.58204999999998</v>
      </c>
      <c r="P181" s="422">
        <v>0.65002025647428696</v>
      </c>
      <c r="Q181" s="400">
        <v>185.18468999999999</v>
      </c>
      <c r="R181" s="422">
        <v>0.58737729674549899</v>
      </c>
      <c r="S181" s="400">
        <v>180.08609000000001</v>
      </c>
      <c r="T181" s="422">
        <f>IF(S$176=0,"N.D.",S181/S$176)</f>
        <v>0.56181221238241785</v>
      </c>
      <c r="U181" s="400">
        <v>99.55</v>
      </c>
      <c r="V181" s="422">
        <f>IF(U$176=0,"N.D.",U181/U$176)</f>
        <v>0.32426921348021809</v>
      </c>
      <c r="W181" s="400">
        <v>95.412999999999997</v>
      </c>
      <c r="X181" s="422">
        <f>IF(W$176=0,"N.D.",W181/W$176)</f>
        <v>0.32206484975730282</v>
      </c>
      <c r="Y181" s="400">
        <v>98.741</v>
      </c>
      <c r="Z181" s="422">
        <f>IF(Y$176=0,"N.D.",Y181/Y$176)</f>
        <v>0.31529621386535706</v>
      </c>
      <c r="AA181" s="400">
        <f t="shared" si="128"/>
        <v>2018.6742599999995</v>
      </c>
      <c r="AB181" s="156">
        <f>IF(AA$176=0,"N.D.",AA181/AA$176)</f>
        <v>0.52276590376667764</v>
      </c>
    </row>
    <row r="182" spans="2:28" x14ac:dyDescent="0.25">
      <c r="B182" s="278" t="s">
        <v>42</v>
      </c>
      <c r="C182" s="398">
        <v>21.40776</v>
      </c>
      <c r="D182" s="420">
        <f>IF(C$176=0,"N.D.",C182/C$176)</f>
        <v>6.7903866484682593E-2</v>
      </c>
      <c r="E182" s="398">
        <v>17.222999999999999</v>
      </c>
      <c r="F182" s="420">
        <f>IF(E$176=0,"N.D.",E182/E$176)</f>
        <v>5.4657971152472978E-2</v>
      </c>
      <c r="G182" s="398">
        <v>16.027999999999999</v>
      </c>
      <c r="H182" s="420">
        <f>IF(G$176=0,"N.D.",G182/G$176)</f>
        <v>4.4415132402983913E-2</v>
      </c>
      <c r="I182" s="398">
        <v>17.399000000000001</v>
      </c>
      <c r="J182" s="420">
        <f>IF(I$176=0,"N.D.",I182/I$176)</f>
        <v>5.4023423915743454E-2</v>
      </c>
      <c r="K182" s="398">
        <v>19.305</v>
      </c>
      <c r="L182" s="420">
        <f>IF(K$176=0,"N.D.",K182/K$176)</f>
        <v>5.7063723374696285E-2</v>
      </c>
      <c r="M182" s="398">
        <v>17.327999999999999</v>
      </c>
      <c r="N182" s="420">
        <f>IF(M$176=0,"N.D.",M182/M$176)</f>
        <v>5.2694479669382281E-2</v>
      </c>
      <c r="O182" s="398">
        <v>17.328279999999999</v>
      </c>
      <c r="P182" s="420">
        <f>IF(O$176=0,"N.D.",O182/O$176)</f>
        <v>5.2695374416511093E-2</v>
      </c>
      <c r="Q182" s="398">
        <v>18.33568</v>
      </c>
      <c r="R182" s="420">
        <f>IF(Q$176=0,"N.D.",Q182/Q$176)</f>
        <v>5.8157951137270104E-2</v>
      </c>
      <c r="S182" s="398">
        <v>19.031869999999998</v>
      </c>
      <c r="T182" s="420">
        <f>IF(S$176=0,"N.D.",S182/S$176)</f>
        <v>5.9373475155546807E-2</v>
      </c>
      <c r="U182" s="398">
        <v>15.984</v>
      </c>
      <c r="V182" s="420">
        <f>IF(U$176=0,"N.D.",U182/U$176)</f>
        <v>5.2065485768636934E-2</v>
      </c>
      <c r="W182" s="398">
        <v>17.318999999999999</v>
      </c>
      <c r="X182" s="420">
        <f>IF(W$176=0,"N.D.",W182/W$176)</f>
        <v>5.8459970160740442E-2</v>
      </c>
      <c r="Y182" s="398">
        <v>17.352</v>
      </c>
      <c r="Z182" s="420">
        <f>IF(Y$176=0,"N.D.",Y182/Y$176)</f>
        <v>5.5407783018114824E-2</v>
      </c>
      <c r="AA182" s="398">
        <f t="shared" si="128"/>
        <v>214.04158999999999</v>
      </c>
      <c r="AB182" s="155">
        <f>IF(AA$176=0,"N.D.",AA182/AA$176)</f>
        <v>5.5429272298744565E-2</v>
      </c>
    </row>
    <row r="183" spans="2:28" x14ac:dyDescent="0.25">
      <c r="B183" s="278" t="s">
        <v>43</v>
      </c>
      <c r="C183" s="398">
        <v>14.723879999999999</v>
      </c>
      <c r="D183" s="425">
        <f>IF(C$176=0,"N.D.",C183/C$176)</f>
        <v>4.6703082511037511E-2</v>
      </c>
      <c r="E183" s="398">
        <v>14.724</v>
      </c>
      <c r="F183" s="425">
        <f>IF(E$176=0,"N.D.",E183/E$176)</f>
        <v>4.6727281382396339E-2</v>
      </c>
      <c r="G183" s="398">
        <v>14.724</v>
      </c>
      <c r="H183" s="425">
        <f>IF(G$176=0,"N.D.",G183/G$176)</f>
        <v>4.0801622754026406E-2</v>
      </c>
      <c r="I183" s="398">
        <v>14.724</v>
      </c>
      <c r="J183" s="425">
        <f>IF(I$176=0,"N.D.",I183/I$176)</f>
        <v>4.5717621342341891E-2</v>
      </c>
      <c r="K183" s="398">
        <v>14.724</v>
      </c>
      <c r="L183" s="425">
        <f>IF(K$176=0,"N.D.",K183/K$176)</f>
        <v>4.3522727944523602E-2</v>
      </c>
      <c r="M183" s="398">
        <v>14.724</v>
      </c>
      <c r="N183" s="425">
        <f>IF(M$176=0,"N.D.",M183/M$176)</f>
        <v>4.4775710910202257E-2</v>
      </c>
      <c r="O183" s="398">
        <v>14.723879999999999</v>
      </c>
      <c r="P183" s="425">
        <f>IF(O$176=0,"N.D.",O183/O$176)</f>
        <v>4.4775382753728554E-2</v>
      </c>
      <c r="Q183" s="398">
        <v>14.723879999999999</v>
      </c>
      <c r="R183" s="425">
        <f>IF(Q$176=0,"N.D.",Q183/Q$176)</f>
        <v>4.6701878173649874E-2</v>
      </c>
      <c r="S183" s="398">
        <v>14.723879999999999</v>
      </c>
      <c r="T183" s="425">
        <f>IF(S$176=0,"N.D.",S183/S$176)</f>
        <v>4.593389527005242E-2</v>
      </c>
      <c r="U183" s="398">
        <v>14.724</v>
      </c>
      <c r="V183" s="425">
        <f>IF(U$176=0,"N.D.",U183/U$176)</f>
        <v>4.7961224503091225E-2</v>
      </c>
      <c r="W183" s="398">
        <v>14.724</v>
      </c>
      <c r="X183" s="425">
        <f>IF(W$176=0,"N.D.",W183/W$176)</f>
        <v>4.9700594759901975E-2</v>
      </c>
      <c r="Y183" s="398">
        <v>14.724</v>
      </c>
      <c r="Z183" s="425">
        <f>IF(Y$176=0,"N.D.",Y183/Y$176)</f>
        <v>4.7016147830723991E-2</v>
      </c>
      <c r="AA183" s="398">
        <f t="shared" si="128"/>
        <v>176.68751999999998</v>
      </c>
      <c r="AB183" s="164">
        <f>IF(AA$176=0,"N.D.",AA183/AA$176)</f>
        <v>4.5755876967041198E-2</v>
      </c>
    </row>
    <row r="184" spans="2:28" ht="13" x14ac:dyDescent="0.3">
      <c r="B184" s="279" t="s">
        <v>44</v>
      </c>
      <c r="C184" s="335">
        <v>135.79006999999999</v>
      </c>
      <c r="D184" s="415">
        <f>IF(C$176=0,"N.D.",C184/C$176)</f>
        <v>0.43071628153649438</v>
      </c>
      <c r="E184" s="335">
        <v>229.95</v>
      </c>
      <c r="F184" s="415">
        <f>IF(E$176=0,"N.D.",E184/E$176)</f>
        <v>0.72975674775074972</v>
      </c>
      <c r="G184" s="335">
        <v>245.86100000000002</v>
      </c>
      <c r="H184" s="415">
        <f>IF(G$176=0,"N.D.",G184/G$176)</f>
        <v>0.68130452132081543</v>
      </c>
      <c r="I184" s="335">
        <v>235.26800000000003</v>
      </c>
      <c r="J184" s="415">
        <f>IF(I$176=0,"N.D.",I184/I$176)</f>
        <v>0.7305007700332854</v>
      </c>
      <c r="K184" s="335">
        <v>256.649</v>
      </c>
      <c r="L184" s="415">
        <f>IF(K$176=0,"N.D.",K184/K$176)</f>
        <v>0.75862976122208892</v>
      </c>
      <c r="M184" s="335">
        <v>242.63399999999999</v>
      </c>
      <c r="N184" s="415">
        <f>IF(M$176=0,"N.D.",M184/M$176)</f>
        <v>0.73785043744811285</v>
      </c>
      <c r="O184" s="335">
        <v>242.63421</v>
      </c>
      <c r="P184" s="415">
        <f>IF(O$176=0,"N.D.",O184/O$176)</f>
        <v>0.73785168188674122</v>
      </c>
      <c r="Q184" s="335">
        <v>134.23454999999998</v>
      </c>
      <c r="R184" s="415">
        <f>IF(Q$176=0,"N.D.",Q184/Q$176)</f>
        <v>0.42577130490025128</v>
      </c>
      <c r="S184" s="335">
        <v>130.21800999999999</v>
      </c>
      <c r="T184" s="415">
        <f>IF(S$176=0,"N.D.",S184/S$176)</f>
        <v>0.40623941743715913</v>
      </c>
      <c r="U184" s="335">
        <v>130.25799999999998</v>
      </c>
      <c r="V184" s="415">
        <f>IF(U$176=0,"N.D.",U184/U$176)</f>
        <v>0.42429592375194625</v>
      </c>
      <c r="W184" s="335">
        <v>127.45599999999999</v>
      </c>
      <c r="X184" s="415">
        <f>IF(W$176=0,"N.D.",W184/W$176)</f>
        <v>0.43022541467794523</v>
      </c>
      <c r="Y184" s="335">
        <v>130.81700000000001</v>
      </c>
      <c r="Z184" s="415">
        <f>IF(Y$176=0,"N.D.",Y184/Y$176)</f>
        <v>0.41772014471419588</v>
      </c>
      <c r="AA184" s="335">
        <f t="shared" si="128"/>
        <v>2241.7698400000004</v>
      </c>
      <c r="AB184" s="26">
        <f>IF(AA$176=0,"N.D.",AA184/AA$176)</f>
        <v>0.5805398422450192</v>
      </c>
    </row>
    <row r="185" spans="2:28" ht="13" x14ac:dyDescent="0.3">
      <c r="B185" s="278" t="s">
        <v>45</v>
      </c>
      <c r="C185" s="335">
        <v>-41.480069999999976</v>
      </c>
      <c r="D185" s="415">
        <f>IF(C$176=0,"N.D.",C185/C$176)</f>
        <v>-0.13157178215073817</v>
      </c>
      <c r="E185" s="335">
        <v>-23.869999999999976</v>
      </c>
      <c r="F185" s="415">
        <f>IF(E$176=0,"N.D.",E185/E$176)</f>
        <v>-7.5752526935465872E-2</v>
      </c>
      <c r="G185" s="335">
        <v>-7.724000000000018</v>
      </c>
      <c r="H185" s="415">
        <f>IF(G$176=0,"N.D.",G185/G$176)</f>
        <v>-2.1403948258088879E-2</v>
      </c>
      <c r="I185" s="335">
        <v>-24.983000000000004</v>
      </c>
      <c r="J185" s="415">
        <f>IF(I$176=0,"N.D.",I185/I$176)</f>
        <v>-7.7571538576183624E-2</v>
      </c>
      <c r="K185" s="335">
        <v>-34.783000000000015</v>
      </c>
      <c r="L185" s="415">
        <f>IF(K$176=0,"N.D.",K185/K$176)</f>
        <v>-0.10281520280456161</v>
      </c>
      <c r="M185" s="335">
        <v>-25.256</v>
      </c>
      <c r="N185" s="415">
        <f>IF(M$176=0,"N.D.",M185/M$176)</f>
        <v>-7.6803542158928845E-2</v>
      </c>
      <c r="O185" s="335">
        <v>-25.256280000000004</v>
      </c>
      <c r="P185" s="415">
        <f>IF(O$176=0,"N.D.",O185/O$176)</f>
        <v>-7.680445670131375E-2</v>
      </c>
      <c r="Q185" s="335">
        <v>-22.138270000000006</v>
      </c>
      <c r="R185" s="415">
        <f>IF(Q$176=0,"N.D.",Q185/Q$176)</f>
        <v>-7.0219180577087564E-2</v>
      </c>
      <c r="S185" s="335">
        <v>-14.691350000000005</v>
      </c>
      <c r="T185" s="415">
        <f>IF(S$176=0,"N.D.",S185/S$176)</f>
        <v>-4.5832411855820945E-2</v>
      </c>
      <c r="U185" s="335">
        <v>-26.892999999999986</v>
      </c>
      <c r="V185" s="415">
        <f>IF(U$176=0,"N.D.",U185/U$176)</f>
        <v>-8.7599919217714733E-2</v>
      </c>
      <c r="W185" s="335">
        <v>-24.208999999999961</v>
      </c>
      <c r="X185" s="415">
        <f>IF(W$176=0,"N.D.",W185/W$176)</f>
        <v>-8.17170401074752E-2</v>
      </c>
      <c r="Y185" s="335">
        <v>-17.774000000000029</v>
      </c>
      <c r="Z185" s="415">
        <f>IF(Y$176=0,"N.D.",Y185/Y$176)</f>
        <v>-5.6755298257490462E-2</v>
      </c>
      <c r="AA185" s="335">
        <f t="shared" si="128"/>
        <v>-289.05796999999995</v>
      </c>
      <c r="AB185" s="26">
        <f>IF(AA$176=0,"N.D.",AA185/AA$176)</f>
        <v>-7.4855886322150456E-2</v>
      </c>
    </row>
    <row r="186" spans="2:28" x14ac:dyDescent="0.25">
      <c r="C186" s="403"/>
      <c r="D186" s="421"/>
      <c r="E186" s="403"/>
      <c r="F186" s="421"/>
      <c r="G186" s="403"/>
      <c r="H186" s="421"/>
      <c r="I186" s="403"/>
      <c r="J186" s="421"/>
      <c r="K186" s="403"/>
      <c r="L186" s="421"/>
      <c r="M186" s="403"/>
      <c r="N186" s="421"/>
      <c r="O186" s="403"/>
      <c r="P186" s="421"/>
      <c r="Q186" s="403"/>
      <c r="R186" s="421"/>
      <c r="S186" s="403"/>
      <c r="T186" s="421"/>
      <c r="U186" s="403"/>
      <c r="V186" s="421"/>
      <c r="W186" s="403"/>
      <c r="X186" s="421"/>
      <c r="Y186" s="403"/>
      <c r="Z186" s="421"/>
      <c r="AA186" s="403"/>
      <c r="AB186" s="157"/>
    </row>
    <row r="187" spans="2:28" x14ac:dyDescent="0.25">
      <c r="B187" s="278"/>
      <c r="C187" s="400"/>
      <c r="D187" s="422"/>
      <c r="E187" s="400"/>
      <c r="F187" s="422"/>
      <c r="G187" s="400"/>
      <c r="H187" s="422"/>
      <c r="I187" s="400"/>
      <c r="J187" s="422"/>
      <c r="K187" s="400"/>
      <c r="L187" s="422"/>
      <c r="M187" s="400"/>
      <c r="N187" s="422"/>
      <c r="O187" s="400"/>
      <c r="P187" s="422"/>
      <c r="Q187" s="400"/>
      <c r="R187" s="422"/>
      <c r="S187" s="400"/>
      <c r="T187" s="422"/>
      <c r="U187" s="400"/>
      <c r="V187" s="422"/>
      <c r="W187" s="400"/>
      <c r="X187" s="422"/>
      <c r="Y187" s="400"/>
      <c r="Z187" s="422"/>
      <c r="AA187" s="400"/>
      <c r="AB187" s="156"/>
    </row>
    <row r="188" spans="2:28" x14ac:dyDescent="0.25">
      <c r="B188" s="278" t="s">
        <v>52</v>
      </c>
      <c r="C188" s="398">
        <v>-2.41825</v>
      </c>
      <c r="D188" s="420">
        <f>IF(C$176=0,"N.D.",C188/C$176)</f>
        <v>-7.6705141092101034E-3</v>
      </c>
      <c r="E188" s="398">
        <v>-6.8070000000000004</v>
      </c>
      <c r="F188" s="420">
        <f>IF(E$176=0,"N.D.",E188/E$176)</f>
        <v>-2.1602323035178748E-2</v>
      </c>
      <c r="G188" s="398">
        <v>-4.5999999999999999E-2</v>
      </c>
      <c r="H188" s="420">
        <f>IF(G$176=0,"N.D.",G188/G$176)</f>
        <v>-1.2747043240187548E-4</v>
      </c>
      <c r="I188" s="398">
        <v>-5.125</v>
      </c>
      <c r="J188" s="420">
        <f>IF(I$176=0,"N.D.",I188/I$176)</f>
        <v>-1.5912986238759998E-2</v>
      </c>
      <c r="K188" s="398">
        <v>-0.13800000000000001</v>
      </c>
      <c r="L188" s="420">
        <f>IF(K$176=0,"N.D.",K188/K$176)</f>
        <v>-4.0791472808640703E-4</v>
      </c>
      <c r="M188" s="398">
        <v>-0.29799999999999999</v>
      </c>
      <c r="N188" s="420">
        <f>IF(M$176=0,"N.D.",M188/M$176)</f>
        <v>-9.0621854463734529E-4</v>
      </c>
      <c r="O188" s="398">
        <v>-0.29804000000000003</v>
      </c>
      <c r="P188" s="420">
        <f>IF(O$176=0,"N.D.",O188/O$176)</f>
        <v>-9.063409288802448E-4</v>
      </c>
      <c r="Q188" s="398">
        <v>-0.17902000000000001</v>
      </c>
      <c r="R188" s="420">
        <f>IF(Q$176=0,"N.D.",Q188/Q$176)</f>
        <v>-5.6782385014322325E-4</v>
      </c>
      <c r="S188" s="398">
        <v>-2.8026599999999999</v>
      </c>
      <c r="T188" s="420">
        <f>IF(S$176=0,"N.D.",S188/S$176)</f>
        <v>-8.743421633262775E-3</v>
      </c>
      <c r="U188" s="398">
        <v>-0.72699999999999998</v>
      </c>
      <c r="V188" s="420">
        <f>IF(U$176=0,"N.D.",U188/U$176)</f>
        <v>-2.3680936032156562E-3</v>
      </c>
      <c r="W188" s="398">
        <v>-5.3319999999999999</v>
      </c>
      <c r="X188" s="420">
        <f>IF(W$176=0,"N.D.",W188/W$176)</f>
        <v>-1.7998069224381779E-2</v>
      </c>
      <c r="Y188" s="398">
        <v>-1.619</v>
      </c>
      <c r="Z188" s="420">
        <f>IF(Y$176=0,"N.D.",Y188/Y$176)</f>
        <v>-5.1697326363720547E-3</v>
      </c>
      <c r="AA188" s="398">
        <f t="shared" si="128"/>
        <v>-25.789970000000004</v>
      </c>
      <c r="AB188" s="155">
        <f>IF(AA$176=0,"N.D.",AA188/AA$176)</f>
        <v>-6.6786986104263833E-3</v>
      </c>
    </row>
    <row r="189" spans="2:28" x14ac:dyDescent="0.25">
      <c r="B189" s="278" t="s">
        <v>46</v>
      </c>
      <c r="C189" s="398">
        <v>2.58141</v>
      </c>
      <c r="D189" s="420">
        <f>IF(C$176=0,"N.D.",C189/C$176)</f>
        <v>8.1880458292798736E-3</v>
      </c>
      <c r="E189" s="398">
        <v>2.5230000000000001</v>
      </c>
      <c r="F189" s="420">
        <f>IF(E$176=0,"N.D.",E189/E$176)</f>
        <v>8.0068548579045086E-3</v>
      </c>
      <c r="G189" s="398">
        <v>2.258</v>
      </c>
      <c r="H189" s="420">
        <f>IF(G$176=0,"N.D.",G189/G$176)</f>
        <v>6.2571355731181489E-3</v>
      </c>
      <c r="I189" s="398">
        <v>2.5299999999999998</v>
      </c>
      <c r="J189" s="420">
        <f>IF(I$176=0,"N.D.",I189/I$176)</f>
        <v>7.8555814993293248E-3</v>
      </c>
      <c r="K189" s="398">
        <v>2.419</v>
      </c>
      <c r="L189" s="420">
        <f>IF(K$176=0,"N.D.",K189/K$176)</f>
        <v>7.1503313568189748E-3</v>
      </c>
      <c r="M189" s="398">
        <v>2.4510000000000001</v>
      </c>
      <c r="N189" s="420">
        <f>IF(M$176=0,"N.D.",M189/M$176)</f>
        <v>7.4534954795507837E-3</v>
      </c>
      <c r="O189" s="398">
        <v>2.45065</v>
      </c>
      <c r="P189" s="420">
        <f>IF(O$176=0,"N.D.",O189/O$176)</f>
        <v>7.4524372478874373E-3</v>
      </c>
      <c r="Q189" s="398">
        <v>2.3084899999999999</v>
      </c>
      <c r="R189" s="420">
        <f>IF(Q$176=0,"N.D.",Q189/Q$176)</f>
        <v>7.3221745046203176E-3</v>
      </c>
      <c r="S189" s="398">
        <v>0.54555999999999993</v>
      </c>
      <c r="T189" s="420">
        <f>IF(S$176=0,"N.D.",S189/S$176)</f>
        <v>1.7019763746736456E-3</v>
      </c>
      <c r="U189" s="398">
        <v>0</v>
      </c>
      <c r="V189" s="420">
        <f>IF(U$176=0,"N.D.",U189/U$176)</f>
        <v>0</v>
      </c>
      <c r="W189" s="398">
        <v>0</v>
      </c>
      <c r="X189" s="420">
        <f>IF(W$176=0,"N.D.",W189/W$176)</f>
        <v>0</v>
      </c>
      <c r="Y189" s="398">
        <v>0</v>
      </c>
      <c r="Z189" s="420">
        <f>IF(Y$176=0,"N.D.",Y189/Y$176)</f>
        <v>0</v>
      </c>
      <c r="AA189" s="398">
        <f t="shared" si="128"/>
        <v>20.06711</v>
      </c>
      <c r="AB189" s="155">
        <f>IF(AA$176=0,"N.D.",AA189/AA$176)</f>
        <v>5.196678385910234E-3</v>
      </c>
    </row>
    <row r="190" spans="2:28" x14ac:dyDescent="0.25">
      <c r="B190" s="278" t="s">
        <v>47</v>
      </c>
      <c r="C190" s="398">
        <v>0</v>
      </c>
      <c r="D190" s="420">
        <f>IF(C$176=0,"N.D.",C190/C$176)</f>
        <v>0</v>
      </c>
      <c r="E190" s="398">
        <v>0</v>
      </c>
      <c r="F190" s="420">
        <f>IF(E$176=0,"N.D.",E190/E$176)</f>
        <v>0</v>
      </c>
      <c r="G190" s="398">
        <v>0</v>
      </c>
      <c r="H190" s="420">
        <f>IF(G$176=0,"N.D.",G190/G$176)</f>
        <v>0</v>
      </c>
      <c r="I190" s="398">
        <v>0</v>
      </c>
      <c r="J190" s="420">
        <f>IF(I$176=0,"N.D.",I190/I$176)</f>
        <v>0</v>
      </c>
      <c r="K190" s="398">
        <v>0</v>
      </c>
      <c r="L190" s="420">
        <f>IF(K$176=0,"N.D.",K190/K$176)</f>
        <v>0</v>
      </c>
      <c r="M190" s="398">
        <v>0</v>
      </c>
      <c r="N190" s="420">
        <f>IF(M$176=0,"N.D.",M190/M$176)</f>
        <v>0</v>
      </c>
      <c r="O190" s="398">
        <v>0</v>
      </c>
      <c r="P190" s="420">
        <f>IF(O$176=0,"N.D.",O190/O$176)</f>
        <v>0</v>
      </c>
      <c r="Q190" s="398">
        <v>0</v>
      </c>
      <c r="R190" s="420">
        <f>IF(Q$176=0,"N.D.",Q190/Q$176)</f>
        <v>0</v>
      </c>
      <c r="S190" s="398">
        <v>0</v>
      </c>
      <c r="T190" s="420">
        <f>IF(S$176=0,"N.D.",S190/S$176)</f>
        <v>0</v>
      </c>
      <c r="U190" s="398">
        <v>0</v>
      </c>
      <c r="V190" s="420">
        <f>IF(U$176=0,"N.D.",U190/U$176)</f>
        <v>0</v>
      </c>
      <c r="W190" s="398">
        <v>0</v>
      </c>
      <c r="X190" s="420">
        <f>IF(W$176=0,"N.D.",W190/W$176)</f>
        <v>0</v>
      </c>
      <c r="Y190" s="398">
        <v>0</v>
      </c>
      <c r="Z190" s="420">
        <f>IF(Y$176=0,"N.D.",Y190/Y$176)</f>
        <v>0</v>
      </c>
      <c r="AA190" s="398">
        <f t="shared" si="128"/>
        <v>0</v>
      </c>
      <c r="AB190" s="155">
        <f>IF(AA$176=0,"N.D.",AA190/AA$176)</f>
        <v>0</v>
      </c>
    </row>
    <row r="191" spans="2:28" x14ac:dyDescent="0.25">
      <c r="C191" s="398"/>
      <c r="D191" s="420"/>
      <c r="E191" s="398"/>
      <c r="F191" s="420"/>
      <c r="G191" s="398"/>
      <c r="H191" s="420"/>
      <c r="I191" s="398"/>
      <c r="J191" s="420"/>
      <c r="K191" s="398"/>
      <c r="L191" s="420"/>
      <c r="M191" s="398"/>
      <c r="N191" s="420"/>
      <c r="O191" s="398"/>
      <c r="P191" s="420"/>
      <c r="Q191" s="398"/>
      <c r="R191" s="420"/>
      <c r="S191" s="398"/>
      <c r="T191" s="420"/>
      <c r="U191" s="398"/>
      <c r="V191" s="420"/>
      <c r="W191" s="398"/>
      <c r="X191" s="420"/>
      <c r="Y191" s="398"/>
      <c r="Z191" s="420"/>
      <c r="AA191" s="398"/>
      <c r="AB191" s="155"/>
    </row>
    <row r="192" spans="2:28" ht="13" x14ac:dyDescent="0.3">
      <c r="B192" s="278" t="s">
        <v>48</v>
      </c>
      <c r="C192" s="335">
        <v>0.16315999999999997</v>
      </c>
      <c r="D192" s="415">
        <f>IF(C$176=0,"N.D.",C192/C$176)</f>
        <v>5.1753172006976955E-4</v>
      </c>
      <c r="E192" s="335">
        <v>-4.2840000000000007</v>
      </c>
      <c r="F192" s="415">
        <f>IF(E$176=0,"N.D.",E192/E$176)</f>
        <v>-1.3595468177274243E-2</v>
      </c>
      <c r="G192" s="335">
        <v>2.2120000000000002</v>
      </c>
      <c r="H192" s="415">
        <f>IF(G$176=0,"N.D.",G192/G$176)</f>
        <v>6.129665140716274E-3</v>
      </c>
      <c r="I192" s="335">
        <v>-2.5950000000000002</v>
      </c>
      <c r="J192" s="415">
        <f>IF(I$176=0,"N.D.",I192/I$176)</f>
        <v>-8.0574047394306719E-3</v>
      </c>
      <c r="K192" s="335">
        <v>2.2810000000000001</v>
      </c>
      <c r="L192" s="415">
        <f>IF(K$176=0,"N.D.",K192/K$176)</f>
        <v>6.742416628732568E-3</v>
      </c>
      <c r="M192" s="335">
        <v>2.153</v>
      </c>
      <c r="N192" s="415">
        <f>IF(M$176=0,"N.D.",M192/M$176)</f>
        <v>6.5472769349134378E-3</v>
      </c>
      <c r="O192" s="335">
        <v>2.1526100000000001</v>
      </c>
      <c r="P192" s="415">
        <f>IF(O$176=0,"N.D.",O192/O$176)</f>
        <v>6.5460963190071926E-3</v>
      </c>
      <c r="Q192" s="335">
        <v>2.12947</v>
      </c>
      <c r="R192" s="415">
        <f>IF(Q$176=0,"N.D.",Q192/Q$176)</f>
        <v>6.7543506544770942E-3</v>
      </c>
      <c r="S192" s="335">
        <v>-2.2570999999999999</v>
      </c>
      <c r="T192" s="415">
        <f>IF(S$176=0,"N.D.",S192/S$176)</f>
        <v>-7.0414452585891296E-3</v>
      </c>
      <c r="U192" s="335">
        <v>-0.72699999999999998</v>
      </c>
      <c r="V192" s="415">
        <f>IF(U$176=0,"N.D.",U192/U$176)</f>
        <v>-2.3680936032156562E-3</v>
      </c>
      <c r="W192" s="335">
        <v>-5.3319999999999999</v>
      </c>
      <c r="X192" s="415">
        <f>IF(W$176=0,"N.D.",W192/W$176)</f>
        <v>-1.7998069224381779E-2</v>
      </c>
      <c r="Y192" s="335">
        <v>-1.619</v>
      </c>
      <c r="Z192" s="415">
        <f>IF(Y$176=0,"N.D.",Y192/Y$176)</f>
        <v>-5.1697326363720547E-3</v>
      </c>
      <c r="AA192" s="335">
        <f t="shared" si="128"/>
        <v>-5.7228600000000007</v>
      </c>
      <c r="AB192" s="26">
        <f>IF(AA$176=0,"N.D.",AA192/AA$176)</f>
        <v>-1.4820202245161484E-3</v>
      </c>
    </row>
    <row r="193" spans="2:28" ht="13" x14ac:dyDescent="0.3">
      <c r="B193" s="278" t="s">
        <v>49</v>
      </c>
      <c r="C193" s="335">
        <v>-41.643229999999981</v>
      </c>
      <c r="D193" s="415">
        <f>IF(C$176=0,"N.D.",C193/C$176)</f>
        <v>-0.13208931387080794</v>
      </c>
      <c r="E193" s="335">
        <v>-19.585999999999977</v>
      </c>
      <c r="F193" s="415">
        <f>IF(E$176=0,"N.D.",E193/E$176)</f>
        <v>-6.2157058758191636E-2</v>
      </c>
      <c r="G193" s="335">
        <v>-9.9360000000000177</v>
      </c>
      <c r="H193" s="415">
        <f>IF(G$176=0,"N.D.",G193/G$176)</f>
        <v>-2.7533613398805154E-2</v>
      </c>
      <c r="I193" s="335">
        <v>-22.388000000000005</v>
      </c>
      <c r="J193" s="415">
        <f>IF(I$176=0,"N.D.",I193/I$176)</f>
        <v>-6.951413383675295E-2</v>
      </c>
      <c r="K193" s="335">
        <v>-37.064000000000014</v>
      </c>
      <c r="L193" s="415">
        <f>IF(K$176=0,"N.D.",K193/K$176)</f>
        <v>-0.10955761943329416</v>
      </c>
      <c r="M193" s="335">
        <v>-27.408999999999999</v>
      </c>
      <c r="N193" s="415">
        <f>IF(M$176=0,"N.D.",M193/M$176)</f>
        <v>-8.3350819093842274E-2</v>
      </c>
      <c r="O193" s="335">
        <v>-27.408890000000003</v>
      </c>
      <c r="P193" s="415">
        <f>IF(O$176=0,"N.D.",O193/O$176)</f>
        <v>-8.3350553020320947E-2</v>
      </c>
      <c r="Q193" s="335">
        <v>-24.267740000000007</v>
      </c>
      <c r="R193" s="415">
        <f>IF(Q$176=0,"N.D.",Q193/Q$176)</f>
        <v>-7.6973531231564668E-2</v>
      </c>
      <c r="S193" s="335">
        <v>-12.434250000000006</v>
      </c>
      <c r="T193" s="415">
        <f>IF(S$176=0,"N.D.",S193/S$176)</f>
        <v>-3.8790966597231816E-2</v>
      </c>
      <c r="U193" s="335">
        <v>-26.165999999999986</v>
      </c>
      <c r="V193" s="415">
        <f>IF(U$176=0,"N.D.",U193/U$176)</f>
        <v>-8.5231825614499074E-2</v>
      </c>
      <c r="W193" s="335">
        <v>-18.87699999999996</v>
      </c>
      <c r="X193" s="415">
        <f>IF(W$176=0,"N.D.",W193/W$176)</f>
        <v>-6.3718970883093418E-2</v>
      </c>
      <c r="Y193" s="335">
        <v>-16.15500000000003</v>
      </c>
      <c r="Z193" s="415">
        <f>IF(Y$176=0,"N.D.",Y193/Y$176)</f>
        <v>-5.1585565621118407E-2</v>
      </c>
      <c r="AA193" s="335">
        <f t="shared" si="128"/>
        <v>-283.33510999999999</v>
      </c>
      <c r="AB193" s="26">
        <f>IF(AA$176=0,"N.D.",AA193/AA$176)</f>
        <v>-7.3373866097634327E-2</v>
      </c>
    </row>
    <row r="194" spans="2:28" x14ac:dyDescent="0.25">
      <c r="C194" s="403"/>
      <c r="D194" s="421"/>
      <c r="E194" s="403"/>
      <c r="F194" s="421"/>
      <c r="G194" s="403"/>
      <c r="H194" s="421"/>
      <c r="I194" s="403"/>
      <c r="J194" s="421"/>
      <c r="K194" s="403"/>
      <c r="L194" s="421"/>
      <c r="M194" s="403"/>
      <c r="N194" s="421"/>
      <c r="O194" s="403"/>
      <c r="P194" s="421"/>
      <c r="Q194" s="403"/>
      <c r="R194" s="421"/>
      <c r="S194" s="403"/>
      <c r="T194" s="421"/>
      <c r="U194" s="403"/>
      <c r="V194" s="421"/>
      <c r="W194" s="403"/>
      <c r="X194" s="421"/>
      <c r="Y194" s="403"/>
      <c r="Z194" s="421"/>
      <c r="AA194" s="403"/>
      <c r="AB194" s="157"/>
    </row>
    <row r="195" spans="2:28" x14ac:dyDescent="0.25">
      <c r="B195" s="278" t="s">
        <v>50</v>
      </c>
      <c r="C195" s="400">
        <v>0</v>
      </c>
      <c r="D195" s="422">
        <f t="shared" ref="D195:D203" si="129">IF(C$176=0,"N.D.",C195/C$176)</f>
        <v>0</v>
      </c>
      <c r="E195" s="400">
        <v>0</v>
      </c>
      <c r="F195" s="422">
        <f t="shared" ref="F195:F203" si="130">IF(E$176=0,"N.D.",E195/E$176)</f>
        <v>0</v>
      </c>
      <c r="G195" s="400">
        <v>0</v>
      </c>
      <c r="H195" s="422">
        <f t="shared" ref="H195:H203" si="131">IF(G$176=0,"N.D.",G195/G$176)</f>
        <v>0</v>
      </c>
      <c r="I195" s="400">
        <v>0</v>
      </c>
      <c r="J195" s="422">
        <f t="shared" ref="J195:J203" si="132">IF(I$176=0,"N.D.",I195/I$176)</f>
        <v>0</v>
      </c>
      <c r="K195" s="400">
        <v>0</v>
      </c>
      <c r="L195" s="422">
        <f t="shared" ref="L195:L203" si="133">IF(K$176=0,"N.D.",K195/K$176)</f>
        <v>0</v>
      </c>
      <c r="M195" s="400">
        <v>0</v>
      </c>
      <c r="N195" s="422">
        <f t="shared" ref="N195:N203" si="134">IF(M$176=0,"N.D.",M195/M$176)</f>
        <v>0</v>
      </c>
      <c r="O195" s="400">
        <v>0</v>
      </c>
      <c r="P195" s="422">
        <f t="shared" ref="P195:P203" si="135">IF(O$176=0,"N.D.",O195/O$176)</f>
        <v>0</v>
      </c>
      <c r="Q195" s="400">
        <v>0</v>
      </c>
      <c r="R195" s="422">
        <f t="shared" ref="R195:R203" si="136">IF(Q$176=0,"N.D.",Q195/Q$176)</f>
        <v>0</v>
      </c>
      <c r="S195" s="400">
        <v>0</v>
      </c>
      <c r="T195" s="422">
        <f t="shared" ref="T195:T203" si="137">IF(S$176=0,"N.D.",S195/S$176)</f>
        <v>0</v>
      </c>
      <c r="U195" s="400">
        <v>0</v>
      </c>
      <c r="V195" s="422">
        <f t="shared" ref="V195:V203" si="138">IF(U$176=0,"N.D.",U195/U$176)</f>
        <v>0</v>
      </c>
      <c r="W195" s="400">
        <v>0</v>
      </c>
      <c r="X195" s="422">
        <f t="shared" ref="X195:X203" si="139">IF(W$176=0,"N.D.",W195/W$176)</f>
        <v>0</v>
      </c>
      <c r="Y195" s="400">
        <v>0</v>
      </c>
      <c r="Z195" s="422">
        <f t="shared" ref="Z195:Z203" si="140">IF(Y$176=0,"N.D.",Y195/Y$176)</f>
        <v>0</v>
      </c>
      <c r="AA195" s="400">
        <f t="shared" si="128"/>
        <v>0</v>
      </c>
      <c r="AB195" s="156">
        <f t="shared" ref="AB195:AB203" si="141">IF(AA$176=0,"N.D.",AA195/AA$176)</f>
        <v>0</v>
      </c>
    </row>
    <row r="196" spans="2:28" x14ac:dyDescent="0.25">
      <c r="B196" s="278" t="s">
        <v>51</v>
      </c>
      <c r="C196" s="398">
        <v>0</v>
      </c>
      <c r="D196" s="420">
        <f t="shared" si="129"/>
        <v>0</v>
      </c>
      <c r="E196" s="398">
        <v>0</v>
      </c>
      <c r="F196" s="420">
        <f t="shared" si="130"/>
        <v>0</v>
      </c>
      <c r="G196" s="398">
        <v>0</v>
      </c>
      <c r="H196" s="420">
        <f t="shared" si="131"/>
        <v>0</v>
      </c>
      <c r="I196" s="398">
        <v>0</v>
      </c>
      <c r="J196" s="420">
        <f t="shared" si="132"/>
        <v>0</v>
      </c>
      <c r="K196" s="398">
        <v>0</v>
      </c>
      <c r="L196" s="420">
        <f t="shared" si="133"/>
        <v>0</v>
      </c>
      <c r="M196" s="398">
        <v>0</v>
      </c>
      <c r="N196" s="420">
        <f t="shared" si="134"/>
        <v>0</v>
      </c>
      <c r="O196" s="398">
        <v>0</v>
      </c>
      <c r="P196" s="420">
        <f t="shared" si="135"/>
        <v>0</v>
      </c>
      <c r="Q196" s="398">
        <v>0</v>
      </c>
      <c r="R196" s="420">
        <f t="shared" si="136"/>
        <v>0</v>
      </c>
      <c r="S196" s="398">
        <v>0</v>
      </c>
      <c r="T196" s="420">
        <f t="shared" si="137"/>
        <v>0</v>
      </c>
      <c r="U196" s="398">
        <v>0</v>
      </c>
      <c r="V196" s="420">
        <f t="shared" si="138"/>
        <v>0</v>
      </c>
      <c r="W196" s="398">
        <v>0</v>
      </c>
      <c r="X196" s="420">
        <f t="shared" si="139"/>
        <v>0</v>
      </c>
      <c r="Y196" s="398">
        <v>0</v>
      </c>
      <c r="Z196" s="420">
        <f t="shared" si="140"/>
        <v>0</v>
      </c>
      <c r="AA196" s="398">
        <f t="shared" si="128"/>
        <v>0</v>
      </c>
      <c r="AB196" s="155">
        <f t="shared" si="141"/>
        <v>0</v>
      </c>
    </row>
    <row r="197" spans="2:28" ht="13" x14ac:dyDescent="0.3">
      <c r="B197" s="282" t="s">
        <v>53</v>
      </c>
      <c r="C197" s="335">
        <v>-41.643229999999981</v>
      </c>
      <c r="D197" s="415">
        <f t="shared" si="129"/>
        <v>-0.13208931387080794</v>
      </c>
      <c r="E197" s="335">
        <v>-19.585999999999977</v>
      </c>
      <c r="F197" s="415">
        <f t="shared" si="130"/>
        <v>-6.2157058758191636E-2</v>
      </c>
      <c r="G197" s="335">
        <v>-9.9360000000000177</v>
      </c>
      <c r="H197" s="415">
        <f t="shared" si="131"/>
        <v>-2.7533613398805154E-2</v>
      </c>
      <c r="I197" s="335">
        <v>-22.388000000000005</v>
      </c>
      <c r="J197" s="415">
        <f t="shared" si="132"/>
        <v>-6.951413383675295E-2</v>
      </c>
      <c r="K197" s="335">
        <v>-37.064000000000014</v>
      </c>
      <c r="L197" s="415">
        <f t="shared" si="133"/>
        <v>-0.10955761943329416</v>
      </c>
      <c r="M197" s="335">
        <v>-27.408999999999999</v>
      </c>
      <c r="N197" s="415">
        <f t="shared" si="134"/>
        <v>-8.3350819093842274E-2</v>
      </c>
      <c r="O197" s="335">
        <v>-27.408890000000003</v>
      </c>
      <c r="P197" s="415">
        <f t="shared" si="135"/>
        <v>-8.3350553020320947E-2</v>
      </c>
      <c r="Q197" s="335">
        <v>-24.267740000000007</v>
      </c>
      <c r="R197" s="415">
        <f t="shared" si="136"/>
        <v>-7.6973531231564668E-2</v>
      </c>
      <c r="S197" s="335">
        <v>-12.434250000000006</v>
      </c>
      <c r="T197" s="415">
        <f t="shared" si="137"/>
        <v>-3.8790966597231816E-2</v>
      </c>
      <c r="U197" s="335">
        <v>-26.165999999999986</v>
      </c>
      <c r="V197" s="415">
        <f t="shared" si="138"/>
        <v>-8.5231825614499074E-2</v>
      </c>
      <c r="W197" s="335">
        <v>-18.87699999999996</v>
      </c>
      <c r="X197" s="415">
        <f t="shared" si="139"/>
        <v>-6.3718970883093418E-2</v>
      </c>
      <c r="Y197" s="335">
        <v>-16.15500000000003</v>
      </c>
      <c r="Z197" s="415">
        <f t="shared" si="140"/>
        <v>-5.1585565621118407E-2</v>
      </c>
      <c r="AA197" s="335">
        <f t="shared" si="128"/>
        <v>-283.33510999999999</v>
      </c>
      <c r="AB197" s="26">
        <f t="shared" si="141"/>
        <v>-7.3373866097634327E-2</v>
      </c>
    </row>
    <row r="198" spans="2:28" ht="13" x14ac:dyDescent="0.3">
      <c r="B198" s="274" t="s">
        <v>122</v>
      </c>
      <c r="C198" s="335">
        <v>-26.756189999999979</v>
      </c>
      <c r="D198" s="415">
        <f t="shared" si="129"/>
        <v>-8.4868699639700659E-2</v>
      </c>
      <c r="E198" s="335">
        <v>-9.1459999999999759</v>
      </c>
      <c r="F198" s="415">
        <f t="shared" si="130"/>
        <v>-2.9025245553069533E-2</v>
      </c>
      <c r="G198" s="335">
        <v>6.9999999999999822</v>
      </c>
      <c r="H198" s="415">
        <f t="shared" si="131"/>
        <v>1.9397674495937524E-2</v>
      </c>
      <c r="I198" s="335">
        <v>-10.259000000000004</v>
      </c>
      <c r="J198" s="415">
        <f t="shared" si="132"/>
        <v>-3.1853917233841733E-2</v>
      </c>
      <c r="K198" s="335">
        <v>-20.059000000000015</v>
      </c>
      <c r="L198" s="415">
        <f t="shared" si="133"/>
        <v>-5.9292474860038004E-2</v>
      </c>
      <c r="M198" s="335">
        <v>-10.532</v>
      </c>
      <c r="N198" s="415">
        <f t="shared" si="134"/>
        <v>-3.2027831248726581E-2</v>
      </c>
      <c r="O198" s="335">
        <v>-10.532400000000004</v>
      </c>
      <c r="P198" s="415">
        <f t="shared" si="135"/>
        <v>-3.2029073947585203E-2</v>
      </c>
      <c r="Q198" s="335">
        <v>-7.4143900000000045</v>
      </c>
      <c r="R198" s="415">
        <f t="shared" si="136"/>
        <v>-2.3517302403437686E-2</v>
      </c>
      <c r="S198" s="335">
        <v>3.2529999999993377E-2</v>
      </c>
      <c r="T198" s="415">
        <f t="shared" si="137"/>
        <v>1.0148341423147302E-4</v>
      </c>
      <c r="U198" s="335">
        <v>-12.168999999999986</v>
      </c>
      <c r="V198" s="415">
        <f t="shared" si="138"/>
        <v>-3.9638694714623501E-2</v>
      </c>
      <c r="W198" s="335">
        <v>-9.4849999999999604</v>
      </c>
      <c r="X198" s="415">
        <f t="shared" si="139"/>
        <v>-3.2016445347573232E-2</v>
      </c>
      <c r="Y198" s="335">
        <v>-3.0500000000000291</v>
      </c>
      <c r="Z198" s="415">
        <f t="shared" si="140"/>
        <v>-9.7391504267664714E-3</v>
      </c>
      <c r="AA198" s="335">
        <f t="shared" si="128"/>
        <v>-112.37044999999996</v>
      </c>
      <c r="AB198" s="26">
        <f t="shared" si="141"/>
        <v>-2.9100009355109258E-2</v>
      </c>
    </row>
    <row r="199" spans="2:28" s="130" customFormat="1" ht="13" x14ac:dyDescent="0.3">
      <c r="B199" s="1" t="s">
        <v>194</v>
      </c>
      <c r="C199" s="373">
        <v>0</v>
      </c>
      <c r="D199" s="407">
        <f t="shared" si="129"/>
        <v>0</v>
      </c>
      <c r="E199" s="373">
        <v>0</v>
      </c>
      <c r="F199" s="407">
        <f t="shared" si="130"/>
        <v>0</v>
      </c>
      <c r="G199" s="373">
        <v>0</v>
      </c>
      <c r="H199" s="407">
        <f t="shared" si="131"/>
        <v>0</v>
      </c>
      <c r="I199" s="373">
        <v>0</v>
      </c>
      <c r="J199" s="407">
        <f t="shared" si="132"/>
        <v>0</v>
      </c>
      <c r="K199" s="373">
        <v>0</v>
      </c>
      <c r="L199" s="407">
        <f t="shared" si="133"/>
        <v>0</v>
      </c>
      <c r="M199" s="373">
        <v>0</v>
      </c>
      <c r="N199" s="407">
        <f t="shared" si="134"/>
        <v>0</v>
      </c>
      <c r="O199" s="373">
        <v>0</v>
      </c>
      <c r="P199" s="407">
        <f t="shared" si="135"/>
        <v>0</v>
      </c>
      <c r="Q199" s="373">
        <v>0</v>
      </c>
      <c r="R199" s="407">
        <f t="shared" si="136"/>
        <v>0</v>
      </c>
      <c r="S199" s="373">
        <v>0</v>
      </c>
      <c r="T199" s="407">
        <f t="shared" si="137"/>
        <v>0</v>
      </c>
      <c r="U199" s="373">
        <v>0</v>
      </c>
      <c r="V199" s="407">
        <f t="shared" si="138"/>
        <v>0</v>
      </c>
      <c r="W199" s="373">
        <v>0</v>
      </c>
      <c r="X199" s="407">
        <f t="shared" si="139"/>
        <v>0</v>
      </c>
      <c r="Y199" s="373">
        <v>0</v>
      </c>
      <c r="Z199" s="407">
        <f t="shared" si="140"/>
        <v>0</v>
      </c>
      <c r="AA199" s="373">
        <f t="shared" si="128"/>
        <v>0</v>
      </c>
      <c r="AB199" s="360">
        <f t="shared" si="141"/>
        <v>0</v>
      </c>
    </row>
    <row r="200" spans="2:28" s="130" customFormat="1" ht="13" x14ac:dyDescent="0.3">
      <c r="B200" s="1" t="s">
        <v>123</v>
      </c>
      <c r="C200" s="408">
        <v>0</v>
      </c>
      <c r="D200" s="409">
        <f t="shared" si="129"/>
        <v>0</v>
      </c>
      <c r="E200" s="408"/>
      <c r="F200" s="409">
        <f t="shared" si="130"/>
        <v>0</v>
      </c>
      <c r="G200" s="408"/>
      <c r="H200" s="409">
        <f t="shared" si="131"/>
        <v>0</v>
      </c>
      <c r="I200" s="408"/>
      <c r="J200" s="409">
        <f t="shared" si="132"/>
        <v>0</v>
      </c>
      <c r="K200" s="408"/>
      <c r="L200" s="409">
        <f t="shared" si="133"/>
        <v>0</v>
      </c>
      <c r="M200" s="408"/>
      <c r="N200" s="409">
        <f t="shared" si="134"/>
        <v>0</v>
      </c>
      <c r="O200" s="408"/>
      <c r="P200" s="409">
        <f t="shared" si="135"/>
        <v>0</v>
      </c>
      <c r="Q200" s="408">
        <v>0</v>
      </c>
      <c r="R200" s="409">
        <f t="shared" si="136"/>
        <v>0</v>
      </c>
      <c r="S200" s="408">
        <v>0</v>
      </c>
      <c r="T200" s="409">
        <f t="shared" si="137"/>
        <v>0</v>
      </c>
      <c r="U200" s="408">
        <v>0</v>
      </c>
      <c r="V200" s="409">
        <f t="shared" si="138"/>
        <v>0</v>
      </c>
      <c r="W200" s="408">
        <v>0</v>
      </c>
      <c r="X200" s="409">
        <f t="shared" si="139"/>
        <v>0</v>
      </c>
      <c r="Y200" s="408">
        <v>0</v>
      </c>
      <c r="Z200" s="409">
        <f t="shared" si="140"/>
        <v>0</v>
      </c>
      <c r="AA200" s="408">
        <f t="shared" si="128"/>
        <v>0</v>
      </c>
      <c r="AB200" s="361">
        <f t="shared" si="141"/>
        <v>0</v>
      </c>
    </row>
    <row r="201" spans="2:28" s="130" customFormat="1" ht="13" x14ac:dyDescent="0.3">
      <c r="B201" s="7" t="s">
        <v>190</v>
      </c>
      <c r="C201" s="410">
        <v>-26.91934999999998</v>
      </c>
      <c r="D201" s="409">
        <f t="shared" si="129"/>
        <v>-8.5386231359770429E-2</v>
      </c>
      <c r="E201" s="410">
        <v>-4.861999999999977</v>
      </c>
      <c r="F201" s="409">
        <f t="shared" si="130"/>
        <v>-1.5429777375795296E-2</v>
      </c>
      <c r="G201" s="410">
        <v>4.7879999999999825</v>
      </c>
      <c r="H201" s="409">
        <f t="shared" si="131"/>
        <v>1.3268009355221251E-2</v>
      </c>
      <c r="I201" s="410">
        <v>-7.664000000000005</v>
      </c>
      <c r="J201" s="409">
        <f t="shared" si="132"/>
        <v>-2.3796512494411063E-2</v>
      </c>
      <c r="K201" s="410">
        <v>-22.340000000000014</v>
      </c>
      <c r="L201" s="409">
        <f t="shared" si="133"/>
        <v>-6.6034891488770564E-2</v>
      </c>
      <c r="M201" s="410">
        <v>-12.684999999999999</v>
      </c>
      <c r="N201" s="409">
        <f t="shared" si="134"/>
        <v>-3.8575108183640017E-2</v>
      </c>
      <c r="O201" s="410">
        <v>-12.685010000000004</v>
      </c>
      <c r="P201" s="409">
        <f t="shared" si="135"/>
        <v>-3.8575170266592393E-2</v>
      </c>
      <c r="Q201" s="410">
        <v>-9.5438600000000076</v>
      </c>
      <c r="R201" s="409">
        <f t="shared" si="136"/>
        <v>-3.0271653057914794E-2</v>
      </c>
      <c r="S201" s="410">
        <v>2.2896299999999989</v>
      </c>
      <c r="T201" s="409">
        <f t="shared" si="137"/>
        <v>7.1429286728206202E-3</v>
      </c>
      <c r="U201" s="410">
        <v>-11.441999999999972</v>
      </c>
      <c r="V201" s="409">
        <f t="shared" si="138"/>
        <v>-3.72706011114078E-2</v>
      </c>
      <c r="W201" s="410">
        <v>-4.152999999999988</v>
      </c>
      <c r="X201" s="409">
        <f t="shared" si="139"/>
        <v>-1.4018376123191545E-2</v>
      </c>
      <c r="Y201" s="410">
        <v>-1.4310700000000001</v>
      </c>
      <c r="Z201" s="409">
        <f t="shared" si="140"/>
        <v>-4.5696413118795284E-3</v>
      </c>
      <c r="AA201" s="410">
        <f t="shared" si="128"/>
        <v>-106.64765999999997</v>
      </c>
      <c r="AB201" s="361">
        <f t="shared" si="141"/>
        <v>-2.7618007258140478E-2</v>
      </c>
    </row>
    <row r="202" spans="2:28" s="130" customFormat="1" ht="13" x14ac:dyDescent="0.3">
      <c r="B202" s="7" t="s">
        <v>191</v>
      </c>
      <c r="C202" s="381">
        <v>9</v>
      </c>
      <c r="D202" s="411">
        <f t="shared" si="129"/>
        <v>2.8547349109021371E-2</v>
      </c>
      <c r="E202" s="381">
        <v>0</v>
      </c>
      <c r="F202" s="411">
        <f t="shared" si="130"/>
        <v>0</v>
      </c>
      <c r="G202" s="381">
        <v>2.4538800000000003</v>
      </c>
      <c r="H202" s="411">
        <f t="shared" si="131"/>
        <v>6.7999379274416138E-3</v>
      </c>
      <c r="I202" s="381">
        <v>2.39411</v>
      </c>
      <c r="J202" s="411">
        <f t="shared" si="132"/>
        <v>7.4336467286005257E-3</v>
      </c>
      <c r="K202" s="381">
        <v>2.3994499999999999</v>
      </c>
      <c r="L202" s="411">
        <f t="shared" si="133"/>
        <v>7.0925434370067335E-3</v>
      </c>
      <c r="M202" s="381">
        <v>2.4089399999999999</v>
      </c>
      <c r="N202" s="411">
        <f t="shared" si="134"/>
        <v>7.325590942680156E-3</v>
      </c>
      <c r="O202" s="381">
        <v>2.4089399999999999</v>
      </c>
      <c r="P202" s="411">
        <f t="shared" si="135"/>
        <v>7.3255969575116648E-3</v>
      </c>
      <c r="Q202" s="381">
        <v>2</v>
      </c>
      <c r="R202" s="411">
        <f t="shared" si="136"/>
        <v>6.3436917678831766E-3</v>
      </c>
      <c r="S202" s="381">
        <v>0</v>
      </c>
      <c r="T202" s="411">
        <f t="shared" si="137"/>
        <v>0</v>
      </c>
      <c r="U202" s="381">
        <v>0</v>
      </c>
      <c r="V202" s="411">
        <f t="shared" si="138"/>
        <v>0</v>
      </c>
      <c r="W202" s="381">
        <v>0</v>
      </c>
      <c r="X202" s="411">
        <f t="shared" si="139"/>
        <v>0</v>
      </c>
      <c r="Y202" s="381">
        <v>0</v>
      </c>
      <c r="Z202" s="411">
        <f t="shared" si="140"/>
        <v>0</v>
      </c>
      <c r="AA202" s="381">
        <f t="shared" si="128"/>
        <v>23.06532</v>
      </c>
      <c r="AB202" s="151">
        <f t="shared" si="141"/>
        <v>5.9731097257204975E-3</v>
      </c>
    </row>
    <row r="203" spans="2:28" s="130" customFormat="1" ht="13" x14ac:dyDescent="0.3">
      <c r="B203" s="7" t="s">
        <v>84</v>
      </c>
      <c r="C203" s="381">
        <v>-35.91934999999998</v>
      </c>
      <c r="D203" s="411">
        <f t="shared" si="129"/>
        <v>-0.1139335804687918</v>
      </c>
      <c r="E203" s="381">
        <v>-4.861999999999977</v>
      </c>
      <c r="F203" s="411">
        <f t="shared" si="130"/>
        <v>-1.5429777375795296E-2</v>
      </c>
      <c r="G203" s="381">
        <v>2.3341199999999822</v>
      </c>
      <c r="H203" s="411">
        <f t="shared" si="131"/>
        <v>6.4680714277796378E-3</v>
      </c>
      <c r="I203" s="381">
        <v>-10.058110000000005</v>
      </c>
      <c r="J203" s="411">
        <f t="shared" si="132"/>
        <v>-3.1230159223011589E-2</v>
      </c>
      <c r="K203" s="381">
        <v>-24.739450000000012</v>
      </c>
      <c r="L203" s="411">
        <f t="shared" si="133"/>
        <v>-7.3127434925777293E-2</v>
      </c>
      <c r="M203" s="381">
        <v>-15.093939999999998</v>
      </c>
      <c r="N203" s="411">
        <f t="shared" si="134"/>
        <v>-4.5900699126320173E-2</v>
      </c>
      <c r="O203" s="381">
        <v>-15.093950000000003</v>
      </c>
      <c r="P203" s="411">
        <f t="shared" si="135"/>
        <v>-4.5900767224104057E-2</v>
      </c>
      <c r="Q203" s="381">
        <v>-11.543860000000008</v>
      </c>
      <c r="R203" s="411">
        <f t="shared" si="136"/>
        <v>-3.6615344825797966E-2</v>
      </c>
      <c r="S203" s="381">
        <v>2.2896299999999989</v>
      </c>
      <c r="T203" s="411">
        <f t="shared" si="137"/>
        <v>7.1429286728206202E-3</v>
      </c>
      <c r="U203" s="381">
        <v>-11.441999999999972</v>
      </c>
      <c r="V203" s="411">
        <f t="shared" si="138"/>
        <v>-3.72706011114078E-2</v>
      </c>
      <c r="W203" s="381">
        <v>-4.152999999999988</v>
      </c>
      <c r="X203" s="411">
        <f t="shared" si="139"/>
        <v>-1.4018376123191545E-2</v>
      </c>
      <c r="Y203" s="381">
        <v>-1.4310700000000001</v>
      </c>
      <c r="Z203" s="411">
        <f t="shared" si="140"/>
        <v>-4.5696413118795284E-3</v>
      </c>
      <c r="AA203" s="381">
        <f t="shared" si="128"/>
        <v>-129.71297999999996</v>
      </c>
      <c r="AB203" s="151">
        <f t="shared" si="141"/>
        <v>-3.3591116983860969E-2</v>
      </c>
    </row>
    <row r="204" spans="2:28" s="130" customFormat="1" ht="13" x14ac:dyDescent="0.3">
      <c r="B204" s="1" t="s">
        <v>193</v>
      </c>
      <c r="C204" s="412">
        <f>IF(C202=0,"N.D.",(C201-C199-C200)/C202)</f>
        <v>-2.9910388888888866</v>
      </c>
      <c r="D204" s="411">
        <f>IFERROR(IF(C$176=0,"N.D.",C204/C$176),0)</f>
        <v>-9.4873590399744915E-3</v>
      </c>
      <c r="E204" s="412" t="s">
        <v>451</v>
      </c>
      <c r="F204" s="411">
        <f>IFERROR(IF(E$176=0,"N.D.",E204/E$176),0)</f>
        <v>0</v>
      </c>
      <c r="G204" s="412">
        <v>1.9511956574893565</v>
      </c>
      <c r="H204" s="411">
        <f>IFERROR(IF(G$176=0,"N.D.",G204/G$176),0)</f>
        <v>5.4069511774093477E-3</v>
      </c>
      <c r="I204" s="412">
        <v>-3.2011895861092454</v>
      </c>
      <c r="J204" s="411">
        <f>IFERROR(IF(I$176=0,"N.D.",I204/I$176),0)</f>
        <v>-9.9396069914962411E-3</v>
      </c>
      <c r="K204" s="412">
        <v>-9.3104669820167185</v>
      </c>
      <c r="L204" s="411">
        <f>IFERROR(IF(K$176=0,"N.D.",K204/K$176),0)</f>
        <v>-2.7520844980629133E-2</v>
      </c>
      <c r="M204" s="412">
        <v>-5.2658015558710467</v>
      </c>
      <c r="N204" s="411">
        <f>IFERROR(IF(M$176=0,"N.D.",M204/M$176),0)</f>
        <v>-1.6013312155404458E-2</v>
      </c>
      <c r="O204" s="412">
        <v>-5.2658057070744828</v>
      </c>
      <c r="P204" s="411">
        <f>IFERROR(IF(O$176=0,"N.D.",O204/O$176),0)</f>
        <v>-1.6013337927300968E-2</v>
      </c>
      <c r="Q204" s="412">
        <f>IF(Q202=0,"N.D.",(Q201-Q199-Q200)/Q202)</f>
        <v>-4.7719300000000038</v>
      </c>
      <c r="R204" s="411">
        <f>IFERROR(IF(Q$176=0,"N.D.",Q204/Q$176),0)</f>
        <v>-1.5135826528957397E-2</v>
      </c>
      <c r="S204" s="412" t="str">
        <f>IF(S202=0,"N.D.",(S201-S199-S200)/S202)</f>
        <v>N.D.</v>
      </c>
      <c r="T204" s="411">
        <f>IFERROR(IF(S$176=0,"N.D.",S204/S$176),0)</f>
        <v>0</v>
      </c>
      <c r="U204" s="412" t="str">
        <f>IF(U202=0,"N.D.",(U201-U199-U200)/U202)</f>
        <v>N.D.</v>
      </c>
      <c r="V204" s="411">
        <f>IFERROR(IF(U$176=0,"N.D.",U204/U$176),0)</f>
        <v>0</v>
      </c>
      <c r="W204" s="412" t="str">
        <f>IF(W202=0,"N.D.",(W201-W199-W200)/W202)</f>
        <v>N.D.</v>
      </c>
      <c r="X204" s="411">
        <f>IFERROR(IF(W$176=0,"N.D.",W204/W$176),0)</f>
        <v>0</v>
      </c>
      <c r="Y204" s="412" t="str">
        <f>IF(Y202=0,"N.D.",(Y201-Y199-Y200)/Y202)</f>
        <v>N.D.</v>
      </c>
      <c r="Z204" s="411">
        <f>IFERROR(IF(Y$176=0,"N.D.",Y204/Y$176),0)</f>
        <v>0</v>
      </c>
      <c r="AA204" s="412">
        <f>IF(AA202=0,"N.D.",(AA201-AA199-AA200)/AA202)</f>
        <v>-4.6237234081296066</v>
      </c>
      <c r="AB204" s="151">
        <f>IFERROR(IF(AA$176=0,"N.D.",AA204/AA$176),0)</f>
        <v>-1.1973823583692087E-3</v>
      </c>
    </row>
    <row r="205" spans="2:28" x14ac:dyDescent="0.25">
      <c r="D205" s="315"/>
      <c r="F205" s="315"/>
      <c r="H205" s="315"/>
      <c r="J205" s="315"/>
      <c r="L205" s="315"/>
      <c r="N205" s="315"/>
      <c r="P205" s="315"/>
      <c r="R205" s="315"/>
      <c r="T205" s="315"/>
      <c r="V205" s="315"/>
      <c r="X205" s="315"/>
      <c r="Z205" s="315"/>
      <c r="AB205" s="220"/>
    </row>
    <row r="206" spans="2:28" x14ac:dyDescent="0.25">
      <c r="D206" s="315"/>
      <c r="F206" s="315"/>
      <c r="H206" s="315"/>
      <c r="J206" s="315"/>
      <c r="L206" s="315"/>
      <c r="N206" s="315"/>
      <c r="P206" s="315"/>
      <c r="R206" s="315"/>
      <c r="T206" s="315"/>
      <c r="V206" s="315"/>
      <c r="X206" s="315"/>
      <c r="Z206" s="315"/>
      <c r="AB206" s="220"/>
    </row>
    <row r="207" spans="2:28" ht="13" x14ac:dyDescent="0.3">
      <c r="C207" s="394"/>
      <c r="D207" s="395"/>
      <c r="E207" s="394"/>
      <c r="F207" s="395"/>
      <c r="G207" s="394"/>
      <c r="H207" s="395"/>
      <c r="I207" s="394"/>
      <c r="J207" s="395"/>
      <c r="K207" s="394"/>
      <c r="L207" s="395"/>
      <c r="M207" s="394"/>
      <c r="N207" s="395"/>
      <c r="O207" s="394"/>
      <c r="P207" s="395"/>
      <c r="Q207" s="394"/>
      <c r="R207" s="395"/>
      <c r="S207" s="394"/>
      <c r="T207" s="395"/>
      <c r="U207" s="394"/>
      <c r="V207" s="395"/>
      <c r="W207" s="394"/>
      <c r="X207" s="395"/>
      <c r="Y207" s="394"/>
      <c r="Z207" s="395"/>
      <c r="AA207" s="394"/>
      <c r="AB207" s="23"/>
    </row>
    <row r="208" spans="2:28" ht="13" x14ac:dyDescent="0.3">
      <c r="B208" s="277" t="s">
        <v>340</v>
      </c>
      <c r="C208" s="396" t="str">
        <f>+C78</f>
        <v>Enero</v>
      </c>
      <c r="D208" s="397"/>
      <c r="E208" s="396" t="str">
        <f>+E78</f>
        <v>Febrero</v>
      </c>
      <c r="F208" s="397"/>
      <c r="G208" s="396" t="str">
        <f>+G78</f>
        <v>Marzo</v>
      </c>
      <c r="H208" s="397"/>
      <c r="I208" s="396" t="str">
        <f>+I78</f>
        <v>Abril</v>
      </c>
      <c r="J208" s="397"/>
      <c r="K208" s="396" t="str">
        <f>+K78</f>
        <v>Mayo</v>
      </c>
      <c r="L208" s="397"/>
      <c r="M208" s="396" t="str">
        <f>+M78</f>
        <v>Junio</v>
      </c>
      <c r="N208" s="397"/>
      <c r="O208" s="396" t="str">
        <f>+O78</f>
        <v>Julio</v>
      </c>
      <c r="P208" s="397"/>
      <c r="Q208" s="396" t="str">
        <f>+Q78</f>
        <v>Agosto</v>
      </c>
      <c r="R208" s="397"/>
      <c r="S208" s="396" t="str">
        <f>+S78</f>
        <v>Septiembre</v>
      </c>
      <c r="T208" s="397"/>
      <c r="U208" s="396" t="str">
        <f>+U78</f>
        <v>Octubre</v>
      </c>
      <c r="V208" s="397"/>
      <c r="W208" s="396" t="str">
        <f>+W78</f>
        <v>Noviembre</v>
      </c>
      <c r="X208" s="397"/>
      <c r="Y208" s="396" t="str">
        <f>+Y78</f>
        <v>Diciembre</v>
      </c>
      <c r="Z208" s="397"/>
      <c r="AA208" s="396" t="s">
        <v>218</v>
      </c>
      <c r="AB208" s="115"/>
    </row>
    <row r="209" spans="2:28" x14ac:dyDescent="0.25">
      <c r="B209" s="278" t="s">
        <v>38</v>
      </c>
      <c r="C209" s="398">
        <v>118.31789000000001</v>
      </c>
      <c r="D209" s="420">
        <f>IF(C$209=0,"N.D.",C209/C$209)</f>
        <v>1</v>
      </c>
      <c r="E209" s="398">
        <v>117.3</v>
      </c>
      <c r="F209" s="420">
        <f>IF(E$209=0,"N.D.",E209/E$209)</f>
        <v>1</v>
      </c>
      <c r="G209" s="398">
        <v>125.39</v>
      </c>
      <c r="H209" s="420">
        <f>IF(G$209=0,"N.D.",G209/G$209)</f>
        <v>1</v>
      </c>
      <c r="I209" s="398">
        <v>120.908</v>
      </c>
      <c r="J209" s="420">
        <f>IF(I$209=0,"N.D.",I209/I$209)</f>
        <v>1</v>
      </c>
      <c r="K209" s="398">
        <v>122.98399999999999</v>
      </c>
      <c r="L209" s="420">
        <f>IF(K$209=0,"N.D.",K209/K$209)</f>
        <v>1</v>
      </c>
      <c r="M209" s="398">
        <v>117.959</v>
      </c>
      <c r="N209" s="420">
        <f>IF(M$209=0,"N.D.",M209/M$209)</f>
        <v>1</v>
      </c>
      <c r="O209" s="398">
        <v>117.95889</v>
      </c>
      <c r="P209" s="420">
        <f>IF(O$209=0,"N.D.",O209/O$209)</f>
        <v>1</v>
      </c>
      <c r="Q209" s="398">
        <v>118.9162</v>
      </c>
      <c r="R209" s="420">
        <f>IF(Q$209=0,"N.D.",Q209/Q$209)</f>
        <v>1</v>
      </c>
      <c r="S209" s="398">
        <v>115.99403</v>
      </c>
      <c r="T209" s="420">
        <f>IF(S$209=0,"N.D.",S209/S$209)</f>
        <v>1</v>
      </c>
      <c r="U209" s="398">
        <v>117.947</v>
      </c>
      <c r="V209" s="420">
        <f>IF(U$209=0,"N.D.",U209/U$209)</f>
        <v>1</v>
      </c>
      <c r="W209" s="398">
        <v>116.265</v>
      </c>
      <c r="X209" s="420">
        <f>IF(W$209=0,"N.D.",W209/W$209)</f>
        <v>1</v>
      </c>
      <c r="Y209" s="398">
        <v>116.84099999999999</v>
      </c>
      <c r="Z209" s="420">
        <f>IF(Y$209=0,"N.D.",Y209/Y$209)</f>
        <v>1</v>
      </c>
      <c r="AA209" s="398">
        <f>+Y209+W209+U209+S209+Q209+O209+M209+K209+I209+G209+E209+C209</f>
        <v>1426.7810100000002</v>
      </c>
      <c r="AB209" s="155">
        <f>IF(AA$209=0,"N.D.",AA209/AA$209)</f>
        <v>1</v>
      </c>
    </row>
    <row r="210" spans="2:28" x14ac:dyDescent="0.25">
      <c r="B210" s="279" t="s">
        <v>39</v>
      </c>
      <c r="C210" s="398">
        <v>0</v>
      </c>
      <c r="D210" s="420">
        <f>IF(C$209=0,"N.D.",C210/C$209)</f>
        <v>0</v>
      </c>
      <c r="E210" s="398">
        <v>0</v>
      </c>
      <c r="F210" s="420">
        <f>IF(E$209=0,"N.D.",E210/E$209)</f>
        <v>0</v>
      </c>
      <c r="G210" s="398">
        <v>0</v>
      </c>
      <c r="H210" s="420">
        <f>IF(G$209=0,"N.D.",G210/G$209)</f>
        <v>0</v>
      </c>
      <c r="I210" s="398">
        <v>0</v>
      </c>
      <c r="J210" s="420">
        <f>IF(I$209=0,"N.D.",I210/I$209)</f>
        <v>0</v>
      </c>
      <c r="K210" s="398">
        <v>0</v>
      </c>
      <c r="L210" s="420">
        <f>IF(K$209=0,"N.D.",K210/K$209)</f>
        <v>0</v>
      </c>
      <c r="M210" s="398">
        <v>0</v>
      </c>
      <c r="N210" s="420">
        <f>IF(M$209=0,"N.D.",M210/M$209)</f>
        <v>0</v>
      </c>
      <c r="O210" s="398">
        <v>0</v>
      </c>
      <c r="P210" s="420">
        <f>IF(O$209=0,"N.D.",O210/O$209)</f>
        <v>0</v>
      </c>
      <c r="Q210" s="398">
        <v>0</v>
      </c>
      <c r="R210" s="420">
        <f>IF(Q$209=0,"N.D.",Q210/Q$209)</f>
        <v>0</v>
      </c>
      <c r="S210" s="398">
        <v>0</v>
      </c>
      <c r="T210" s="420">
        <f>IF(S$209=0,"N.D.",S210/S$209)</f>
        <v>0</v>
      </c>
      <c r="U210" s="398">
        <v>0</v>
      </c>
      <c r="V210" s="420">
        <f>IF(U$209=0,"N.D.",U210/U$209)</f>
        <v>0</v>
      </c>
      <c r="W210" s="398">
        <v>0</v>
      </c>
      <c r="X210" s="420">
        <f>IF(W$209=0,"N.D.",W210/W$209)</f>
        <v>0</v>
      </c>
      <c r="Y210" s="398">
        <v>0</v>
      </c>
      <c r="Z210" s="420">
        <f>IF(Y$209=0,"N.D.",Y210/Y$209)</f>
        <v>0</v>
      </c>
      <c r="AA210" s="398">
        <f t="shared" ref="AA210:AA237" si="142">+Y210+W210+U210+S210+Q210+O210+M210+K210+I210+G210+E210+C210</f>
        <v>0</v>
      </c>
      <c r="AB210" s="155">
        <f>IF(AA$209=0,"N.D.",AA210/AA$209)</f>
        <v>0</v>
      </c>
    </row>
    <row r="211" spans="2:28" hidden="1" x14ac:dyDescent="0.25">
      <c r="B211" s="278" t="s">
        <v>219</v>
      </c>
      <c r="C211" s="398"/>
      <c r="D211" s="420">
        <f>IF(C$209=0,"N.D.",C211/C$209)</f>
        <v>0</v>
      </c>
      <c r="E211" s="398">
        <v>0</v>
      </c>
      <c r="F211" s="420">
        <f>IF(E$209=0,"N.D.",E211/E$209)</f>
        <v>0</v>
      </c>
      <c r="G211" s="398">
        <v>0</v>
      </c>
      <c r="H211" s="420">
        <f>IF(G$209=0,"N.D.",G211/G$209)</f>
        <v>0</v>
      </c>
      <c r="I211" s="398">
        <v>0</v>
      </c>
      <c r="J211" s="420">
        <f>IF(I$209=0,"N.D.",I211/I$209)</f>
        <v>0</v>
      </c>
      <c r="K211" s="398">
        <v>0</v>
      </c>
      <c r="L211" s="420">
        <f>IF(K$209=0,"N.D.",K211/K$209)</f>
        <v>0</v>
      </c>
      <c r="M211" s="398">
        <v>0</v>
      </c>
      <c r="N211" s="420">
        <f>IF(M$209=0,"N.D.",M211/M$209)</f>
        <v>0</v>
      </c>
      <c r="O211" s="398">
        <v>0</v>
      </c>
      <c r="P211" s="420">
        <f>IF(O$209=0,"N.D.",O211/O$209)</f>
        <v>0</v>
      </c>
      <c r="Q211" s="398">
        <v>0</v>
      </c>
      <c r="R211" s="420">
        <f>IF(Q$209=0,"N.D.",Q211/Q$209)</f>
        <v>0</v>
      </c>
      <c r="S211" s="398">
        <v>0</v>
      </c>
      <c r="T211" s="420">
        <f>IF(S$209=0,"N.D.",S211/S$209)</f>
        <v>0</v>
      </c>
      <c r="U211" s="398">
        <v>0</v>
      </c>
      <c r="V211" s="420">
        <f>IF(U$209=0,"N.D.",U211/U$209)</f>
        <v>0</v>
      </c>
      <c r="W211" s="398">
        <v>0</v>
      </c>
      <c r="X211" s="420">
        <f>IF(W$209=0,"N.D.",W211/W$209)</f>
        <v>0</v>
      </c>
      <c r="Y211" s="398">
        <v>0</v>
      </c>
      <c r="Z211" s="420">
        <f>IF(Y$209=0,"N.D.",Y211/Y$209)</f>
        <v>0</v>
      </c>
      <c r="AA211" s="398"/>
      <c r="AB211" s="155">
        <f>IF(AA$209=0,"N.D.",AA211/AA$209)</f>
        <v>0</v>
      </c>
    </row>
    <row r="212" spans="2:28" ht="13" x14ac:dyDescent="0.3">
      <c r="B212" s="278" t="s">
        <v>40</v>
      </c>
      <c r="C212" s="335">
        <v>118.31789000000001</v>
      </c>
      <c r="D212" s="415">
        <f>IF(C$209=0,"N.D.",C212/C$209)</f>
        <v>1</v>
      </c>
      <c r="E212" s="335">
        <v>117.3</v>
      </c>
      <c r="F212" s="415">
        <f>IF(E$209=0,"N.D.",E212/E$209)</f>
        <v>1</v>
      </c>
      <c r="G212" s="335">
        <v>125.39</v>
      </c>
      <c r="H212" s="415">
        <f>IF(G$209=0,"N.D.",G212/G$209)</f>
        <v>1</v>
      </c>
      <c r="I212" s="335">
        <v>120.908</v>
      </c>
      <c r="J212" s="415">
        <f>IF(I$209=0,"N.D.",I212/I$209)</f>
        <v>1</v>
      </c>
      <c r="K212" s="335">
        <v>122.98399999999999</v>
      </c>
      <c r="L212" s="415">
        <f>IF(K$209=0,"N.D.",K212/K$209)</f>
        <v>1</v>
      </c>
      <c r="M212" s="335">
        <v>117.959</v>
      </c>
      <c r="N212" s="415">
        <f>IF(M$209=0,"N.D.",M212/M$209)</f>
        <v>1</v>
      </c>
      <c r="O212" s="335">
        <v>117.95889</v>
      </c>
      <c r="P212" s="415">
        <f>IF(O$209=0,"N.D.",O212/O$209)</f>
        <v>1</v>
      </c>
      <c r="Q212" s="335">
        <v>118.9162</v>
      </c>
      <c r="R212" s="415">
        <f>IF(Q$209=0,"N.D.",Q212/Q$209)</f>
        <v>1</v>
      </c>
      <c r="S212" s="335">
        <v>115.99403</v>
      </c>
      <c r="T212" s="415">
        <f>IF(S$209=0,"N.D.",S212/S$209)</f>
        <v>1</v>
      </c>
      <c r="U212" s="335">
        <v>117.947</v>
      </c>
      <c r="V212" s="415">
        <f>IF(U$209=0,"N.D.",U212/U$209)</f>
        <v>1</v>
      </c>
      <c r="W212" s="335">
        <v>116.265</v>
      </c>
      <c r="X212" s="415">
        <f>IF(W$209=0,"N.D.",W212/W$209)</f>
        <v>1</v>
      </c>
      <c r="Y212" s="335">
        <v>116.84099999999999</v>
      </c>
      <c r="Z212" s="415">
        <f>IF(Y$209=0,"N.D.",Y212/Y$209)</f>
        <v>1</v>
      </c>
      <c r="AA212" s="335">
        <f t="shared" si="142"/>
        <v>1426.7810100000002</v>
      </c>
      <c r="AB212" s="26">
        <f>IF(AA$209=0,"N.D.",AA212/AA$209)</f>
        <v>1</v>
      </c>
    </row>
    <row r="213" spans="2:28" x14ac:dyDescent="0.25">
      <c r="B213" s="278"/>
      <c r="C213" s="403"/>
      <c r="D213" s="421"/>
      <c r="E213" s="403"/>
      <c r="F213" s="421"/>
      <c r="G213" s="403"/>
      <c r="H213" s="421"/>
      <c r="I213" s="403"/>
      <c r="J213" s="421"/>
      <c r="K213" s="403"/>
      <c r="L213" s="421"/>
      <c r="M213" s="403"/>
      <c r="N213" s="421"/>
      <c r="O213" s="403"/>
      <c r="P213" s="421"/>
      <c r="Q213" s="403"/>
      <c r="R213" s="421"/>
      <c r="S213" s="403"/>
      <c r="T213" s="421"/>
      <c r="U213" s="403"/>
      <c r="V213" s="421"/>
      <c r="W213" s="403"/>
      <c r="X213" s="421"/>
      <c r="Y213" s="403"/>
      <c r="Z213" s="421"/>
      <c r="AA213" s="403"/>
      <c r="AB213" s="157"/>
    </row>
    <row r="214" spans="2:28" x14ac:dyDescent="0.25">
      <c r="B214" s="278" t="s">
        <v>41</v>
      </c>
      <c r="C214" s="400">
        <v>14.990629999999999</v>
      </c>
      <c r="D214" s="422">
        <f>IF(C$209=0,"N.D.",C214/C$209)</f>
        <v>0.12669791525186933</v>
      </c>
      <c r="E214" s="400">
        <v>9.2119999999999997</v>
      </c>
      <c r="F214" s="422">
        <f>IF(E$209=0,"N.D.",E214/E$209)</f>
        <v>7.8533674339300932E-2</v>
      </c>
      <c r="G214" s="400">
        <v>5.4409999999999998</v>
      </c>
      <c r="H214" s="422">
        <f>IF(G$209=0,"N.D.",G214/G$209)</f>
        <v>4.3392615041071857E-2</v>
      </c>
      <c r="I214" s="400">
        <v>7.8419999999999996</v>
      </c>
      <c r="J214" s="422">
        <f>IF(I$209=0,"N.D.",I214/I$209)</f>
        <v>6.4859231812617851E-2</v>
      </c>
      <c r="K214" s="400">
        <v>10.805</v>
      </c>
      <c r="L214" s="422">
        <f>IF(K$209=0,"N.D.",K214/K$209)</f>
        <v>8.7856957002536915E-2</v>
      </c>
      <c r="M214" s="400">
        <v>6.2830000000000004</v>
      </c>
      <c r="N214" s="422">
        <f>IF(M$209=0,"N.D.",M214/M$209)</f>
        <v>5.326426978865538E-2</v>
      </c>
      <c r="O214" s="400">
        <v>6.2828900000000001</v>
      </c>
      <c r="P214" s="422">
        <f>IF(O$209=0,"N.D.",O214/O$209)</f>
        <v>5.3263386930819716E-2</v>
      </c>
      <c r="Q214" s="400">
        <v>6.3922700000000008</v>
      </c>
      <c r="R214" s="422">
        <f>IF(Q$209=0,"N.D.",Q214/Q$209)</f>
        <v>5.3754408566704964E-2</v>
      </c>
      <c r="S214" s="400">
        <v>10.582750000000001</v>
      </c>
      <c r="T214" s="422">
        <f>IF(S$209=0,"N.D.",S214/S$209)</f>
        <v>9.1235298920125468E-2</v>
      </c>
      <c r="U214" s="400">
        <v>6.23</v>
      </c>
      <c r="V214" s="422">
        <f>IF(U$209=0,"N.D.",U214/U$209)</f>
        <v>5.2820334557046815E-2</v>
      </c>
      <c r="W214" s="400">
        <v>6.1929999999999996</v>
      </c>
      <c r="X214" s="422">
        <f>IF(W$209=0,"N.D.",W214/W$209)</f>
        <v>5.3266245215671096E-2</v>
      </c>
      <c r="Y214" s="400">
        <v>12.013999999999999</v>
      </c>
      <c r="Z214" s="422">
        <f>IF(Y$209=0,"N.D.",Y214/Y$209)</f>
        <v>0.10282349517720663</v>
      </c>
      <c r="AA214" s="400">
        <f t="shared" si="142"/>
        <v>102.26854000000002</v>
      </c>
      <c r="AB214" s="156">
        <f>IF(AA$209=0,"N.D.",AA214/AA$209)</f>
        <v>7.1677811299156555E-2</v>
      </c>
    </row>
    <row r="215" spans="2:28" x14ac:dyDescent="0.25">
      <c r="B215" s="278" t="s">
        <v>42</v>
      </c>
      <c r="C215" s="398">
        <v>0</v>
      </c>
      <c r="D215" s="420">
        <f>IF(C$209=0,"N.D.",C215/C$209)</f>
        <v>0</v>
      </c>
      <c r="E215" s="398">
        <v>2.3E-2</v>
      </c>
      <c r="F215" s="420">
        <f>IF(E$209=0,"N.D.",E215/E$209)</f>
        <v>1.9607843137254901E-4</v>
      </c>
      <c r="G215" s="398">
        <v>2.3E-2</v>
      </c>
      <c r="H215" s="420">
        <f>IF(G$209=0,"N.D.",G215/G$209)</f>
        <v>1.8342770555865699E-4</v>
      </c>
      <c r="I215" s="398">
        <v>2.1999999999999999E-2</v>
      </c>
      <c r="J215" s="420">
        <f>IF(I$209=0,"N.D.",I215/I$209)</f>
        <v>1.819565289310881E-4</v>
      </c>
      <c r="K215" s="398">
        <v>1.6719999999999999</v>
      </c>
      <c r="L215" s="420">
        <f>IF(K$209=0,"N.D.",K215/K$209)</f>
        <v>1.3595264424640603E-2</v>
      </c>
      <c r="M215" s="398">
        <v>2.1000000000000001E-2</v>
      </c>
      <c r="N215" s="420">
        <f>IF(M$209=0,"N.D.",M215/M$209)</f>
        <v>1.7802795886706399E-4</v>
      </c>
      <c r="O215" s="398">
        <v>2.0809999999999999E-2</v>
      </c>
      <c r="P215" s="420">
        <f>IF(O$209=0,"N.D.",O215/O$209)</f>
        <v>1.7641739422946418E-4</v>
      </c>
      <c r="Q215" s="398">
        <v>0</v>
      </c>
      <c r="R215" s="420">
        <f>IF(Q$209=0,"N.D.",Q215/Q$209)</f>
        <v>0</v>
      </c>
      <c r="S215" s="398">
        <v>0</v>
      </c>
      <c r="T215" s="420">
        <f>IF(S$209=0,"N.D.",S215/S$209)</f>
        <v>0</v>
      </c>
      <c r="U215" s="398">
        <v>0.02</v>
      </c>
      <c r="V215" s="420">
        <f>IF(U$209=0,"N.D.",U215/U$209)</f>
        <v>1.695676871815307E-4</v>
      </c>
      <c r="W215" s="398">
        <v>1.9E-2</v>
      </c>
      <c r="X215" s="420">
        <f>IF(W$209=0,"N.D.",W215/W$209)</f>
        <v>1.6341977379262889E-4</v>
      </c>
      <c r="Y215" s="398">
        <v>1.9E-2</v>
      </c>
      <c r="Z215" s="420">
        <f>IF(Y$209=0,"N.D.",Y215/Y$209)</f>
        <v>1.6261415085458016E-4</v>
      </c>
      <c r="AA215" s="398">
        <f t="shared" si="142"/>
        <v>1.8398099999999997</v>
      </c>
      <c r="AB215" s="155">
        <f>IF(AA$209=0,"N.D.",AA215/AA$209)</f>
        <v>1.2894831001430272E-3</v>
      </c>
    </row>
    <row r="216" spans="2:28" x14ac:dyDescent="0.25">
      <c r="B216" s="278" t="s">
        <v>43</v>
      </c>
      <c r="C216" s="398">
        <v>41.507330000000003</v>
      </c>
      <c r="D216" s="425">
        <f>IF(C$209=0,"N.D.",C216/C$209)</f>
        <v>0.35081195244438523</v>
      </c>
      <c r="E216" s="398">
        <v>41.506999999999998</v>
      </c>
      <c r="F216" s="425">
        <f>IF(E$209=0,"N.D.",E216/E$209)</f>
        <v>0.35385336743393009</v>
      </c>
      <c r="G216" s="398">
        <v>41.506999999999998</v>
      </c>
      <c r="H216" s="425">
        <f>IF(G$209=0,"N.D.",G216/G$209)</f>
        <v>0.33102320759231196</v>
      </c>
      <c r="I216" s="398">
        <v>41.506999999999998</v>
      </c>
      <c r="J216" s="425">
        <f>IF(I$209=0,"N.D.",I216/I$209)</f>
        <v>0.3432940748337579</v>
      </c>
      <c r="K216" s="398">
        <v>41.506999999999998</v>
      </c>
      <c r="L216" s="425">
        <f>IF(K$209=0,"N.D.",K216/K$209)</f>
        <v>0.33749918688609898</v>
      </c>
      <c r="M216" s="398">
        <v>41.506999999999998</v>
      </c>
      <c r="N216" s="425">
        <f>IF(M$209=0,"N.D.",M216/M$209)</f>
        <v>0.35187649946167732</v>
      </c>
      <c r="O216" s="398">
        <v>41.507330000000003</v>
      </c>
      <c r="P216" s="425">
        <f>IF(O$209=0,"N.D.",O216/O$209)</f>
        <v>0.35187962518128141</v>
      </c>
      <c r="Q216" s="398">
        <v>41.507330000000003</v>
      </c>
      <c r="R216" s="425">
        <f>IF(Q$209=0,"N.D.",Q216/Q$209)</f>
        <v>0.34904689184484539</v>
      </c>
      <c r="S216" s="398">
        <v>41.507330000000003</v>
      </c>
      <c r="T216" s="425">
        <f>IF(S$209=0,"N.D.",S216/S$209)</f>
        <v>0.35784022677718846</v>
      </c>
      <c r="U216" s="398">
        <v>41.506999999999998</v>
      </c>
      <c r="V216" s="425">
        <f>IF(U$209=0,"N.D.",U216/U$209)</f>
        <v>0.35191229959218967</v>
      </c>
      <c r="W216" s="398">
        <v>41.506999999999998</v>
      </c>
      <c r="X216" s="425">
        <f>IF(W$209=0,"N.D.",W216/W$209)</f>
        <v>0.35700339741108672</v>
      </c>
      <c r="Y216" s="398">
        <v>41.506999999999998</v>
      </c>
      <c r="Z216" s="425">
        <f>IF(Y$209=0,"N.D.",Y216/Y$209)</f>
        <v>0.35524345050110834</v>
      </c>
      <c r="AA216" s="398">
        <f t="shared" si="142"/>
        <v>498.08532000000002</v>
      </c>
      <c r="AB216" s="164">
        <f>IF(AA$209=0,"N.D.",AA216/AA$209)</f>
        <v>0.34909724513364526</v>
      </c>
    </row>
    <row r="217" spans="2:28" ht="13" x14ac:dyDescent="0.3">
      <c r="B217" s="279" t="s">
        <v>44</v>
      </c>
      <c r="C217" s="335">
        <v>56.497959999999999</v>
      </c>
      <c r="D217" s="415">
        <f>IF(C$209=0,"N.D.",C217/C$209)</f>
        <v>0.47750986769625453</v>
      </c>
      <c r="E217" s="335">
        <v>50.741999999999997</v>
      </c>
      <c r="F217" s="415">
        <f>IF(E$209=0,"N.D.",E217/E$209)</f>
        <v>0.43258312020460354</v>
      </c>
      <c r="G217" s="335">
        <v>46.970999999999997</v>
      </c>
      <c r="H217" s="415">
        <f>IF(G$209=0,"N.D.",G217/G$209)</f>
        <v>0.37459925033894248</v>
      </c>
      <c r="I217" s="335">
        <v>49.370999999999995</v>
      </c>
      <c r="J217" s="415">
        <f>IF(I$209=0,"N.D.",I217/I$209)</f>
        <v>0.40833526317530677</v>
      </c>
      <c r="K217" s="335">
        <v>53.983999999999995</v>
      </c>
      <c r="L217" s="415">
        <f>IF(K$209=0,"N.D.",K217/K$209)</f>
        <v>0.4389514083132765</v>
      </c>
      <c r="M217" s="335">
        <v>47.811</v>
      </c>
      <c r="N217" s="415">
        <f>IF(M$209=0,"N.D.",M217/M$209)</f>
        <v>0.40531879720919978</v>
      </c>
      <c r="O217" s="335">
        <v>47.811030000000002</v>
      </c>
      <c r="P217" s="415">
        <f>IF(O$209=0,"N.D.",O217/O$209)</f>
        <v>0.4053194295063306</v>
      </c>
      <c r="Q217" s="335">
        <v>47.899600000000007</v>
      </c>
      <c r="R217" s="415">
        <f>IF(Q$209=0,"N.D.",Q217/Q$209)</f>
        <v>0.40280130041155038</v>
      </c>
      <c r="S217" s="335">
        <v>52.09008</v>
      </c>
      <c r="T217" s="415">
        <f>IF(S$209=0,"N.D.",S217/S$209)</f>
        <v>0.4490755256973139</v>
      </c>
      <c r="U217" s="335">
        <v>47.756999999999998</v>
      </c>
      <c r="V217" s="415">
        <f>IF(U$209=0,"N.D.",U217/U$209)</f>
        <v>0.40490220183641801</v>
      </c>
      <c r="W217" s="335">
        <v>47.718999999999994</v>
      </c>
      <c r="X217" s="415">
        <f>IF(W$209=0,"N.D.",W217/W$209)</f>
        <v>0.41043306240055044</v>
      </c>
      <c r="Y217" s="335">
        <v>53.54</v>
      </c>
      <c r="Z217" s="415">
        <f>IF(Y$209=0,"N.D.",Y217/Y$209)</f>
        <v>0.45822955982916957</v>
      </c>
      <c r="AA217" s="335">
        <f t="shared" si="142"/>
        <v>602.19367</v>
      </c>
      <c r="AB217" s="26">
        <f>IF(AA$209=0,"N.D.",AA217/AA$209)</f>
        <v>0.42206453953294482</v>
      </c>
    </row>
    <row r="218" spans="2:28" ht="13" x14ac:dyDescent="0.3">
      <c r="B218" s="278" t="s">
        <v>45</v>
      </c>
      <c r="C218" s="335">
        <v>61.819929999999999</v>
      </c>
      <c r="D218" s="415">
        <f>IF(C$209=0,"N.D.",C218/C$209)</f>
        <v>0.52249013230374541</v>
      </c>
      <c r="E218" s="335">
        <v>66.557999999999993</v>
      </c>
      <c r="F218" s="415">
        <f>IF(E$209=0,"N.D.",E218/E$209)</f>
        <v>0.56741687979539635</v>
      </c>
      <c r="G218" s="335">
        <v>78.419000000000011</v>
      </c>
      <c r="H218" s="415">
        <f>IF(G$209=0,"N.D.",G218/G$209)</f>
        <v>0.62540074966105763</v>
      </c>
      <c r="I218" s="335">
        <v>71.537000000000006</v>
      </c>
      <c r="J218" s="415">
        <f>IF(I$209=0,"N.D.",I218/I$209)</f>
        <v>0.59166473682469323</v>
      </c>
      <c r="K218" s="335">
        <v>69</v>
      </c>
      <c r="L218" s="415">
        <f>IF(K$209=0,"N.D.",K218/K$209)</f>
        <v>0.5610485916867235</v>
      </c>
      <c r="M218" s="335">
        <v>70.147999999999996</v>
      </c>
      <c r="N218" s="415">
        <f>IF(M$209=0,"N.D.",M218/M$209)</f>
        <v>0.59468120279080017</v>
      </c>
      <c r="O218" s="335">
        <v>70.147859999999994</v>
      </c>
      <c r="P218" s="415">
        <f>IF(O$209=0,"N.D.",O218/O$209)</f>
        <v>0.5946805704936694</v>
      </c>
      <c r="Q218" s="335">
        <v>71.016599999999997</v>
      </c>
      <c r="R218" s="415">
        <f>IF(Q$209=0,"N.D.",Q218/Q$209)</f>
        <v>0.59719869958844962</v>
      </c>
      <c r="S218" s="335">
        <v>63.903949999999995</v>
      </c>
      <c r="T218" s="415">
        <f>IF(S$209=0,"N.D.",S218/S$209)</f>
        <v>0.5509244743026861</v>
      </c>
      <c r="U218" s="335">
        <v>70.19</v>
      </c>
      <c r="V218" s="415">
        <f>IF(U$209=0,"N.D.",U218/U$209)</f>
        <v>0.59509779816358188</v>
      </c>
      <c r="W218" s="335">
        <v>68.546000000000006</v>
      </c>
      <c r="X218" s="415">
        <f>IF(W$209=0,"N.D.",W218/W$209)</f>
        <v>0.58956693759944956</v>
      </c>
      <c r="Y218" s="335">
        <v>63.300999999999995</v>
      </c>
      <c r="Z218" s="415">
        <f>IF(Y$209=0,"N.D.",Y218/Y$209)</f>
        <v>0.54177044017083043</v>
      </c>
      <c r="AA218" s="335">
        <f t="shared" si="142"/>
        <v>824.58733999999993</v>
      </c>
      <c r="AB218" s="26">
        <f>IF(AA$209=0,"N.D.",AA218/AA$209)</f>
        <v>0.57793546046705502</v>
      </c>
    </row>
    <row r="219" spans="2:28" x14ac:dyDescent="0.25">
      <c r="C219" s="403"/>
      <c r="D219" s="421"/>
      <c r="E219" s="403"/>
      <c r="F219" s="421"/>
      <c r="G219" s="403"/>
      <c r="H219" s="421"/>
      <c r="I219" s="403"/>
      <c r="J219" s="421"/>
      <c r="K219" s="403"/>
      <c r="L219" s="421"/>
      <c r="M219" s="403"/>
      <c r="N219" s="421"/>
      <c r="O219" s="403"/>
      <c r="P219" s="421"/>
      <c r="Q219" s="403"/>
      <c r="R219" s="421"/>
      <c r="S219" s="403"/>
      <c r="T219" s="421"/>
      <c r="U219" s="403"/>
      <c r="V219" s="421"/>
      <c r="W219" s="403"/>
      <c r="X219" s="421"/>
      <c r="Y219" s="403"/>
      <c r="Z219" s="421"/>
      <c r="AA219" s="403"/>
      <c r="AB219" s="157"/>
    </row>
    <row r="220" spans="2:28" x14ac:dyDescent="0.25">
      <c r="B220" s="278"/>
      <c r="C220" s="400"/>
      <c r="D220" s="422"/>
      <c r="E220" s="400"/>
      <c r="F220" s="422"/>
      <c r="G220" s="400"/>
      <c r="H220" s="422"/>
      <c r="I220" s="400"/>
      <c r="J220" s="422"/>
      <c r="K220" s="400"/>
      <c r="L220" s="422"/>
      <c r="M220" s="400"/>
      <c r="N220" s="422"/>
      <c r="O220" s="400"/>
      <c r="P220" s="422"/>
      <c r="Q220" s="400"/>
      <c r="R220" s="422"/>
      <c r="S220" s="400"/>
      <c r="T220" s="422"/>
      <c r="U220" s="400"/>
      <c r="V220" s="422"/>
      <c r="W220" s="400"/>
      <c r="X220" s="422"/>
      <c r="Y220" s="400"/>
      <c r="Z220" s="422"/>
      <c r="AA220" s="400"/>
      <c r="AB220" s="156"/>
    </row>
    <row r="221" spans="2:28" x14ac:dyDescent="0.25">
      <c r="B221" s="278" t="s">
        <v>52</v>
      </c>
      <c r="C221" s="398">
        <v>0</v>
      </c>
      <c r="D221" s="420">
        <f>IF(C$209=0,"N.D.",C221/C$209)</f>
        <v>0</v>
      </c>
      <c r="E221" s="398">
        <v>0</v>
      </c>
      <c r="F221" s="420">
        <f>IF(E$209=0,"N.D.",E221/E$209)</f>
        <v>0</v>
      </c>
      <c r="G221" s="398">
        <v>-0.11</v>
      </c>
      <c r="H221" s="420">
        <f>IF(G$209=0,"N.D.",G221/G$209)</f>
        <v>-8.7726293962835957E-4</v>
      </c>
      <c r="I221" s="398">
        <v>-0.36</v>
      </c>
      <c r="J221" s="420">
        <f>IF(I$209=0,"N.D.",I221/I$209)</f>
        <v>-2.9774704734178052E-3</v>
      </c>
      <c r="K221" s="398">
        <v>0.28499999999999998</v>
      </c>
      <c r="L221" s="420">
        <f>IF(K$209=0,"N.D.",K221/K$209)</f>
        <v>2.3173746178364665E-3</v>
      </c>
      <c r="M221" s="398">
        <v>-0.67200000000000004</v>
      </c>
      <c r="N221" s="420">
        <f>IF(M$209=0,"N.D.",M221/M$209)</f>
        <v>-5.6968946837460477E-3</v>
      </c>
      <c r="O221" s="398">
        <v>-0.67200000000000004</v>
      </c>
      <c r="P221" s="420">
        <f>IF(O$209=0,"N.D.",O221/O$209)</f>
        <v>-5.6968999962614102E-3</v>
      </c>
      <c r="Q221" s="398">
        <v>0.62166999999999994</v>
      </c>
      <c r="R221" s="420">
        <f>IF(Q$209=0,"N.D.",Q221/Q$209)</f>
        <v>5.2277990719515081E-3</v>
      </c>
      <c r="S221" s="398">
        <v>1.3005</v>
      </c>
      <c r="T221" s="420">
        <f>IF(S$209=0,"N.D.",S221/S$209)</f>
        <v>1.1211783916810202E-2</v>
      </c>
      <c r="U221" s="398">
        <v>-3.044</v>
      </c>
      <c r="V221" s="420">
        <f>IF(U$209=0,"N.D.",U221/U$209)</f>
        <v>-2.5808201989028969E-2</v>
      </c>
      <c r="W221" s="398">
        <v>0.34699999999999998</v>
      </c>
      <c r="X221" s="420">
        <f>IF(W$209=0,"N.D.",W221/W$209)</f>
        <v>2.9845611318969592E-3</v>
      </c>
      <c r="Y221" s="398">
        <v>2.8000000000000001E-2</v>
      </c>
      <c r="Z221" s="420">
        <f>IF(Y$209=0,"N.D.",Y221/Y$209)</f>
        <v>2.3964190652253918E-4</v>
      </c>
      <c r="AA221" s="398">
        <f t="shared" si="142"/>
        <v>-2.2758300000000005</v>
      </c>
      <c r="AB221" s="155">
        <f>IF(AA$209=0,"N.D.",AA221/AA$209)</f>
        <v>-1.5950801027271875E-3</v>
      </c>
    </row>
    <row r="222" spans="2:28" x14ac:dyDescent="0.25">
      <c r="B222" s="278" t="s">
        <v>184</v>
      </c>
      <c r="C222" s="398">
        <v>26.147790000000001</v>
      </c>
      <c r="D222" s="420">
        <f>IF(C$209=0,"N.D.",C222/C$209)</f>
        <v>0.22099608098149823</v>
      </c>
      <c r="E222" s="398">
        <v>24.678000000000001</v>
      </c>
      <c r="F222" s="420">
        <f>IF(E$209=0,"N.D.",E222/E$209)</f>
        <v>0.21038363171355501</v>
      </c>
      <c r="G222" s="398">
        <v>24.222999999999999</v>
      </c>
      <c r="H222" s="420">
        <f>IF(G$209=0,"N.D.",G222/G$209)</f>
        <v>0.19318127442379773</v>
      </c>
      <c r="I222" s="398">
        <v>26.231999999999999</v>
      </c>
      <c r="J222" s="420">
        <f>IF(I$209=0,"N.D.",I222/I$209)</f>
        <v>0.21695834849637741</v>
      </c>
      <c r="K222" s="398">
        <v>26.756</v>
      </c>
      <c r="L222" s="420">
        <f>IF(K$209=0,"N.D.",K222/K$209)</f>
        <v>0.21755675535028948</v>
      </c>
      <c r="M222" s="398">
        <v>28.216999999999999</v>
      </c>
      <c r="N222" s="420">
        <f>IF(M$209=0,"N.D.",M222/M$209)</f>
        <v>0.23921023406437827</v>
      </c>
      <c r="O222" s="398">
        <v>28.217389999999998</v>
      </c>
      <c r="P222" s="420">
        <f>IF(O$209=0,"N.D.",O222/O$209)</f>
        <v>0.23921376337128977</v>
      </c>
      <c r="Q222" s="398">
        <v>28.737350000000003</v>
      </c>
      <c r="R222" s="420">
        <f>IF(Q$209=0,"N.D.",Q222/Q$209)</f>
        <v>0.24166051387447632</v>
      </c>
      <c r="S222" s="398">
        <v>27.40681</v>
      </c>
      <c r="T222" s="420">
        <f>IF(S$209=0,"N.D.",S222/S$209)</f>
        <v>0.23627776360559247</v>
      </c>
      <c r="U222" s="398">
        <v>26.933</v>
      </c>
      <c r="V222" s="420">
        <f>IF(U$209=0,"N.D.",U222/U$209)</f>
        <v>0.2283483259430083</v>
      </c>
      <c r="W222" s="398">
        <v>28.773</v>
      </c>
      <c r="X222" s="420">
        <f>IF(W$209=0,"N.D.",W222/W$209)</f>
        <v>0.24747774480712165</v>
      </c>
      <c r="Y222" s="398">
        <v>26.983000000000001</v>
      </c>
      <c r="Z222" s="420">
        <f>IF(Y$209=0,"N.D.",Y222/Y$209)</f>
        <v>0.23093777013205982</v>
      </c>
      <c r="AA222" s="398">
        <f t="shared" si="142"/>
        <v>323.30433999999997</v>
      </c>
      <c r="AB222" s="155">
        <f>IF(AA$209=0,"N.D.",AA222/AA$209)</f>
        <v>0.22659703047211144</v>
      </c>
    </row>
    <row r="223" spans="2:28" x14ac:dyDescent="0.25">
      <c r="B223" s="278" t="s">
        <v>214</v>
      </c>
      <c r="C223" s="398">
        <v>0</v>
      </c>
      <c r="D223" s="420">
        <f>IF(C$209=0,"N.D.",C223/C$209)</f>
        <v>0</v>
      </c>
      <c r="E223" s="398">
        <v>0</v>
      </c>
      <c r="F223" s="420">
        <f>IF(E$209=0,"N.D.",E223/E$209)</f>
        <v>0</v>
      </c>
      <c r="G223" s="398">
        <v>0</v>
      </c>
      <c r="H223" s="420">
        <f>IF(G$209=0,"N.D.",G223/G$209)</f>
        <v>0</v>
      </c>
      <c r="I223" s="398">
        <v>0</v>
      </c>
      <c r="J223" s="420">
        <f>IF(I$209=0,"N.D.",I223/I$209)</f>
        <v>0</v>
      </c>
      <c r="K223" s="398">
        <v>0</v>
      </c>
      <c r="L223" s="420">
        <f>IF(K$209=0,"N.D.",K223/K$209)</f>
        <v>0</v>
      </c>
      <c r="M223" s="398">
        <v>0</v>
      </c>
      <c r="N223" s="420">
        <f>IF(M$209=0,"N.D.",M223/M$209)</f>
        <v>0</v>
      </c>
      <c r="O223" s="398">
        <v>0</v>
      </c>
      <c r="P223" s="420">
        <f>IF(O$209=0,"N.D.",O223/O$209)</f>
        <v>0</v>
      </c>
      <c r="Q223" s="398">
        <v>0</v>
      </c>
      <c r="R223" s="420">
        <f>IF(Q$209=0,"N.D.",Q223/Q$209)</f>
        <v>0</v>
      </c>
      <c r="S223" s="398">
        <v>0</v>
      </c>
      <c r="T223" s="420">
        <f>IF(S$209=0,"N.D.",S223/S$209)</f>
        <v>0</v>
      </c>
      <c r="U223" s="398">
        <v>0</v>
      </c>
      <c r="V223" s="420">
        <f>IF(U$209=0,"N.D.",U223/U$209)</f>
        <v>0</v>
      </c>
      <c r="W223" s="398">
        <v>0</v>
      </c>
      <c r="X223" s="420">
        <f>IF(W$209=0,"N.D.",W223/W$209)</f>
        <v>0</v>
      </c>
      <c r="Y223" s="398">
        <v>0</v>
      </c>
      <c r="Z223" s="420">
        <f>IF(Y$209=0,"N.D.",Y223/Y$209)</f>
        <v>0</v>
      </c>
      <c r="AA223" s="398">
        <f t="shared" si="142"/>
        <v>0</v>
      </c>
      <c r="AB223" s="155">
        <f>IF(AA$209=0,"N.D.",AA223/AA$209)</f>
        <v>0</v>
      </c>
    </row>
    <row r="224" spans="2:28" x14ac:dyDescent="0.25">
      <c r="C224" s="398"/>
      <c r="D224" s="420"/>
      <c r="E224" s="398"/>
      <c r="F224" s="420"/>
      <c r="G224" s="398"/>
      <c r="H224" s="420"/>
      <c r="I224" s="398"/>
      <c r="J224" s="420"/>
      <c r="K224" s="398"/>
      <c r="L224" s="420"/>
      <c r="M224" s="398"/>
      <c r="N224" s="420"/>
      <c r="O224" s="398"/>
      <c r="P224" s="420"/>
      <c r="Q224" s="398"/>
      <c r="R224" s="420"/>
      <c r="S224" s="398"/>
      <c r="T224" s="420"/>
      <c r="U224" s="398"/>
      <c r="V224" s="420"/>
      <c r="W224" s="398"/>
      <c r="X224" s="420"/>
      <c r="Y224" s="398"/>
      <c r="Z224" s="420"/>
      <c r="AA224" s="398"/>
      <c r="AB224" s="155"/>
    </row>
    <row r="225" spans="2:28" ht="13" x14ac:dyDescent="0.3">
      <c r="B225" s="278" t="s">
        <v>48</v>
      </c>
      <c r="C225" s="335">
        <v>26.147790000000001</v>
      </c>
      <c r="D225" s="415">
        <f>IF(C$209=0,"N.D.",C225/C$209)</f>
        <v>0.22099608098149823</v>
      </c>
      <c r="E225" s="335">
        <v>24.678000000000001</v>
      </c>
      <c r="F225" s="415">
        <f>IF(E$209=0,"N.D.",E225/E$209)</f>
        <v>0.21038363171355501</v>
      </c>
      <c r="G225" s="335">
        <v>24.113</v>
      </c>
      <c r="H225" s="415">
        <f>IF(G$209=0,"N.D.",G225/G$209)</f>
        <v>0.1923040114841694</v>
      </c>
      <c r="I225" s="335">
        <v>25.872</v>
      </c>
      <c r="J225" s="415">
        <f>IF(I$209=0,"N.D.",I225/I$209)</f>
        <v>0.21398087802295959</v>
      </c>
      <c r="K225" s="335">
        <v>27.041</v>
      </c>
      <c r="L225" s="415">
        <f>IF(K$209=0,"N.D.",K225/K$209)</f>
        <v>0.21987412996812594</v>
      </c>
      <c r="M225" s="335">
        <v>27.544999999999998</v>
      </c>
      <c r="N225" s="415">
        <f>IF(M$209=0,"N.D.",M225/M$209)</f>
        <v>0.23351333938063223</v>
      </c>
      <c r="O225" s="335">
        <v>27.545389999999998</v>
      </c>
      <c r="P225" s="415">
        <f>IF(O$209=0,"N.D.",O225/O$209)</f>
        <v>0.23351686337502836</v>
      </c>
      <c r="Q225" s="335">
        <v>29.359020000000001</v>
      </c>
      <c r="R225" s="415">
        <f>IF(Q$209=0,"N.D.",Q225/Q$209)</f>
        <v>0.24688831294642782</v>
      </c>
      <c r="S225" s="335">
        <v>28.70731</v>
      </c>
      <c r="T225" s="415">
        <f>IF(S$209=0,"N.D.",S225/S$209)</f>
        <v>0.24748954752240268</v>
      </c>
      <c r="U225" s="335">
        <v>23.888999999999999</v>
      </c>
      <c r="V225" s="415">
        <f>IF(U$209=0,"N.D.",U225/U$209)</f>
        <v>0.20254012395397933</v>
      </c>
      <c r="W225" s="335">
        <v>29.12</v>
      </c>
      <c r="X225" s="415">
        <f>IF(W$209=0,"N.D.",W225/W$209)</f>
        <v>0.25046230593901864</v>
      </c>
      <c r="Y225" s="335">
        <v>27.010999999999999</v>
      </c>
      <c r="Z225" s="415">
        <f>IF(Y$209=0,"N.D.",Y225/Y$209)</f>
        <v>0.23117741203858236</v>
      </c>
      <c r="AA225" s="335">
        <f t="shared" si="142"/>
        <v>321.02850999999993</v>
      </c>
      <c r="AB225" s="26">
        <f>IF(AA$209=0,"N.D.",AA225/AA$209)</f>
        <v>0.22500195036938422</v>
      </c>
    </row>
    <row r="226" spans="2:28" ht="13" x14ac:dyDescent="0.3">
      <c r="B226" s="278" t="s">
        <v>49</v>
      </c>
      <c r="C226" s="335">
        <v>35.672139999999999</v>
      </c>
      <c r="D226" s="415">
        <f>IF(C$209=0,"N.D.",C226/C$209)</f>
        <v>0.30149405132224721</v>
      </c>
      <c r="E226" s="335">
        <v>41.879999999999995</v>
      </c>
      <c r="F226" s="415">
        <f>IF(E$209=0,"N.D.",E226/E$209)</f>
        <v>0.35703324808184139</v>
      </c>
      <c r="G226" s="335">
        <v>54.306000000000012</v>
      </c>
      <c r="H226" s="415">
        <f>IF(G$209=0,"N.D.",G226/G$209)</f>
        <v>0.43309673817688821</v>
      </c>
      <c r="I226" s="335">
        <v>45.665000000000006</v>
      </c>
      <c r="J226" s="415">
        <f>IF(I$209=0,"N.D.",I226/I$209)</f>
        <v>0.37768385880173361</v>
      </c>
      <c r="K226" s="335">
        <v>41.959000000000003</v>
      </c>
      <c r="L226" s="415">
        <f>IF(K$209=0,"N.D.",K226/K$209)</f>
        <v>0.34117446171859755</v>
      </c>
      <c r="M226" s="335">
        <v>42.602999999999994</v>
      </c>
      <c r="N226" s="415">
        <f>IF(M$209=0,"N.D.",M226/M$209)</f>
        <v>0.36116786341016788</v>
      </c>
      <c r="O226" s="335">
        <v>42.602469999999997</v>
      </c>
      <c r="P226" s="415">
        <f>IF(O$209=0,"N.D.",O226/O$209)</f>
        <v>0.36116370711864104</v>
      </c>
      <c r="Q226" s="335">
        <v>41.657579999999989</v>
      </c>
      <c r="R226" s="415">
        <f>IF(Q$209=0,"N.D.",Q226/Q$209)</f>
        <v>0.35031038664202174</v>
      </c>
      <c r="S226" s="335">
        <v>35.196640000000002</v>
      </c>
      <c r="T226" s="415">
        <f>IF(S$209=0,"N.D.",S226/S$209)</f>
        <v>0.30343492678028344</v>
      </c>
      <c r="U226" s="335">
        <v>46.301000000000002</v>
      </c>
      <c r="V226" s="415">
        <f>IF(U$209=0,"N.D.",U226/U$209)</f>
        <v>0.39255767420960264</v>
      </c>
      <c r="W226" s="335">
        <v>39.426000000000002</v>
      </c>
      <c r="X226" s="415">
        <f>IF(W$209=0,"N.D.",W226/W$209)</f>
        <v>0.33910463166043092</v>
      </c>
      <c r="Y226" s="335">
        <v>36.289999999999992</v>
      </c>
      <c r="Z226" s="415">
        <f>IF(Y$209=0,"N.D.",Y226/Y$209)</f>
        <v>0.31059302813224804</v>
      </c>
      <c r="AA226" s="335">
        <f t="shared" si="142"/>
        <v>503.55883000000006</v>
      </c>
      <c r="AB226" s="26">
        <f>IF(AA$209=0,"N.D.",AA226/AA$209)</f>
        <v>0.35293351009767082</v>
      </c>
    </row>
    <row r="227" spans="2:28" x14ac:dyDescent="0.25">
      <c r="C227" s="403"/>
      <c r="D227" s="421"/>
      <c r="E227" s="403"/>
      <c r="F227" s="421"/>
      <c r="G227" s="403"/>
      <c r="H227" s="421"/>
      <c r="I227" s="403"/>
      <c r="J227" s="421"/>
      <c r="K227" s="403"/>
      <c r="L227" s="421"/>
      <c r="M227" s="403"/>
      <c r="N227" s="421"/>
      <c r="O227" s="403"/>
      <c r="P227" s="421"/>
      <c r="Q227" s="403"/>
      <c r="R227" s="421"/>
      <c r="S227" s="403"/>
      <c r="T227" s="421"/>
      <c r="U227" s="403"/>
      <c r="V227" s="421"/>
      <c r="W227" s="403"/>
      <c r="X227" s="421"/>
      <c r="Y227" s="403"/>
      <c r="Z227" s="421"/>
      <c r="AA227" s="403"/>
      <c r="AB227" s="157"/>
    </row>
    <row r="228" spans="2:28" x14ac:dyDescent="0.25">
      <c r="B228" s="278" t="s">
        <v>50</v>
      </c>
      <c r="C228" s="400">
        <v>0</v>
      </c>
      <c r="D228" s="422">
        <f>IF(C$209=0,"N.D.",C228/C$209)</f>
        <v>0</v>
      </c>
      <c r="E228" s="400">
        <v>0</v>
      </c>
      <c r="F228" s="422">
        <f>IF(E$209=0,"N.D.",E228/E$209)</f>
        <v>0</v>
      </c>
      <c r="G228" s="400">
        <v>0</v>
      </c>
      <c r="H228" s="422">
        <f t="shared" ref="H228:H237" si="143">IF(G$209=0,"N.D.",G228/G$209)</f>
        <v>0</v>
      </c>
      <c r="I228" s="400">
        <v>0</v>
      </c>
      <c r="J228" s="422">
        <f t="shared" ref="J228:J237" si="144">IF(I$209=0,"N.D.",I228/I$209)</f>
        <v>0</v>
      </c>
      <c r="K228" s="400">
        <v>0</v>
      </c>
      <c r="L228" s="422">
        <f t="shared" ref="L228:L237" si="145">IF(K$209=0,"N.D.",K228/K$209)</f>
        <v>0</v>
      </c>
      <c r="M228" s="400">
        <v>0</v>
      </c>
      <c r="N228" s="422">
        <f t="shared" ref="N228:N237" si="146">IF(M$209=0,"N.D.",M228/M$209)</f>
        <v>0</v>
      </c>
      <c r="O228" s="400">
        <v>0</v>
      </c>
      <c r="P228" s="422">
        <f t="shared" ref="P228:P237" si="147">IF(O$209=0,"N.D.",O228/O$209)</f>
        <v>0</v>
      </c>
      <c r="Q228" s="400">
        <v>0</v>
      </c>
      <c r="R228" s="422">
        <f t="shared" ref="R228:R237" si="148">IF(Q$209=0,"N.D.",Q228/Q$209)</f>
        <v>0</v>
      </c>
      <c r="S228" s="400">
        <v>0</v>
      </c>
      <c r="T228" s="422">
        <f t="shared" ref="T228:T237" si="149">IF(S$209=0,"N.D.",S228/S$209)</f>
        <v>0</v>
      </c>
      <c r="U228" s="400">
        <v>0</v>
      </c>
      <c r="V228" s="422">
        <f t="shared" ref="V228:V237" si="150">IF(U$209=0,"N.D.",U228/U$209)</f>
        <v>0</v>
      </c>
      <c r="W228" s="400">
        <v>0</v>
      </c>
      <c r="X228" s="422">
        <f t="shared" ref="X228:X237" si="151">IF(W$209=0,"N.D.",W228/W$209)</f>
        <v>0</v>
      </c>
      <c r="Y228" s="400">
        <v>0</v>
      </c>
      <c r="Z228" s="422">
        <f t="shared" ref="Z228:Z237" si="152">IF(Y$209=0,"N.D.",Y228/Y$209)</f>
        <v>0</v>
      </c>
      <c r="AA228" s="400">
        <f t="shared" si="142"/>
        <v>0</v>
      </c>
      <c r="AB228" s="156">
        <f t="shared" ref="AB228:AB237" si="153">IF(AA$209=0,"N.D.",AA228/AA$209)</f>
        <v>0</v>
      </c>
    </row>
    <row r="229" spans="2:28" x14ac:dyDescent="0.25">
      <c r="B229" s="278" t="s">
        <v>51</v>
      </c>
      <c r="C229" s="398">
        <v>0</v>
      </c>
      <c r="D229" s="420">
        <f>IF(C$209=0,"N.D.",C229/C$209)</f>
        <v>0</v>
      </c>
      <c r="E229" s="398">
        <v>0</v>
      </c>
      <c r="F229" s="420">
        <f>IF(E$209=0,"N.D.",E229/E$209)</f>
        <v>0</v>
      </c>
      <c r="G229" s="398">
        <v>0</v>
      </c>
      <c r="H229" s="420">
        <f t="shared" si="143"/>
        <v>0</v>
      </c>
      <c r="I229" s="398">
        <v>0</v>
      </c>
      <c r="J229" s="420">
        <f t="shared" si="144"/>
        <v>0</v>
      </c>
      <c r="K229" s="398">
        <v>0</v>
      </c>
      <c r="L229" s="420">
        <f t="shared" si="145"/>
        <v>0</v>
      </c>
      <c r="M229" s="398">
        <v>0</v>
      </c>
      <c r="N229" s="420">
        <f t="shared" si="146"/>
        <v>0</v>
      </c>
      <c r="O229" s="398">
        <v>0</v>
      </c>
      <c r="P229" s="420">
        <f t="shared" si="147"/>
        <v>0</v>
      </c>
      <c r="Q229" s="398">
        <v>0</v>
      </c>
      <c r="R229" s="420">
        <f t="shared" si="148"/>
        <v>0</v>
      </c>
      <c r="S229" s="398">
        <v>0</v>
      </c>
      <c r="T229" s="420">
        <f t="shared" si="149"/>
        <v>0</v>
      </c>
      <c r="U229" s="398">
        <v>0</v>
      </c>
      <c r="V229" s="420">
        <f t="shared" si="150"/>
        <v>0</v>
      </c>
      <c r="W229" s="398">
        <v>0</v>
      </c>
      <c r="X229" s="420">
        <f t="shared" si="151"/>
        <v>0</v>
      </c>
      <c r="Y229" s="398">
        <v>0</v>
      </c>
      <c r="Z229" s="420">
        <f t="shared" si="152"/>
        <v>0</v>
      </c>
      <c r="AA229" s="398">
        <f t="shared" si="142"/>
        <v>0</v>
      </c>
      <c r="AB229" s="155">
        <f t="shared" si="153"/>
        <v>0</v>
      </c>
    </row>
    <row r="230" spans="2:28" ht="13" x14ac:dyDescent="0.3">
      <c r="B230" s="282" t="s">
        <v>53</v>
      </c>
      <c r="C230" s="335">
        <v>35.672139999999999</v>
      </c>
      <c r="D230" s="415">
        <f>IF(C$209=0,"N.D.",C230/C$209)</f>
        <v>0.30149405132224721</v>
      </c>
      <c r="E230" s="335">
        <v>41.879999999999995</v>
      </c>
      <c r="F230" s="415">
        <f>IF(E$209=0,"N.D.",E230/E$209)</f>
        <v>0.35703324808184139</v>
      </c>
      <c r="G230" s="335">
        <v>54.306000000000012</v>
      </c>
      <c r="H230" s="415">
        <f t="shared" si="143"/>
        <v>0.43309673817688821</v>
      </c>
      <c r="I230" s="335">
        <v>45.665000000000006</v>
      </c>
      <c r="J230" s="415">
        <f t="shared" si="144"/>
        <v>0.37768385880173361</v>
      </c>
      <c r="K230" s="335">
        <v>41.959000000000003</v>
      </c>
      <c r="L230" s="415">
        <f t="shared" si="145"/>
        <v>0.34117446171859755</v>
      </c>
      <c r="M230" s="335">
        <v>42.602999999999994</v>
      </c>
      <c r="N230" s="415">
        <f t="shared" si="146"/>
        <v>0.36116786341016788</v>
      </c>
      <c r="O230" s="335">
        <v>42.602469999999997</v>
      </c>
      <c r="P230" s="415">
        <f t="shared" si="147"/>
        <v>0.36116370711864104</v>
      </c>
      <c r="Q230" s="335">
        <v>41.657579999999989</v>
      </c>
      <c r="R230" s="415">
        <f t="shared" si="148"/>
        <v>0.35031038664202174</v>
      </c>
      <c r="S230" s="335">
        <v>35.196640000000002</v>
      </c>
      <c r="T230" s="415">
        <f t="shared" si="149"/>
        <v>0.30343492678028344</v>
      </c>
      <c r="U230" s="335">
        <v>46.301000000000002</v>
      </c>
      <c r="V230" s="415">
        <f t="shared" si="150"/>
        <v>0.39255767420960264</v>
      </c>
      <c r="W230" s="335">
        <v>39.426000000000002</v>
      </c>
      <c r="X230" s="415">
        <f t="shared" si="151"/>
        <v>0.33910463166043092</v>
      </c>
      <c r="Y230" s="335">
        <v>36.289999999999992</v>
      </c>
      <c r="Z230" s="415">
        <f t="shared" si="152"/>
        <v>0.31059302813224804</v>
      </c>
      <c r="AA230" s="335">
        <f t="shared" si="142"/>
        <v>503.55883000000006</v>
      </c>
      <c r="AB230" s="26">
        <f t="shared" si="153"/>
        <v>0.35293351009767082</v>
      </c>
    </row>
    <row r="231" spans="2:28" ht="13" x14ac:dyDescent="0.3">
      <c r="B231" s="274" t="s">
        <v>122</v>
      </c>
      <c r="C231" s="335">
        <v>103.32726000000001</v>
      </c>
      <c r="D231" s="415">
        <f>IF(C$209=0,"N.D.",C231/C$209)</f>
        <v>0.87330208474813065</v>
      </c>
      <c r="E231" s="335">
        <v>108.065</v>
      </c>
      <c r="F231" s="415">
        <f>IF(E$209=0,"N.D.",E231/E$209)</f>
        <v>0.92127024722932649</v>
      </c>
      <c r="G231" s="335">
        <v>119.92600000000002</v>
      </c>
      <c r="H231" s="415">
        <f t="shared" si="143"/>
        <v>0.95642395725336959</v>
      </c>
      <c r="I231" s="335">
        <v>113.04400000000001</v>
      </c>
      <c r="J231" s="415">
        <f t="shared" si="144"/>
        <v>0.93495881165845118</v>
      </c>
      <c r="K231" s="335">
        <v>110.50700000000001</v>
      </c>
      <c r="L231" s="415">
        <f t="shared" si="145"/>
        <v>0.89854777857282253</v>
      </c>
      <c r="M231" s="335">
        <v>111.655</v>
      </c>
      <c r="N231" s="415">
        <f t="shared" si="146"/>
        <v>0.9465577022524776</v>
      </c>
      <c r="O231" s="335">
        <v>111.65519</v>
      </c>
      <c r="P231" s="415">
        <f t="shared" si="147"/>
        <v>0.94656019567495087</v>
      </c>
      <c r="Q231" s="335">
        <v>112.52392999999999</v>
      </c>
      <c r="R231" s="415">
        <f t="shared" si="148"/>
        <v>0.94624559143329501</v>
      </c>
      <c r="S231" s="335">
        <v>105.41128</v>
      </c>
      <c r="T231" s="415">
        <f t="shared" si="149"/>
        <v>0.90876470107987461</v>
      </c>
      <c r="U231" s="335">
        <v>111.697</v>
      </c>
      <c r="V231" s="415">
        <f t="shared" si="150"/>
        <v>0.94701009775577161</v>
      </c>
      <c r="W231" s="335">
        <v>110.053</v>
      </c>
      <c r="X231" s="415">
        <f t="shared" si="151"/>
        <v>0.94657033501053622</v>
      </c>
      <c r="Y231" s="335">
        <v>104.80799999999999</v>
      </c>
      <c r="Z231" s="415">
        <f t="shared" si="152"/>
        <v>0.89701389067193882</v>
      </c>
      <c r="AA231" s="335">
        <f t="shared" si="142"/>
        <v>1322.6726600000002</v>
      </c>
      <c r="AB231" s="26">
        <f t="shared" si="153"/>
        <v>0.92703270560070039</v>
      </c>
    </row>
    <row r="232" spans="2:28" s="130" customFormat="1" ht="13" x14ac:dyDescent="0.3">
      <c r="B232" s="1" t="s">
        <v>194</v>
      </c>
      <c r="C232" s="373">
        <v>0</v>
      </c>
      <c r="D232" s="407">
        <f t="shared" ref="D232:F237" si="154">IF(C$209=0,"N.D.",C232/C$209)</f>
        <v>0</v>
      </c>
      <c r="E232" s="373">
        <v>0</v>
      </c>
      <c r="F232" s="407">
        <f t="shared" si="154"/>
        <v>0</v>
      </c>
      <c r="G232" s="373">
        <v>0</v>
      </c>
      <c r="H232" s="407">
        <f t="shared" si="143"/>
        <v>0</v>
      </c>
      <c r="I232" s="373">
        <v>0</v>
      </c>
      <c r="J232" s="407">
        <f t="shared" si="144"/>
        <v>0</v>
      </c>
      <c r="K232" s="373">
        <v>0</v>
      </c>
      <c r="L232" s="407">
        <f t="shared" si="145"/>
        <v>0</v>
      </c>
      <c r="M232" s="373">
        <v>0</v>
      </c>
      <c r="N232" s="407">
        <f t="shared" si="146"/>
        <v>0</v>
      </c>
      <c r="O232" s="373">
        <v>0</v>
      </c>
      <c r="P232" s="407">
        <f t="shared" si="147"/>
        <v>0</v>
      </c>
      <c r="Q232" s="373">
        <v>0</v>
      </c>
      <c r="R232" s="407">
        <f t="shared" si="148"/>
        <v>0</v>
      </c>
      <c r="S232" s="373">
        <v>0</v>
      </c>
      <c r="T232" s="407">
        <f t="shared" si="149"/>
        <v>0</v>
      </c>
      <c r="U232" s="373">
        <v>0</v>
      </c>
      <c r="V232" s="407">
        <f t="shared" si="150"/>
        <v>0</v>
      </c>
      <c r="W232" s="373">
        <v>0</v>
      </c>
      <c r="X232" s="407">
        <f t="shared" si="151"/>
        <v>0</v>
      </c>
      <c r="Y232" s="373">
        <v>0</v>
      </c>
      <c r="Z232" s="407">
        <f t="shared" si="152"/>
        <v>0</v>
      </c>
      <c r="AA232" s="373">
        <f t="shared" si="142"/>
        <v>0</v>
      </c>
      <c r="AB232" s="360">
        <f t="shared" si="153"/>
        <v>0</v>
      </c>
    </row>
    <row r="233" spans="2:28" s="130" customFormat="1" ht="13" x14ac:dyDescent="0.3">
      <c r="B233" s="1" t="s">
        <v>123</v>
      </c>
      <c r="C233" s="408">
        <v>0</v>
      </c>
      <c r="D233" s="409">
        <f t="shared" si="154"/>
        <v>0</v>
      </c>
      <c r="E233" s="408"/>
      <c r="F233" s="409">
        <f t="shared" si="154"/>
        <v>0</v>
      </c>
      <c r="G233" s="408"/>
      <c r="H233" s="409">
        <f t="shared" si="143"/>
        <v>0</v>
      </c>
      <c r="I233" s="408"/>
      <c r="J233" s="409">
        <f t="shared" si="144"/>
        <v>0</v>
      </c>
      <c r="K233" s="408"/>
      <c r="L233" s="409">
        <f t="shared" si="145"/>
        <v>0</v>
      </c>
      <c r="M233" s="408"/>
      <c r="N233" s="409">
        <f t="shared" si="146"/>
        <v>0</v>
      </c>
      <c r="O233" s="408"/>
      <c r="P233" s="409">
        <f t="shared" si="147"/>
        <v>0</v>
      </c>
      <c r="Q233" s="408">
        <v>0</v>
      </c>
      <c r="R233" s="409">
        <f t="shared" si="148"/>
        <v>0</v>
      </c>
      <c r="S233" s="408">
        <v>0</v>
      </c>
      <c r="T233" s="409">
        <f t="shared" si="149"/>
        <v>0</v>
      </c>
      <c r="U233" s="408">
        <v>0</v>
      </c>
      <c r="V233" s="409">
        <f t="shared" si="150"/>
        <v>0</v>
      </c>
      <c r="W233" s="408">
        <v>0</v>
      </c>
      <c r="X233" s="409">
        <f t="shared" si="151"/>
        <v>0</v>
      </c>
      <c r="Y233" s="408">
        <v>0</v>
      </c>
      <c r="Z233" s="409">
        <f t="shared" si="152"/>
        <v>0</v>
      </c>
      <c r="AA233" s="408">
        <f t="shared" si="142"/>
        <v>0</v>
      </c>
      <c r="AB233" s="361">
        <f t="shared" si="153"/>
        <v>0</v>
      </c>
    </row>
    <row r="234" spans="2:28" s="130" customFormat="1" ht="13" x14ac:dyDescent="0.3">
      <c r="B234" s="7" t="s">
        <v>190</v>
      </c>
      <c r="C234" s="410">
        <v>77.179470000000009</v>
      </c>
      <c r="D234" s="409">
        <f t="shared" si="154"/>
        <v>0.6523060037666325</v>
      </c>
      <c r="E234" s="410">
        <v>83.387</v>
      </c>
      <c r="F234" s="409">
        <f t="shared" si="154"/>
        <v>0.71088661551577159</v>
      </c>
      <c r="G234" s="410">
        <v>95.813000000000017</v>
      </c>
      <c r="H234" s="409">
        <f t="shared" si="143"/>
        <v>0.76411994576920017</v>
      </c>
      <c r="I234" s="410">
        <v>87.171999999999997</v>
      </c>
      <c r="J234" s="409">
        <f t="shared" si="144"/>
        <v>0.72097793363549145</v>
      </c>
      <c r="K234" s="410">
        <v>83.466000000000008</v>
      </c>
      <c r="L234" s="409">
        <f t="shared" si="145"/>
        <v>0.67867364860469659</v>
      </c>
      <c r="M234" s="410">
        <v>84.109999999999985</v>
      </c>
      <c r="N234" s="409">
        <f t="shared" si="146"/>
        <v>0.71304436287184514</v>
      </c>
      <c r="O234" s="410">
        <v>84.109800000000007</v>
      </c>
      <c r="P234" s="409">
        <f t="shared" si="147"/>
        <v>0.71304333229992256</v>
      </c>
      <c r="Q234" s="410">
        <v>83.164909999999992</v>
      </c>
      <c r="R234" s="409">
        <f t="shared" si="148"/>
        <v>0.69935727848686713</v>
      </c>
      <c r="S234" s="410">
        <v>76.703969999999998</v>
      </c>
      <c r="T234" s="409">
        <f t="shared" si="149"/>
        <v>0.66127515355747191</v>
      </c>
      <c r="U234" s="410">
        <v>87.807999999999993</v>
      </c>
      <c r="V234" s="409">
        <f t="shared" si="150"/>
        <v>0.74446997380179225</v>
      </c>
      <c r="W234" s="410">
        <v>80.932999999999993</v>
      </c>
      <c r="X234" s="409">
        <f t="shared" si="151"/>
        <v>0.69610802907151759</v>
      </c>
      <c r="Y234" s="410">
        <v>77.797959999999989</v>
      </c>
      <c r="Z234" s="409">
        <f t="shared" si="152"/>
        <v>0.66584469492729426</v>
      </c>
      <c r="AA234" s="410">
        <f t="shared" si="142"/>
        <v>1001.6451099999999</v>
      </c>
      <c r="AB234" s="361">
        <f t="shared" si="153"/>
        <v>0.70203142807458574</v>
      </c>
    </row>
    <row r="235" spans="2:28" s="130" customFormat="1" ht="13" x14ac:dyDescent="0.3">
      <c r="B235" s="7" t="s">
        <v>191</v>
      </c>
      <c r="C235" s="381">
        <v>37</v>
      </c>
      <c r="D235" s="411">
        <f t="shared" si="154"/>
        <v>0.31271686809154559</v>
      </c>
      <c r="E235" s="381">
        <v>37.927440000000004</v>
      </c>
      <c r="F235" s="411">
        <f t="shared" si="154"/>
        <v>0.32333708439897701</v>
      </c>
      <c r="G235" s="381">
        <v>39.295639999999999</v>
      </c>
      <c r="H235" s="411">
        <f t="shared" si="143"/>
        <v>0.31338735146343405</v>
      </c>
      <c r="I235" s="381">
        <v>36.372510000000005</v>
      </c>
      <c r="J235" s="411">
        <f t="shared" si="144"/>
        <v>0.30082798491414964</v>
      </c>
      <c r="K235" s="381">
        <v>36.04665</v>
      </c>
      <c r="L235" s="411">
        <f t="shared" si="145"/>
        <v>0.29310032199310482</v>
      </c>
      <c r="M235" s="381">
        <v>38.990339999999996</v>
      </c>
      <c r="N235" s="411">
        <f t="shared" si="146"/>
        <v>0.33054145932061135</v>
      </c>
      <c r="O235" s="381">
        <v>38.990339999999996</v>
      </c>
      <c r="P235" s="411">
        <f t="shared" si="147"/>
        <v>0.33054176755986764</v>
      </c>
      <c r="Q235" s="381">
        <v>35</v>
      </c>
      <c r="R235" s="411">
        <f t="shared" si="148"/>
        <v>0.29432491115592324</v>
      </c>
      <c r="S235" s="381">
        <v>35</v>
      </c>
      <c r="T235" s="411">
        <f t="shared" si="149"/>
        <v>0.30173966711907502</v>
      </c>
      <c r="U235" s="381">
        <v>36</v>
      </c>
      <c r="V235" s="411">
        <f t="shared" si="150"/>
        <v>0.30522183692675525</v>
      </c>
      <c r="W235" s="381">
        <v>27</v>
      </c>
      <c r="X235" s="411">
        <f t="shared" si="151"/>
        <v>0.23222809960005161</v>
      </c>
      <c r="Y235" s="381">
        <v>36</v>
      </c>
      <c r="Z235" s="411">
        <f t="shared" si="152"/>
        <v>0.3081110226718361</v>
      </c>
      <c r="AA235" s="381">
        <f t="shared" si="142"/>
        <v>433.62292000000002</v>
      </c>
      <c r="AB235" s="151">
        <f t="shared" si="153"/>
        <v>0.30391694097470501</v>
      </c>
    </row>
    <row r="236" spans="2:28" s="130" customFormat="1" ht="13" x14ac:dyDescent="0.3">
      <c r="B236" s="7" t="s">
        <v>84</v>
      </c>
      <c r="C236" s="381">
        <v>40.179470000000009</v>
      </c>
      <c r="D236" s="411">
        <f t="shared" si="154"/>
        <v>0.33958913567508692</v>
      </c>
      <c r="E236" s="381">
        <v>45.459559999999996</v>
      </c>
      <c r="F236" s="411">
        <f t="shared" si="154"/>
        <v>0.38754953111679452</v>
      </c>
      <c r="G236" s="381">
        <v>56.517360000000018</v>
      </c>
      <c r="H236" s="411">
        <f t="shared" si="143"/>
        <v>0.45073259430576618</v>
      </c>
      <c r="I236" s="381">
        <v>50.799489999999992</v>
      </c>
      <c r="J236" s="411">
        <f t="shared" si="144"/>
        <v>0.42014994872134176</v>
      </c>
      <c r="K236" s="381">
        <v>47.419350000000009</v>
      </c>
      <c r="L236" s="411">
        <f t="shared" si="145"/>
        <v>0.38557332661159183</v>
      </c>
      <c r="M236" s="381">
        <v>45.119659999999989</v>
      </c>
      <c r="N236" s="411">
        <f t="shared" si="146"/>
        <v>0.38250290355123379</v>
      </c>
      <c r="O236" s="381">
        <v>45.119460000000011</v>
      </c>
      <c r="P236" s="411">
        <f t="shared" si="147"/>
        <v>0.38250156474005487</v>
      </c>
      <c r="Q236" s="381">
        <v>48.164909999999992</v>
      </c>
      <c r="R236" s="411">
        <f t="shared" si="148"/>
        <v>0.40503236733094389</v>
      </c>
      <c r="S236" s="381">
        <v>41.703969999999998</v>
      </c>
      <c r="T236" s="411">
        <f t="shared" si="149"/>
        <v>0.35953548643839689</v>
      </c>
      <c r="U236" s="381">
        <v>51.807999999999993</v>
      </c>
      <c r="V236" s="411">
        <f t="shared" si="150"/>
        <v>0.439248136875037</v>
      </c>
      <c r="W236" s="381">
        <v>53.932999999999993</v>
      </c>
      <c r="X236" s="411">
        <f t="shared" si="151"/>
        <v>0.463879929471466</v>
      </c>
      <c r="Y236" s="381">
        <v>41.797959999999989</v>
      </c>
      <c r="Z236" s="411">
        <f t="shared" si="152"/>
        <v>0.35773367225545821</v>
      </c>
      <c r="AA236" s="381">
        <f t="shared" si="142"/>
        <v>568.02219000000002</v>
      </c>
      <c r="AB236" s="151">
        <f t="shared" si="153"/>
        <v>0.39811448709988084</v>
      </c>
    </row>
    <row r="237" spans="2:28" s="130" customFormat="1" ht="13" x14ac:dyDescent="0.3">
      <c r="B237" s="1" t="s">
        <v>193</v>
      </c>
      <c r="C237" s="412">
        <v>2.0859316216216217</v>
      </c>
      <c r="D237" s="411">
        <f t="shared" si="154"/>
        <v>1.7629891993692769E-2</v>
      </c>
      <c r="E237" s="412">
        <v>2.1985928921118849</v>
      </c>
      <c r="F237" s="411">
        <f t="shared" si="154"/>
        <v>1.8743332413571057E-2</v>
      </c>
      <c r="G237" s="412">
        <v>2.438260326081978</v>
      </c>
      <c r="H237" s="411">
        <f t="shared" si="143"/>
        <v>1.9445412920344348E-2</v>
      </c>
      <c r="I237" s="412">
        <v>2.3966451586651565</v>
      </c>
      <c r="J237" s="411">
        <f t="shared" si="144"/>
        <v>1.9822056097736761E-2</v>
      </c>
      <c r="K237" s="412">
        <v>2.3154994985664414</v>
      </c>
      <c r="L237" s="411">
        <f t="shared" si="145"/>
        <v>1.8827648300319078E-2</v>
      </c>
      <c r="M237" s="412">
        <v>2.1572009887577281</v>
      </c>
      <c r="N237" s="411">
        <f t="shared" si="146"/>
        <v>1.8287718518788122E-2</v>
      </c>
      <c r="O237" s="412">
        <v>2.1571958592820688</v>
      </c>
      <c r="P237" s="411">
        <f t="shared" si="147"/>
        <v>1.8287692087320159E-2</v>
      </c>
      <c r="Q237" s="412">
        <v>2.3761402857142855</v>
      </c>
      <c r="R237" s="411">
        <f t="shared" si="148"/>
        <v>1.9981636528196203E-2</v>
      </c>
      <c r="S237" s="412">
        <v>2.1915420000000001</v>
      </c>
      <c r="T237" s="411">
        <f t="shared" si="149"/>
        <v>1.8893575815927769E-2</v>
      </c>
      <c r="U237" s="412">
        <v>2.439111111111111</v>
      </c>
      <c r="V237" s="411">
        <f t="shared" si="150"/>
        <v>2.0679721494494228E-2</v>
      </c>
      <c r="W237" s="412">
        <v>2.9975185185185182</v>
      </c>
      <c r="X237" s="411">
        <f t="shared" si="151"/>
        <v>2.5781778854500653E-2</v>
      </c>
      <c r="Y237" s="412">
        <v>2.1610544444444439</v>
      </c>
      <c r="Z237" s="411">
        <f t="shared" si="152"/>
        <v>1.8495685970202617E-2</v>
      </c>
      <c r="AA237" s="412">
        <f t="shared" si="142"/>
        <v>27.91469270487524</v>
      </c>
      <c r="AB237" s="151">
        <f t="shared" si="153"/>
        <v>1.9564805326975326E-2</v>
      </c>
    </row>
    <row r="238" spans="2:28" ht="13" x14ac:dyDescent="0.3">
      <c r="C238" s="413"/>
      <c r="D238" s="356"/>
      <c r="E238" s="413"/>
      <c r="F238" s="356"/>
      <c r="G238" s="413"/>
      <c r="H238" s="356"/>
      <c r="I238" s="413"/>
      <c r="J238" s="356"/>
      <c r="K238" s="413"/>
      <c r="L238" s="356"/>
      <c r="M238" s="413"/>
      <c r="N238" s="356"/>
      <c r="O238" s="413"/>
      <c r="P238" s="356"/>
      <c r="Q238" s="413"/>
      <c r="R238" s="356"/>
      <c r="S238" s="413"/>
      <c r="T238" s="356"/>
      <c r="U238" s="413"/>
      <c r="V238" s="356"/>
      <c r="W238" s="413"/>
      <c r="X238" s="356"/>
      <c r="Y238" s="413"/>
      <c r="Z238" s="356"/>
      <c r="AA238" s="413"/>
      <c r="AB238" s="34"/>
    </row>
    <row r="239" spans="2:28" x14ac:dyDescent="0.25">
      <c r="D239" s="315"/>
      <c r="F239" s="315"/>
      <c r="H239" s="315"/>
      <c r="J239" s="315"/>
      <c r="L239" s="315"/>
      <c r="N239" s="315"/>
      <c r="P239" s="315"/>
      <c r="R239" s="315"/>
      <c r="T239" s="315"/>
      <c r="V239" s="315"/>
      <c r="X239" s="315"/>
      <c r="Z239" s="315"/>
      <c r="AB239" s="220"/>
    </row>
    <row r="240" spans="2:28" x14ac:dyDescent="0.25">
      <c r="D240" s="315"/>
      <c r="F240" s="315"/>
      <c r="H240" s="315"/>
      <c r="J240" s="315"/>
      <c r="L240" s="315"/>
      <c r="N240" s="315"/>
      <c r="P240" s="315"/>
      <c r="R240" s="315"/>
      <c r="T240" s="315"/>
      <c r="V240" s="315"/>
      <c r="X240" s="315"/>
      <c r="Z240" s="315"/>
      <c r="AB240" s="220"/>
    </row>
    <row r="241" spans="3:28" x14ac:dyDescent="0.25">
      <c r="D241" s="315"/>
      <c r="F241" s="315"/>
      <c r="H241" s="315"/>
      <c r="J241" s="315"/>
      <c r="L241" s="315"/>
      <c r="N241" s="315"/>
      <c r="P241" s="315"/>
      <c r="R241" s="315"/>
      <c r="T241" s="315"/>
      <c r="V241" s="315"/>
      <c r="X241" s="315"/>
      <c r="Z241" s="315"/>
      <c r="AB241" s="220"/>
    </row>
    <row r="242" spans="3:28" ht="13" x14ac:dyDescent="0.3">
      <c r="C242" s="394"/>
      <c r="D242" s="395"/>
      <c r="E242" s="394"/>
      <c r="F242" s="395"/>
      <c r="G242" s="394"/>
      <c r="H242" s="395"/>
      <c r="I242" s="394"/>
      <c r="J242" s="395"/>
      <c r="K242" s="394"/>
      <c r="L242" s="395"/>
      <c r="M242" s="394"/>
      <c r="N242" s="395"/>
      <c r="O242" s="394"/>
      <c r="P242" s="395"/>
      <c r="Q242" s="394"/>
      <c r="R242" s="395"/>
      <c r="S242" s="394"/>
      <c r="T242" s="395"/>
      <c r="U242" s="394"/>
      <c r="V242" s="395"/>
      <c r="W242" s="394"/>
      <c r="X242" s="395"/>
      <c r="Y242" s="394"/>
      <c r="Z242" s="395"/>
      <c r="AA242" s="394"/>
      <c r="AB242" s="23"/>
    </row>
    <row r="244" spans="3:28" x14ac:dyDescent="0.25">
      <c r="D244" s="315"/>
      <c r="F244" s="315"/>
      <c r="H244" s="315"/>
      <c r="J244" s="315"/>
      <c r="L244" s="315"/>
      <c r="N244" s="315"/>
      <c r="P244" s="315"/>
      <c r="R244" s="315"/>
      <c r="T244" s="315"/>
      <c r="V244" s="315"/>
      <c r="X244" s="315"/>
      <c r="Z244" s="315"/>
      <c r="AB244" s="220"/>
    </row>
    <row r="245" spans="3:28" x14ac:dyDescent="0.25">
      <c r="D245" s="315"/>
      <c r="F245" s="315"/>
      <c r="H245" s="315"/>
      <c r="J245" s="315"/>
      <c r="L245" s="315"/>
      <c r="N245" s="315"/>
      <c r="P245" s="315"/>
      <c r="R245" s="315"/>
      <c r="T245" s="315"/>
      <c r="V245" s="315"/>
      <c r="X245" s="315"/>
      <c r="Z245" s="315"/>
      <c r="AB245" s="220"/>
    </row>
    <row r="246" spans="3:28" x14ac:dyDescent="0.25">
      <c r="D246" s="315"/>
      <c r="F246" s="315"/>
      <c r="H246" s="315"/>
      <c r="J246" s="315"/>
      <c r="L246" s="315"/>
      <c r="N246" s="315"/>
      <c r="P246" s="315"/>
      <c r="R246" s="315"/>
      <c r="T246" s="315"/>
      <c r="V246" s="315"/>
      <c r="X246" s="315"/>
      <c r="Z246" s="315"/>
      <c r="AB246" s="220"/>
    </row>
    <row r="247" spans="3:28" ht="13" x14ac:dyDescent="0.3">
      <c r="C247" s="394"/>
      <c r="D247" s="395"/>
      <c r="E247" s="394"/>
      <c r="F247" s="395"/>
      <c r="G247" s="394"/>
      <c r="H247" s="395"/>
      <c r="I247" s="394"/>
      <c r="J247" s="395"/>
      <c r="K247" s="394"/>
      <c r="L247" s="395"/>
      <c r="M247" s="394"/>
      <c r="N247" s="395"/>
      <c r="O247" s="394"/>
      <c r="P247" s="395"/>
      <c r="Q247" s="394"/>
      <c r="R247" s="395"/>
      <c r="S247" s="394"/>
      <c r="T247" s="395"/>
      <c r="U247" s="394"/>
      <c r="V247" s="395"/>
      <c r="W247" s="394"/>
      <c r="X247" s="395"/>
      <c r="Y247" s="394"/>
      <c r="Z247" s="395"/>
      <c r="AA247" s="394"/>
      <c r="AB247" s="23"/>
    </row>
    <row r="250" spans="3:28" x14ac:dyDescent="0.25">
      <c r="D250" s="315"/>
      <c r="F250" s="315"/>
      <c r="H250" s="315"/>
      <c r="J250" s="315"/>
      <c r="L250" s="315"/>
      <c r="N250" s="315"/>
      <c r="P250" s="315"/>
      <c r="R250" s="315"/>
      <c r="T250" s="315"/>
      <c r="V250" s="315"/>
      <c r="X250" s="315"/>
      <c r="Z250" s="315"/>
      <c r="AB250" s="220"/>
    </row>
    <row r="251" spans="3:28" x14ac:dyDescent="0.25">
      <c r="D251" s="315"/>
      <c r="F251" s="315"/>
      <c r="H251" s="315"/>
      <c r="J251" s="315"/>
      <c r="L251" s="315"/>
      <c r="N251" s="315"/>
      <c r="P251" s="315"/>
      <c r="R251" s="315"/>
      <c r="T251" s="315"/>
      <c r="V251" s="315"/>
      <c r="X251" s="315"/>
      <c r="Z251" s="315"/>
      <c r="AB251" s="220"/>
    </row>
    <row r="252" spans="3:28" x14ac:dyDescent="0.25">
      <c r="D252" s="315"/>
      <c r="F252" s="315"/>
      <c r="H252" s="315"/>
      <c r="J252" s="315"/>
      <c r="L252" s="315"/>
      <c r="N252" s="315"/>
      <c r="P252" s="315"/>
      <c r="R252" s="315"/>
      <c r="T252" s="315"/>
      <c r="V252" s="315"/>
      <c r="X252" s="315"/>
      <c r="Z252" s="315"/>
      <c r="AB252" s="220"/>
    </row>
  </sheetData>
  <pageMargins left="0.7" right="0.7" top="0.75" bottom="0.75" header="0.3" footer="0.3"/>
  <pageSetup scale="85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imestre">
    <tabColor rgb="FF00B0F0"/>
  </sheetPr>
  <dimension ref="A1:BE310"/>
  <sheetViews>
    <sheetView showGridLines="0" topLeftCell="A226" zoomScaleNormal="100" workbookViewId="0">
      <selection activeCell="AD247" sqref="AD247"/>
    </sheetView>
  </sheetViews>
  <sheetFormatPr baseColWidth="10" defaultColWidth="10.90625" defaultRowHeight="12.5" x14ac:dyDescent="0.25"/>
  <cols>
    <col min="1" max="1" width="6.36328125" style="315" customWidth="1"/>
    <col min="2" max="2" width="25.1796875" style="315" customWidth="1"/>
    <col min="3" max="3" width="8.26953125" style="315" customWidth="1"/>
    <col min="4" max="5" width="9.1796875" style="315" customWidth="1"/>
    <col min="6" max="6" width="7.453125" style="315" customWidth="1"/>
    <col min="7" max="7" width="8.54296875" style="315" customWidth="1"/>
    <col min="8" max="8" width="9.453125" style="315" customWidth="1"/>
    <col min="9" max="9" width="9.26953125" style="315" customWidth="1"/>
    <col min="10" max="10" width="11.453125" style="315" customWidth="1"/>
    <col min="11" max="11" width="8.1796875" style="315" customWidth="1"/>
    <col min="12" max="12" width="10.26953125" style="315" customWidth="1"/>
    <col min="13" max="13" width="10.90625" style="315" customWidth="1"/>
    <col min="14" max="14" width="22.26953125" style="1" customWidth="1"/>
    <col min="15" max="15" width="8.7265625" style="1" customWidth="1"/>
    <col min="16" max="16" width="7.81640625" style="1" customWidth="1"/>
    <col min="17" max="17" width="8.7265625" style="22" customWidth="1"/>
    <col min="18" max="18" width="7.81640625" style="1" customWidth="1"/>
    <col min="19" max="19" width="8.7265625" style="1" customWidth="1"/>
    <col min="20" max="20" width="7.81640625" style="1" customWidth="1"/>
    <col min="21" max="21" width="8.7265625" style="1" customWidth="1"/>
    <col min="22" max="22" width="7.81640625" style="1" customWidth="1"/>
    <col min="23" max="23" width="8.7265625" style="1" customWidth="1"/>
    <col min="24" max="24" width="9.1796875" style="1" customWidth="1"/>
    <col min="25" max="25" width="8.7265625" style="1" customWidth="1"/>
    <col min="26" max="26" width="7.81640625" style="1" customWidth="1"/>
    <col min="27" max="27" width="8.7265625" style="22" customWidth="1"/>
    <col min="28" max="28" width="7.81640625" style="1" customWidth="1"/>
    <col min="29" max="29" width="10.90625" style="315"/>
    <col min="30" max="30" width="25.1796875" style="315" customWidth="1"/>
    <col min="31" max="31" width="8.26953125" style="315" customWidth="1"/>
    <col min="32" max="32" width="9.1796875" style="315" bestFit="1" customWidth="1"/>
    <col min="33" max="33" width="9.1796875" style="315" customWidth="1"/>
    <col min="34" max="34" width="7.453125" style="315" customWidth="1"/>
    <col min="35" max="35" width="8.54296875" style="315" customWidth="1"/>
    <col min="36" max="36" width="9.453125" style="315" customWidth="1"/>
    <col min="37" max="37" width="9.26953125" style="315" customWidth="1"/>
    <col min="38" max="38" width="11.453125" style="315" customWidth="1"/>
    <col min="39" max="39" width="8.1796875" style="315" bestFit="1" customWidth="1"/>
    <col min="40" max="40" width="10.26953125" style="315" customWidth="1"/>
    <col min="41" max="41" width="10.90625" style="315" customWidth="1"/>
    <col min="42" max="42" width="22.26953125" style="1" customWidth="1"/>
    <col min="43" max="43" width="8.7265625" style="1" customWidth="1"/>
    <col min="44" max="44" width="7.81640625" style="1" customWidth="1"/>
    <col min="45" max="45" width="8.7265625" style="22" customWidth="1"/>
    <col min="46" max="46" width="7.81640625" style="1" customWidth="1"/>
    <col min="47" max="47" width="8.7265625" style="1" customWidth="1"/>
    <col min="48" max="48" width="7.81640625" style="1" customWidth="1"/>
    <col min="49" max="49" width="8.7265625" style="1" customWidth="1"/>
    <col min="50" max="50" width="7.81640625" style="1" customWidth="1"/>
    <col min="51" max="51" width="8.7265625" style="1" customWidth="1"/>
    <col min="52" max="52" width="7.81640625" style="1" customWidth="1"/>
    <col min="53" max="53" width="8.7265625" style="1" customWidth="1"/>
    <col min="54" max="54" width="7.81640625" style="1" customWidth="1"/>
    <col min="55" max="55" width="8.7265625" style="22" customWidth="1"/>
    <col min="56" max="56" width="7.81640625" style="1" customWidth="1"/>
    <col min="57" max="16384" width="10.90625" style="315"/>
  </cols>
  <sheetData>
    <row r="1" spans="1:57" s="319" customFormat="1" x14ac:dyDescent="0.25">
      <c r="D1" s="515"/>
      <c r="N1" s="159"/>
      <c r="O1" s="159"/>
      <c r="P1" s="159"/>
      <c r="Q1" s="160"/>
      <c r="R1" s="159"/>
      <c r="S1" s="159"/>
      <c r="T1" s="159"/>
      <c r="U1" s="159"/>
      <c r="V1" s="159"/>
      <c r="W1" s="159"/>
      <c r="X1" s="159"/>
      <c r="Y1" s="159"/>
      <c r="Z1" s="159"/>
      <c r="AA1" s="160"/>
      <c r="AB1" s="159"/>
      <c r="AP1" s="159"/>
      <c r="AQ1" s="159"/>
      <c r="AR1" s="159"/>
      <c r="AS1" s="160"/>
      <c r="AT1" s="159"/>
      <c r="AU1" s="159"/>
      <c r="AV1" s="159"/>
      <c r="AW1" s="159"/>
      <c r="AX1" s="159"/>
      <c r="AY1" s="159"/>
      <c r="AZ1" s="159"/>
      <c r="BA1" s="159"/>
      <c r="BB1" s="159"/>
      <c r="BC1" s="160"/>
      <c r="BD1" s="159"/>
    </row>
    <row r="2" spans="1:57" s="319" customFormat="1" x14ac:dyDescent="0.25">
      <c r="D2" s="515"/>
      <c r="E2" s="514"/>
      <c r="F2" s="514"/>
      <c r="G2" s="514"/>
      <c r="H2" s="514"/>
      <c r="I2" s="514"/>
      <c r="J2" s="514"/>
      <c r="K2" s="514"/>
      <c r="L2" s="514"/>
      <c r="M2" s="514"/>
      <c r="N2" s="161"/>
      <c r="O2" s="161"/>
      <c r="P2" s="161"/>
      <c r="Q2" s="160"/>
      <c r="R2" s="159"/>
      <c r="S2" s="159"/>
      <c r="T2" s="159"/>
      <c r="U2" s="159"/>
      <c r="V2" s="159"/>
      <c r="W2" s="159"/>
      <c r="X2" s="159"/>
      <c r="Y2" s="159"/>
      <c r="Z2" s="159"/>
      <c r="AA2" s="160"/>
      <c r="AB2" s="159"/>
      <c r="AC2" s="514"/>
      <c r="AE2" s="514"/>
      <c r="AF2" s="514"/>
      <c r="AG2" s="514"/>
      <c r="AH2" s="514"/>
      <c r="AI2" s="514"/>
      <c r="AO2" s="514"/>
      <c r="AP2" s="161"/>
      <c r="AQ2" s="161"/>
      <c r="AR2" s="161"/>
      <c r="AS2" s="160"/>
      <c r="AT2" s="159"/>
      <c r="AU2" s="159"/>
      <c r="AV2" s="159"/>
      <c r="AW2" s="159"/>
      <c r="AX2" s="159"/>
      <c r="AY2" s="159"/>
      <c r="AZ2" s="159"/>
      <c r="BA2" s="159"/>
      <c r="BB2" s="159"/>
      <c r="BC2" s="160"/>
      <c r="BD2" s="159"/>
      <c r="BE2" s="514"/>
    </row>
    <row r="3" spans="1:57" s="319" customFormat="1" x14ac:dyDescent="0.25">
      <c r="N3" s="159"/>
      <c r="O3" s="159"/>
      <c r="P3" s="159"/>
      <c r="Q3" s="160"/>
      <c r="R3" s="159"/>
      <c r="S3" s="159"/>
      <c r="T3" s="159"/>
      <c r="U3" s="159"/>
      <c r="V3" s="159"/>
      <c r="W3" s="159"/>
      <c r="X3" s="159"/>
      <c r="Y3" s="159"/>
      <c r="Z3" s="159"/>
      <c r="AA3" s="160"/>
      <c r="AB3" s="159"/>
      <c r="AP3" s="159"/>
      <c r="AQ3" s="159"/>
      <c r="AR3" s="159"/>
      <c r="AS3" s="160"/>
      <c r="AT3" s="159"/>
      <c r="AU3" s="159"/>
      <c r="AV3" s="159"/>
      <c r="AW3" s="159"/>
      <c r="AX3" s="159"/>
      <c r="AY3" s="159"/>
      <c r="AZ3" s="159"/>
      <c r="BA3" s="159"/>
      <c r="BB3" s="159"/>
      <c r="BC3" s="160"/>
      <c r="BD3" s="159"/>
    </row>
    <row r="4" spans="1:57" ht="13" x14ac:dyDescent="0.3">
      <c r="O4" s="735"/>
      <c r="P4" s="737"/>
      <c r="Q4" s="737"/>
      <c r="R4" s="737"/>
      <c r="S4" s="737"/>
      <c r="T4" s="737"/>
      <c r="U4" s="737"/>
      <c r="V4" s="737"/>
      <c r="W4" s="737"/>
      <c r="X4" s="737"/>
      <c r="Y4" s="737"/>
      <c r="Z4" s="737"/>
      <c r="AA4" s="737"/>
      <c r="AB4" s="737"/>
      <c r="AQ4" s="735"/>
      <c r="AR4" s="737"/>
      <c r="AS4" s="737"/>
      <c r="AT4" s="737"/>
      <c r="AU4" s="737"/>
      <c r="AV4" s="737"/>
      <c r="AW4" s="737"/>
      <c r="AX4" s="737"/>
      <c r="AY4" s="737"/>
      <c r="AZ4" s="737"/>
      <c r="BA4" s="737"/>
      <c r="BB4" s="737"/>
      <c r="BC4" s="737"/>
      <c r="BD4" s="737"/>
    </row>
    <row r="5" spans="1:57" ht="13" x14ac:dyDescent="0.3">
      <c r="A5" s="317"/>
      <c r="C5" s="751" t="s">
        <v>18</v>
      </c>
      <c r="D5" s="751"/>
      <c r="E5" s="751"/>
      <c r="F5" s="751"/>
      <c r="G5" s="751"/>
      <c r="H5" s="751"/>
      <c r="I5" s="751"/>
      <c r="J5" s="751"/>
      <c r="K5" s="751"/>
      <c r="L5" s="751"/>
      <c r="O5" s="735" t="s">
        <v>18</v>
      </c>
      <c r="P5" s="737"/>
      <c r="Q5" s="737"/>
      <c r="R5" s="737"/>
      <c r="S5" s="737"/>
      <c r="T5" s="737"/>
      <c r="U5" s="737"/>
      <c r="V5" s="737"/>
      <c r="W5" s="737"/>
      <c r="X5" s="737"/>
      <c r="Y5" s="737"/>
      <c r="Z5" s="737"/>
      <c r="AA5" s="737"/>
      <c r="AB5" s="737"/>
      <c r="AE5" s="751" t="s">
        <v>18</v>
      </c>
      <c r="AF5" s="751"/>
      <c r="AG5" s="751"/>
      <c r="AH5" s="751"/>
      <c r="AI5" s="751"/>
      <c r="AJ5" s="751"/>
      <c r="AK5" s="751"/>
      <c r="AL5" s="751"/>
      <c r="AM5" s="751"/>
      <c r="AN5" s="751"/>
      <c r="AQ5" s="735" t="s">
        <v>18</v>
      </c>
      <c r="AR5" s="737"/>
      <c r="AS5" s="737"/>
      <c r="AT5" s="737"/>
      <c r="AU5" s="737"/>
      <c r="AV5" s="737"/>
      <c r="AW5" s="737"/>
      <c r="AX5" s="737"/>
      <c r="AY5" s="737"/>
      <c r="AZ5" s="737"/>
      <c r="BA5" s="737"/>
      <c r="BB5" s="737"/>
      <c r="BC5" s="737"/>
      <c r="BD5" s="737"/>
    </row>
    <row r="6" spans="1:57" ht="13" x14ac:dyDescent="0.3">
      <c r="A6" s="317"/>
      <c r="C6" s="751" t="str">
        <f>+ROUNDUP(MONTH(MES_CIERRE)/3,0)&amp;IF(MONTH(MES_CIERRE)/3=4,"to",IF(MONTH(MES_CIERRE)/3=2,"do",IF(OR(MONTH(MES_CIERRE)/3=1,MONTH(MES_CIERRE)/3=3),"er","")))&amp;" Quarter "&amp;YEAR(MES_CIERRE)</f>
        <v>2do Quarter 2019</v>
      </c>
      <c r="D6" s="751"/>
      <c r="E6" s="751"/>
      <c r="F6" s="751"/>
      <c r="G6" s="751"/>
      <c r="H6" s="751"/>
      <c r="I6" s="751"/>
      <c r="J6" s="751"/>
      <c r="K6" s="751"/>
      <c r="L6" s="751"/>
      <c r="O6" s="738" t="str">
        <f>C6</f>
        <v>2do Quarter 2019</v>
      </c>
      <c r="P6" s="734"/>
      <c r="Q6" s="734"/>
      <c r="R6" s="734"/>
      <c r="S6" s="734"/>
      <c r="T6" s="734"/>
      <c r="U6" s="734"/>
      <c r="V6" s="734"/>
      <c r="W6" s="734"/>
      <c r="X6" s="734"/>
      <c r="Y6" s="734"/>
      <c r="Z6" s="734"/>
      <c r="AA6" s="734"/>
      <c r="AB6" s="734"/>
      <c r="AE6" s="751" t="str">
        <f>+ROUNDUP(MONTH(EDATE(MES_CIERRE,3))/3,0)&amp;IF(MONTH(EDATE(MES_CIERRE,3))/3=4,"to",IF(MONTH(EDATE(MES_CIERRE,3))/3=2,"do",IF(OR(MONTH(EDATE(MES_CIERRE,3))/3=1,MONTH(EDATE(MES_CIERRE,3))/3=3),"er","")))&amp;" Quarter Project "&amp;YEAR(EDATE(MES_CIERRE,3))</f>
        <v>3er Quarter Project 2019</v>
      </c>
      <c r="AF6" s="751"/>
      <c r="AG6" s="751"/>
      <c r="AH6" s="751"/>
      <c r="AI6" s="751"/>
      <c r="AJ6" s="751"/>
      <c r="AK6" s="751"/>
      <c r="AL6" s="751"/>
      <c r="AM6" s="751"/>
      <c r="AN6" s="751"/>
      <c r="AQ6" s="738" t="str">
        <f>AE6</f>
        <v>3er Quarter Project 2019</v>
      </c>
      <c r="AR6" s="734"/>
      <c r="AS6" s="734"/>
      <c r="AT6" s="734"/>
      <c r="AU6" s="734"/>
      <c r="AV6" s="734"/>
      <c r="AW6" s="734"/>
      <c r="AX6" s="734"/>
      <c r="AY6" s="734"/>
      <c r="AZ6" s="734"/>
      <c r="BA6" s="734"/>
      <c r="BB6" s="734"/>
      <c r="BC6" s="734"/>
      <c r="BD6" s="734"/>
    </row>
    <row r="7" spans="1:57" ht="13" x14ac:dyDescent="0.3">
      <c r="A7" s="317"/>
      <c r="B7" s="281" t="s">
        <v>37</v>
      </c>
      <c r="C7" s="319"/>
      <c r="D7" s="320"/>
      <c r="E7" s="319"/>
      <c r="F7" s="320"/>
      <c r="G7" s="319"/>
      <c r="H7" s="320"/>
      <c r="I7" s="319"/>
      <c r="J7" s="320"/>
      <c r="K7" s="319"/>
      <c r="L7" s="320"/>
      <c r="N7" s="35"/>
      <c r="AB7" s="31"/>
      <c r="AD7" s="281" t="str">
        <f>+B7</f>
        <v>División Alimentos EU</v>
      </c>
      <c r="AE7" s="319"/>
      <c r="AF7" s="320"/>
      <c r="AG7" s="319"/>
      <c r="AH7" s="320"/>
      <c r="AI7" s="319"/>
      <c r="AJ7" s="320"/>
      <c r="AK7" s="319"/>
      <c r="AL7" s="320"/>
      <c r="AM7" s="319"/>
      <c r="AN7" s="320"/>
      <c r="AP7" s="35"/>
      <c r="BD7" s="31"/>
    </row>
    <row r="8" spans="1:57" ht="13" x14ac:dyDescent="0.3">
      <c r="A8" s="317"/>
      <c r="B8" s="318" t="s">
        <v>430</v>
      </c>
      <c r="C8" s="319"/>
      <c r="D8" s="320"/>
      <c r="E8" s="319"/>
      <c r="F8" s="320"/>
      <c r="G8" s="319"/>
      <c r="H8" s="320"/>
      <c r="I8" s="319"/>
      <c r="J8" s="320"/>
      <c r="K8" s="319"/>
      <c r="L8" s="320"/>
      <c r="AD8" s="318" t="s">
        <v>431</v>
      </c>
      <c r="AE8" s="319"/>
      <c r="AF8" s="320"/>
      <c r="AG8" s="319"/>
      <c r="AH8" s="320"/>
      <c r="AI8" s="319"/>
      <c r="AJ8" s="320"/>
      <c r="AK8" s="319"/>
      <c r="AL8" s="320"/>
      <c r="AM8" s="319"/>
      <c r="AN8" s="320"/>
    </row>
    <row r="9" spans="1:57" ht="13" x14ac:dyDescent="0.3">
      <c r="A9" s="317"/>
      <c r="B9" s="319"/>
      <c r="C9" s="390" t="s">
        <v>0</v>
      </c>
      <c r="D9" s="321"/>
      <c r="E9" s="390" t="s">
        <v>4</v>
      </c>
      <c r="F9" s="321"/>
      <c r="G9" s="390" t="s">
        <v>9</v>
      </c>
      <c r="H9" s="321"/>
      <c r="I9" s="390" t="s">
        <v>6</v>
      </c>
      <c r="J9" s="321"/>
      <c r="K9" s="390" t="s">
        <v>7</v>
      </c>
      <c r="L9" s="320"/>
      <c r="O9" s="357" t="s">
        <v>121</v>
      </c>
      <c r="P9" s="88"/>
      <c r="Q9" s="357" t="s">
        <v>120</v>
      </c>
      <c r="R9" s="88"/>
      <c r="S9" s="88" t="s">
        <v>119</v>
      </c>
      <c r="T9" s="88"/>
      <c r="U9" s="88" t="s">
        <v>432</v>
      </c>
      <c r="V9" s="88"/>
      <c r="W9" s="88" t="s">
        <v>433</v>
      </c>
      <c r="X9" s="88"/>
      <c r="Y9" s="88" t="s">
        <v>434</v>
      </c>
      <c r="Z9" s="88"/>
      <c r="AA9" s="357" t="s">
        <v>435</v>
      </c>
      <c r="AB9" s="38"/>
      <c r="AD9" s="319"/>
      <c r="AE9" s="390" t="s">
        <v>498</v>
      </c>
      <c r="AF9" s="321"/>
      <c r="AG9" s="390" t="s">
        <v>4</v>
      </c>
      <c r="AH9" s="321"/>
      <c r="AI9" s="390" t="s">
        <v>9</v>
      </c>
      <c r="AJ9" s="321"/>
      <c r="AK9" s="390" t="s">
        <v>6</v>
      </c>
      <c r="AL9" s="321"/>
      <c r="AM9" s="390" t="s">
        <v>7</v>
      </c>
      <c r="AN9" s="320"/>
      <c r="AQ9" s="357" t="s">
        <v>121</v>
      </c>
      <c r="AR9" s="88"/>
      <c r="AS9" s="357" t="s">
        <v>120</v>
      </c>
      <c r="AT9" s="88"/>
      <c r="AU9" s="88" t="s">
        <v>119</v>
      </c>
      <c r="AV9" s="88"/>
      <c r="AW9" s="88" t="s">
        <v>432</v>
      </c>
      <c r="AX9" s="88"/>
      <c r="AY9" s="88" t="s">
        <v>433</v>
      </c>
      <c r="AZ9" s="88"/>
      <c r="BA9" s="88" t="s">
        <v>434</v>
      </c>
      <c r="BB9" s="88"/>
      <c r="BC9" s="357" t="s">
        <v>435</v>
      </c>
      <c r="BD9" s="38"/>
    </row>
    <row r="10" spans="1:57" x14ac:dyDescent="0.25">
      <c r="A10" s="317"/>
      <c r="B10" s="322" t="s">
        <v>38</v>
      </c>
      <c r="C10" s="323">
        <f ca="1">+C43+C75+C109+C143+C178+C212</f>
        <v>5609.0549999999994</v>
      </c>
      <c r="D10" s="324">
        <f ca="1">IF(C10=0,"N.D.",C10/C10)</f>
        <v>1</v>
      </c>
      <c r="E10" s="323">
        <f ca="1">+E43+E75+E109+E143+E178+E212</f>
        <v>5968.1670000000004</v>
      </c>
      <c r="F10" s="324">
        <f ca="1">IF(E$10=0, 0, E10/$E$10)</f>
        <v>1</v>
      </c>
      <c r="G10" s="323">
        <f ca="1">+G43+G75+G109+G143+G178+G212</f>
        <v>5802.2699999999995</v>
      </c>
      <c r="H10" s="324">
        <f ca="1">IF(G$10=0, 0, G10/$G$10)</f>
        <v>1</v>
      </c>
      <c r="I10" s="325">
        <f ca="1">C10-E10</f>
        <v>-359.11200000000099</v>
      </c>
      <c r="J10" s="326">
        <f ca="1">IF(E10=0,"N.D.",C10/E10-1)</f>
        <v>-6.0171238505893232E-2</v>
      </c>
      <c r="K10" s="327">
        <f ca="1">C10-G10</f>
        <v>-193.21500000000015</v>
      </c>
      <c r="L10" s="324">
        <f ca="1">IF(G10=0,"N.D.",C10/G10-1)</f>
        <v>-3.3299898143312912E-2</v>
      </c>
      <c r="N10" s="322" t="s">
        <v>38</v>
      </c>
      <c r="O10" s="3">
        <f ca="1">C43</f>
        <v>862.14</v>
      </c>
      <c r="P10" s="24">
        <f ca="1">IF(O$10=0,"N.D.",O10/O$10)</f>
        <v>1</v>
      </c>
      <c r="Q10" s="3">
        <f ca="1">C75</f>
        <v>896.29300000000012</v>
      </c>
      <c r="R10" s="24">
        <f ca="1">IF(Q$10=0,"N.D.",Q10/Q$10)</f>
        <v>1</v>
      </c>
      <c r="S10" s="3">
        <f ca="1">C109</f>
        <v>1866.0129999999999</v>
      </c>
      <c r="T10" s="24">
        <f ca="1">IF(S$10=0,"N.D.",S10/S$10)</f>
        <v>1</v>
      </c>
      <c r="U10" s="3">
        <f ca="1">C143</f>
        <v>690.65</v>
      </c>
      <c r="V10" s="24">
        <f ca="1">IF(U$10=0,"N.D.",U10/U$10)</f>
        <v>1</v>
      </c>
      <c r="W10" s="3">
        <f ca="1">C178</f>
        <v>926.52700000000004</v>
      </c>
      <c r="X10" s="24">
        <f ca="1">IF(W$10=0,"N.D.",W10/W$10)</f>
        <v>1</v>
      </c>
      <c r="Y10" s="3">
        <f ca="1">C212</f>
        <v>367.43200000000002</v>
      </c>
      <c r="Z10" s="24">
        <f ca="1">IF(Y$10=0,"N.D.",Y10/Y$10)</f>
        <v>1</v>
      </c>
      <c r="AA10" s="3">
        <f ca="1">+O10+Q10+S10+U10+W10+Y10</f>
        <v>5609.0549999999994</v>
      </c>
      <c r="AB10" s="24">
        <f ca="1">IF(AA$10=0,"N.D.",AA10/AA$10)</f>
        <v>1</v>
      </c>
      <c r="AD10" s="322" t="s">
        <v>38</v>
      </c>
      <c r="AE10" s="323">
        <f>+AE43+AE75+AE109+AE143+AE178+AE212</f>
        <v>4771</v>
      </c>
      <c r="AF10" s="324">
        <f>IF(AE10=0,"N.D.",AE10/AE10)</f>
        <v>1</v>
      </c>
      <c r="AG10" s="530">
        <f ca="1">+AG43+AG75+AG109+AG143+AG178+AG212</f>
        <v>4982.1689999999999</v>
      </c>
      <c r="AH10" s="324">
        <f ca="1">IF(AG$10=0, 0, AG10/$AG$10)</f>
        <v>1</v>
      </c>
      <c r="AI10" s="323">
        <f ca="1">+AI43+AI75+AI109+AI143+AI178+AI212</f>
        <v>4858.3745900000004</v>
      </c>
      <c r="AJ10" s="324">
        <f ca="1">IF(AI$10=0, 0, AI10/$G$10)</f>
        <v>0.83732308044954828</v>
      </c>
      <c r="AK10" s="325">
        <f ca="1">AE10-AG10</f>
        <v>-211.16899999999987</v>
      </c>
      <c r="AL10" s="326">
        <f ca="1">IF(AG10=0,"N.D.",AE10/AG10-1)</f>
        <v>-4.2384953220173771E-2</v>
      </c>
      <c r="AM10" s="327">
        <f ca="1">AE10-AI10</f>
        <v>-87.374590000000353</v>
      </c>
      <c r="AN10" s="324">
        <f ca="1">IF(AI10=0,"N.D.",AE10/AI10-1)</f>
        <v>-1.7984325494342035E-2</v>
      </c>
      <c r="AP10" s="322" t="s">
        <v>38</v>
      </c>
      <c r="AQ10" s="3">
        <f>AE43</f>
        <v>0</v>
      </c>
      <c r="AR10" s="24" t="str">
        <f>IF(AQ$10=0,"N.D.",AQ10/AQ$10)</f>
        <v>N.D.</v>
      </c>
      <c r="AS10" s="3">
        <f>AE75</f>
        <v>911</v>
      </c>
      <c r="AT10" s="24">
        <f>IF(AS$10=0,"N.D.",AS10/AS$10)</f>
        <v>1</v>
      </c>
      <c r="AU10" s="3">
        <f>AE109</f>
        <v>1920</v>
      </c>
      <c r="AV10" s="24">
        <f>IF(AU$10=0,"N.D.",AU10/AU$10)</f>
        <v>1</v>
      </c>
      <c r="AW10" s="3">
        <f>AE143</f>
        <v>725</v>
      </c>
      <c r="AX10" s="24">
        <f>IF(AW$10=0,"N.D.",AW10/AW$10)</f>
        <v>1</v>
      </c>
      <c r="AY10" s="3">
        <f>AE178</f>
        <v>908</v>
      </c>
      <c r="AZ10" s="24">
        <f>IF(AY$10=0,"N.D.",AY10/AY$10)</f>
        <v>1</v>
      </c>
      <c r="BA10" s="3">
        <f>AE212</f>
        <v>307</v>
      </c>
      <c r="BB10" s="24">
        <f>IF(BA$10=0,"N.D.",BA10/BA$10)</f>
        <v>1</v>
      </c>
      <c r="BC10" s="3">
        <f>+AQ10+AS10+AU10+AW10+AY10+BA10</f>
        <v>4771</v>
      </c>
      <c r="BD10" s="24">
        <f>IF(BC$10=0,"N.D.",BC10/BC$10)</f>
        <v>1</v>
      </c>
    </row>
    <row r="11" spans="1:57" x14ac:dyDescent="0.25">
      <c r="A11" s="317"/>
      <c r="B11" s="322" t="s">
        <v>39</v>
      </c>
      <c r="C11" s="328">
        <f ca="1">+C44+C76+C110+C144+C179+C213</f>
        <v>1773.8960000000002</v>
      </c>
      <c r="D11" s="329">
        <f ca="1">IF(C10=0,"N.D.",C11/C10)</f>
        <v>0.31625576857420729</v>
      </c>
      <c r="E11" s="328">
        <f ca="1">+E44+E76+E110+E144+E179+E213</f>
        <v>1986.7809999999999</v>
      </c>
      <c r="F11" s="329">
        <f ca="1">IF(E$10=0, 0, E11/$E$10)</f>
        <v>0.33289634824226599</v>
      </c>
      <c r="G11" s="328">
        <f ca="1">+G44+G76+G110+G144+G179+G213</f>
        <v>1918.059</v>
      </c>
      <c r="H11" s="329">
        <f ca="1">IF(G$10=0, 0, G11/$G$10)</f>
        <v>0.33057044915179751</v>
      </c>
      <c r="I11" s="330">
        <f ca="1">C11-E11</f>
        <v>-212.88499999999976</v>
      </c>
      <c r="J11" s="331">
        <f ca="1">IF(E11=0,"N.D.",C11/E11-1)</f>
        <v>-0.10715071263516196</v>
      </c>
      <c r="K11" s="328">
        <f ca="1">C11-G11</f>
        <v>-144.16299999999978</v>
      </c>
      <c r="L11" s="329">
        <f ca="1">IF(G11=0,"N.D.",C11/G11-1)</f>
        <v>-7.5160878784229168E-2</v>
      </c>
      <c r="N11" s="322" t="s">
        <v>39</v>
      </c>
      <c r="O11" s="4">
        <f ca="1">C44</f>
        <v>314.61799999999999</v>
      </c>
      <c r="P11" s="25">
        <f ca="1">IF(O$10=0,"N.D.",O11/O$10)</f>
        <v>0.36492681003085348</v>
      </c>
      <c r="Q11" s="4">
        <f ca="1">C76</f>
        <v>294.20600000000002</v>
      </c>
      <c r="R11" s="25">
        <f ca="1">IF(Q$10=0,"N.D.",Q11/Q$10)</f>
        <v>0.32824757082784312</v>
      </c>
      <c r="S11" s="4">
        <f ca="1">C110</f>
        <v>624.84400000000005</v>
      </c>
      <c r="T11" s="25">
        <f ca="1">IF(S$10=0,"N.D.",S11/S$10)</f>
        <v>0.33485511622909386</v>
      </c>
      <c r="U11" s="4">
        <f ca="1">C144</f>
        <v>237.75</v>
      </c>
      <c r="V11" s="25">
        <f ca="1">IF(U$10=0,"N.D.",U11/U$10)</f>
        <v>0.34424093245493376</v>
      </c>
      <c r="W11" s="4">
        <f ca="1">C179</f>
        <v>302.47800000000001</v>
      </c>
      <c r="X11" s="25">
        <f ca="1">IF(W$10=0,"N.D.",W11/W$10)</f>
        <v>0.3264643124269449</v>
      </c>
      <c r="Y11" s="4">
        <f ca="1">C213</f>
        <v>0</v>
      </c>
      <c r="Z11" s="25">
        <f ca="1">IF(Y$10=0,"N.D.",Y11/Y$10)</f>
        <v>0</v>
      </c>
      <c r="AA11" s="4">
        <f t="shared" ref="AA11:AA25" ca="1" si="0">+O11+Q11+S11+U11+W11+Y11</f>
        <v>1773.8960000000002</v>
      </c>
      <c r="AB11" s="25">
        <f ca="1">IF(AA$10=0,"N.D.",AA11/AA$10)</f>
        <v>0.31625576857420729</v>
      </c>
      <c r="AD11" s="322" t="s">
        <v>39</v>
      </c>
      <c r="AE11" s="328">
        <f ca="1">+AE44+AE76+AE110+AE144+AE179+AE213</f>
        <v>1487.9596318975182</v>
      </c>
      <c r="AF11" s="329">
        <f ca="1">IF(AE10=0,"N.D.",AE11/AE10)</f>
        <v>0.31187583984437606</v>
      </c>
      <c r="AG11" s="328">
        <f ca="1">+AG44+AG76+AG110+AG144+AG179+AG213</f>
        <v>1628.8610000000001</v>
      </c>
      <c r="AH11" s="329">
        <f ca="1">IF(AG$10=0, 0, AG11/$AG$10)</f>
        <v>0.32693812674760736</v>
      </c>
      <c r="AI11" s="328">
        <f ca="1">+AI44+AI76+AI110+AI144+AI179+AI213</f>
        <v>1637.261943</v>
      </c>
      <c r="AJ11" s="329">
        <f ca="1">IF(AI$10=0, 0, AI11/$G$10)</f>
        <v>0.28217610400756948</v>
      </c>
      <c r="AK11" s="330">
        <f ca="1">AE11-AG11</f>
        <v>-140.90136810248191</v>
      </c>
      <c r="AL11" s="331">
        <f ca="1">IF(AG11=0,"N.D.",AE11/AG11-1)</f>
        <v>-8.6503003081590091E-2</v>
      </c>
      <c r="AM11" s="328">
        <f ca="1">AE11-AI11</f>
        <v>-149.30231110248178</v>
      </c>
      <c r="AN11" s="329">
        <f ca="1">IF(AI11=0,"N.D.",AE11/AI11-1)</f>
        <v>-9.1190240963465508E-2</v>
      </c>
      <c r="AP11" s="322" t="s">
        <v>39</v>
      </c>
      <c r="AQ11" s="4">
        <f>AE44</f>
        <v>0</v>
      </c>
      <c r="AR11" s="25" t="str">
        <f>IF(AQ$10=0,"N.D.",AQ11/AQ$10)</f>
        <v>N.D.</v>
      </c>
      <c r="AS11" s="4">
        <f ca="1">AE76</f>
        <v>299.03353702416507</v>
      </c>
      <c r="AT11" s="25">
        <f ca="1">IF(AS$10=0,"N.D.",AS11/AS$10)</f>
        <v>0.32824757082784312</v>
      </c>
      <c r="AU11" s="4">
        <f ca="1">AE110</f>
        <v>642.9218231598602</v>
      </c>
      <c r="AV11" s="25">
        <f ca="1">IF(AU$10=0,"N.D.",AU11/AU$10)</f>
        <v>0.33485511622909386</v>
      </c>
      <c r="AW11" s="4">
        <f ca="1">AE144</f>
        <v>249.57467602982697</v>
      </c>
      <c r="AX11" s="25">
        <f ca="1">IF(AW$10=0,"N.D.",AW11/AW$10)</f>
        <v>0.34424093245493376</v>
      </c>
      <c r="AY11" s="4">
        <f ca="1">AE179</f>
        <v>296.42959568366598</v>
      </c>
      <c r="AZ11" s="25">
        <f ca="1">IF(AY$10=0,"N.D.",AY11/AY$10)</f>
        <v>0.3264643124269449</v>
      </c>
      <c r="BA11" s="4">
        <f>AE213</f>
        <v>0</v>
      </c>
      <c r="BB11" s="25">
        <f>IF(BA$10=0,"N.D.",BA11/BA$10)</f>
        <v>0</v>
      </c>
      <c r="BC11" s="4">
        <f ca="1">+AQ11+AS11+AU11+AW11+AY11+BA11</f>
        <v>1487.9596318975182</v>
      </c>
      <c r="BD11" s="25">
        <f ca="1">IF(BC$10=0,"N.D.",BC11/BC$10)</f>
        <v>0.31187583984437606</v>
      </c>
    </row>
    <row r="12" spans="1:57" ht="13" x14ac:dyDescent="0.3">
      <c r="A12" s="317"/>
      <c r="B12" s="332" t="s">
        <v>40</v>
      </c>
      <c r="C12" s="333">
        <f ca="1">+C10-C11</f>
        <v>3835.1589999999992</v>
      </c>
      <c r="D12" s="334">
        <f ca="1">IF(C10=0,"N.D.",C12/C10)</f>
        <v>0.68374423142579266</v>
      </c>
      <c r="E12" s="333">
        <f ca="1">+E10-E11</f>
        <v>3981.3860000000004</v>
      </c>
      <c r="F12" s="334">
        <f ca="1">IF(E$10=0, 0, E12/$E$10)</f>
        <v>0.66710365175773401</v>
      </c>
      <c r="G12" s="333">
        <f ca="1">+G10-G11</f>
        <v>3884.2109999999993</v>
      </c>
      <c r="H12" s="334">
        <f ca="1">IF(G$10=0, 0, G12/$G$10)</f>
        <v>0.66942955084820244</v>
      </c>
      <c r="I12" s="335">
        <f ca="1">C12-E12</f>
        <v>-146.22700000000123</v>
      </c>
      <c r="J12" s="336">
        <f ca="1">IF(E12=0,"N.D.",C12/E12-1)</f>
        <v>-3.6727662175936038E-2</v>
      </c>
      <c r="K12" s="337">
        <f ca="1">C12-G12</f>
        <v>-49.052000000000135</v>
      </c>
      <c r="L12" s="334">
        <f ca="1">IF(G12=0,"N.D.",C12/G12-1)</f>
        <v>-1.2628562145568289E-2</v>
      </c>
      <c r="N12" s="332" t="s">
        <v>40</v>
      </c>
      <c r="O12" s="5">
        <f ca="1">C45</f>
        <v>547.52199999999993</v>
      </c>
      <c r="P12" s="26">
        <f ca="1">IF(O$10=0,"N.D.",O12/O$10)</f>
        <v>0.63507318996914652</v>
      </c>
      <c r="Q12" s="5">
        <f ca="1">C77</f>
        <v>602.0870000000001</v>
      </c>
      <c r="R12" s="26">
        <f ca="1">IF(Q$10=0,"N.D.",Q12/Q$10)</f>
        <v>0.67175242917215694</v>
      </c>
      <c r="S12" s="5">
        <f ca="1">C111</f>
        <v>1241.1689999999999</v>
      </c>
      <c r="T12" s="26">
        <f ca="1">IF(S$10=0,"N.D.",S12/S$10)</f>
        <v>0.66514488377090619</v>
      </c>
      <c r="U12" s="5">
        <f ca="1">C145</f>
        <v>452.9</v>
      </c>
      <c r="V12" s="26">
        <f ca="1">IF(U$10=0,"N.D.",U12/U$10)</f>
        <v>0.65575906754506619</v>
      </c>
      <c r="W12" s="5">
        <f ca="1">C180</f>
        <v>624.04899999999998</v>
      </c>
      <c r="X12" s="26">
        <f ca="1">IF(W$10=0,"N.D.",W12/W$10)</f>
        <v>0.67353568757305504</v>
      </c>
      <c r="Y12" s="5">
        <f ca="1">C214</f>
        <v>367.43200000000002</v>
      </c>
      <c r="Z12" s="26">
        <f ca="1">IF(Y$10=0,"N.D.",Y12/Y$10)</f>
        <v>1</v>
      </c>
      <c r="AA12" s="5">
        <f t="shared" ca="1" si="0"/>
        <v>3835.1589999999997</v>
      </c>
      <c r="AB12" s="26">
        <f ca="1">IF(AA$10=0,"N.D.",AA12/AA$10)</f>
        <v>0.68374423142579277</v>
      </c>
      <c r="AD12" s="332" t="s">
        <v>40</v>
      </c>
      <c r="AE12" s="333">
        <f ca="1">+AE10-AE11</f>
        <v>3283.0403681024818</v>
      </c>
      <c r="AF12" s="334">
        <f ca="1">IF(AE10=0,"N.D.",AE12/AE10)</f>
        <v>0.68812416015562394</v>
      </c>
      <c r="AG12" s="333">
        <f ca="1">+AG10-AG11</f>
        <v>3353.308</v>
      </c>
      <c r="AH12" s="334">
        <f ca="1">IF(AG$10=0, 0, AG12/$E$10)</f>
        <v>0.56186564484539392</v>
      </c>
      <c r="AI12" s="333">
        <f ca="1">+AI10-AI11</f>
        <v>3221.1126470000004</v>
      </c>
      <c r="AJ12" s="334">
        <f ca="1">IF(AI$10=0, 0, AI12/$G$10)</f>
        <v>0.55514697644197886</v>
      </c>
      <c r="AK12" s="335">
        <f ca="1">AE12-AG12</f>
        <v>-70.267631897518186</v>
      </c>
      <c r="AL12" s="336">
        <f ca="1">IF(AG12=0,"N.D.",AE12/AG12-1)</f>
        <v>-2.0954720502118551E-2</v>
      </c>
      <c r="AM12" s="337">
        <f ca="1">AE12-AI12</f>
        <v>61.927721102481428</v>
      </c>
      <c r="AN12" s="334">
        <f ca="1">IF(AI12=0,"N.D.",AE12/AI12-1)</f>
        <v>1.9225568270689886E-2</v>
      </c>
      <c r="AP12" s="332" t="s">
        <v>40</v>
      </c>
      <c r="AQ12" s="5">
        <f>AE45</f>
        <v>0</v>
      </c>
      <c r="AR12" s="26" t="str">
        <f>IF(AQ$10=0,"N.D.",AQ12/AQ$10)</f>
        <v>N.D.</v>
      </c>
      <c r="AS12" s="5">
        <f ca="1">AE77</f>
        <v>611.96646297583493</v>
      </c>
      <c r="AT12" s="26">
        <f ca="1">IF(AS$10=0,"N.D.",AS12/AS$10)</f>
        <v>0.67175242917215694</v>
      </c>
      <c r="AU12" s="5">
        <f ca="1">AE111</f>
        <v>1277.0781768401398</v>
      </c>
      <c r="AV12" s="26">
        <f ca="1">IF(AU$10=0,"N.D.",AU12/AU$10)</f>
        <v>0.66514488377090619</v>
      </c>
      <c r="AW12" s="5">
        <f ca="1">AE145</f>
        <v>475.42532397017305</v>
      </c>
      <c r="AX12" s="26">
        <f ca="1">IF(AW$10=0,"N.D.",AW12/AW$10)</f>
        <v>0.6557590675450663</v>
      </c>
      <c r="AY12" s="5">
        <f ca="1">AE180</f>
        <v>611.57040431633402</v>
      </c>
      <c r="AZ12" s="26">
        <f ca="1">IF(AY$10=0,"N.D.",AY12/AY$10)</f>
        <v>0.67353568757305504</v>
      </c>
      <c r="BA12" s="5">
        <f>AE214</f>
        <v>307</v>
      </c>
      <c r="BB12" s="26">
        <f>IF(BA$10=0,"N.D.",BA12/BA$10)</f>
        <v>1</v>
      </c>
      <c r="BC12" s="5">
        <f ca="1">+AQ12+AS12+AU12+AW12+AY12+BA12</f>
        <v>3283.0403681024818</v>
      </c>
      <c r="BD12" s="26">
        <f ca="1">IF(BC$10=0,"N.D.",BC12/BC$10)</f>
        <v>0.68812416015562394</v>
      </c>
    </row>
    <row r="13" spans="1:57" x14ac:dyDescent="0.25">
      <c r="A13" s="317"/>
      <c r="B13" s="322"/>
      <c r="C13" s="338"/>
      <c r="D13" s="339"/>
      <c r="E13" s="338"/>
      <c r="F13" s="339"/>
      <c r="G13" s="338"/>
      <c r="H13" s="339"/>
      <c r="I13" s="338"/>
      <c r="J13" s="340"/>
      <c r="K13" s="338"/>
      <c r="L13" s="339"/>
      <c r="N13" s="322"/>
      <c r="O13" s="6"/>
      <c r="P13" s="27"/>
      <c r="Q13" s="6"/>
      <c r="R13" s="27"/>
      <c r="S13" s="6"/>
      <c r="T13" s="27"/>
      <c r="U13" s="6"/>
      <c r="V13" s="27"/>
      <c r="W13" s="6"/>
      <c r="X13" s="27"/>
      <c r="Y13" s="6"/>
      <c r="Z13" s="27"/>
      <c r="AA13" s="6"/>
      <c r="AB13" s="27"/>
      <c r="AD13" s="322"/>
      <c r="AE13" s="338"/>
      <c r="AF13" s="339"/>
      <c r="AG13" s="338"/>
      <c r="AH13" s="339"/>
      <c r="AI13" s="338"/>
      <c r="AJ13" s="339"/>
      <c r="AK13" s="338"/>
      <c r="AL13" s="340"/>
      <c r="AM13" s="338"/>
      <c r="AN13" s="339"/>
      <c r="AP13" s="322"/>
      <c r="AQ13" s="6"/>
      <c r="AR13" s="27"/>
      <c r="AS13" s="6"/>
      <c r="AT13" s="27"/>
      <c r="AU13" s="6"/>
      <c r="AV13" s="27"/>
      <c r="AW13" s="6"/>
      <c r="AX13" s="27"/>
      <c r="AY13" s="6"/>
      <c r="AZ13" s="27"/>
      <c r="BA13" s="6"/>
      <c r="BB13" s="27"/>
      <c r="BC13" s="6"/>
      <c r="BD13" s="27"/>
    </row>
    <row r="14" spans="1:57" x14ac:dyDescent="0.25">
      <c r="A14" s="317"/>
      <c r="B14" s="9" t="s">
        <v>41</v>
      </c>
      <c r="C14" s="327">
        <f ca="1">+C47+C79+C113+C147+C182+C216</f>
        <v>3289.5339999999997</v>
      </c>
      <c r="D14" s="324">
        <f ca="1">IF(C10=0,"N.D.",C14/C10)</f>
        <v>0.58646848711592237</v>
      </c>
      <c r="E14" s="327">
        <f ca="1">+E47+E79+E113+E147+E182+E216</f>
        <v>3458.7359999999999</v>
      </c>
      <c r="F14" s="324">
        <f ca="1">IF(E$10=0, 0, E14/$E$10)</f>
        <v>0.57953070012953722</v>
      </c>
      <c r="G14" s="327">
        <f ca="1">+G47+G79+G113+G147+G182+G216</f>
        <v>3419.0880000000002</v>
      </c>
      <c r="H14" s="324">
        <f ca="1">IF(G$10=0, 0, G14/$G$10)</f>
        <v>0.58926730400343319</v>
      </c>
      <c r="I14" s="325">
        <f ca="1">C14-E14</f>
        <v>-169.20200000000023</v>
      </c>
      <c r="J14" s="326">
        <f ca="1">IF(E14=0,"N.D.",C14/E14-1)</f>
        <v>-4.8920183558386676E-2</v>
      </c>
      <c r="K14" s="327">
        <f ca="1">C14-G14</f>
        <v>-129.55400000000054</v>
      </c>
      <c r="L14" s="324">
        <f ca="1">IF(G14=0,"N.D.",C14/G14-1)</f>
        <v>-3.7891390920619883E-2</v>
      </c>
      <c r="N14" s="9" t="s">
        <v>41</v>
      </c>
      <c r="O14" s="3">
        <f ca="1">C47</f>
        <v>478.57100000000003</v>
      </c>
      <c r="P14" s="24">
        <f ca="1">IF(O$10=0,"N.D.",O14/O$10)</f>
        <v>0.5550966200385089</v>
      </c>
      <c r="Q14" s="3">
        <f ca="1">C79</f>
        <v>571.44399999999996</v>
      </c>
      <c r="R14" s="24">
        <f ca="1">IF(Q$10=0,"N.D.",Q14/Q$10)</f>
        <v>0.63756383236285441</v>
      </c>
      <c r="S14" s="3">
        <f ca="1">C113</f>
        <v>1143.1979999999999</v>
      </c>
      <c r="T14" s="24">
        <f ca="1">IF(S$10=0,"N.D.",S14/S$10)</f>
        <v>0.61264203411230245</v>
      </c>
      <c r="U14" s="3">
        <f ca="1">C147</f>
        <v>470.36099999999999</v>
      </c>
      <c r="V14" s="24">
        <f ca="1">IF(U$10=0,"N.D.",U14/U$10)</f>
        <v>0.68104104828784484</v>
      </c>
      <c r="W14" s="3">
        <f ca="1">C182</f>
        <v>587.52500000000009</v>
      </c>
      <c r="X14" s="24">
        <f ca="1">IF(W$10=0,"N.D.",W14/W$10)</f>
        <v>0.63411535767441218</v>
      </c>
      <c r="Y14" s="3">
        <f ca="1">C216</f>
        <v>38.435000000000002</v>
      </c>
      <c r="Z14" s="24">
        <f ca="1">IF(Y$10=0,"N.D.",Y14/Y$10)</f>
        <v>0.10460438938361384</v>
      </c>
      <c r="AA14" s="3">
        <f t="shared" ca="1" si="0"/>
        <v>3289.5339999999997</v>
      </c>
      <c r="AB14" s="24">
        <f ca="1">IF(AA$10=0,"N.D.",AA14/AA$10)</f>
        <v>0.58646848711592237</v>
      </c>
      <c r="AD14" s="9" t="s">
        <v>41</v>
      </c>
      <c r="AE14" s="327">
        <f ca="1">+AE47+AE79+AE113+AE147+AE182+AE216</f>
        <v>2845.6248615552349</v>
      </c>
      <c r="AF14" s="324">
        <f ca="1">IF(AE10=0,"N.D.",AE14/AE10)</f>
        <v>0.59644201667475061</v>
      </c>
      <c r="AG14" s="327">
        <f ca="1">+AG47+AG79+AG113+AG147+AG182+AG216</f>
        <v>2943.62</v>
      </c>
      <c r="AH14" s="324">
        <f ca="1">IF(AG$10=0, 0, AG14/$AG$10)</f>
        <v>0.59083102158919132</v>
      </c>
      <c r="AI14" s="327">
        <f ca="1">+AI47+AI79+AI113+AI147+AI182+AI216</f>
        <v>2816.12736</v>
      </c>
      <c r="AJ14" s="324">
        <f ca="1">IF(AI$10=0, 0, AI14/$G$10)</f>
        <v>0.48534924434747095</v>
      </c>
      <c r="AK14" s="325">
        <f ca="1">AE14-AG14</f>
        <v>-97.995138444764962</v>
      </c>
      <c r="AL14" s="326">
        <f ca="1">IF(AG14=0,"N.D.",AE14/AG14-1)</f>
        <v>-3.3290689166660448E-2</v>
      </c>
      <c r="AM14" s="327">
        <f ca="1">AE14-AI14</f>
        <v>29.497501555234976</v>
      </c>
      <c r="AN14" s="324">
        <f ca="1">IF(AI14=0,"N.D.",AE14/AI14-1)</f>
        <v>1.0474491308246403E-2</v>
      </c>
      <c r="AP14" s="9" t="s">
        <v>41</v>
      </c>
      <c r="AQ14" s="3">
        <f>AE47</f>
        <v>0</v>
      </c>
      <c r="AR14" s="24" t="str">
        <f>IF(AQ$10=0,"N.D.",AQ14/AQ$10)</f>
        <v>N.D.</v>
      </c>
      <c r="AS14" s="3">
        <f ca="1">AE79</f>
        <v>580.82065128256033</v>
      </c>
      <c r="AT14" s="24">
        <f ca="1">IF(AS$10=0,"N.D.",AS14/AS$10)</f>
        <v>0.63756383236285441</v>
      </c>
      <c r="AU14" s="3">
        <f ca="1">AE113</f>
        <v>1176.2727054956208</v>
      </c>
      <c r="AV14" s="24">
        <f ca="1">IF(AU$10=0,"N.D.",AU14/AU$10)</f>
        <v>0.61264203411230256</v>
      </c>
      <c r="AW14" s="3">
        <f ca="1">AE147</f>
        <v>493.75476000868753</v>
      </c>
      <c r="AX14" s="24">
        <f ca="1">IF(AW$10=0,"N.D.",AW14/AW$10)</f>
        <v>0.68104104828784484</v>
      </c>
      <c r="AY14" s="3">
        <f ca="1">AE182</f>
        <v>575.77674476836626</v>
      </c>
      <c r="AZ14" s="24">
        <f ca="1">IF(AY$10=0,"N.D.",AY14/AY$10)</f>
        <v>0.63411535767441218</v>
      </c>
      <c r="BA14" s="3">
        <f>AE216</f>
        <v>19</v>
      </c>
      <c r="BB14" s="24">
        <f>IF(BA$10=0,"N.D.",BA14/BA$10)</f>
        <v>6.1889250814332247E-2</v>
      </c>
      <c r="BC14" s="3">
        <f ca="1">+AQ14+AS14+AU14+AW14+AY14+BA14</f>
        <v>2845.6248615552349</v>
      </c>
      <c r="BD14" s="24">
        <f ca="1">IF(BC$10=0,"N.D.",BC14/BC$10)</f>
        <v>0.59644201667475061</v>
      </c>
    </row>
    <row r="15" spans="1:57" x14ac:dyDescent="0.25">
      <c r="A15" s="317"/>
      <c r="B15" s="9" t="s">
        <v>42</v>
      </c>
      <c r="C15" s="328">
        <f ca="1">+C48+C80+C114+C148+C183+C217</f>
        <v>268.97699999999998</v>
      </c>
      <c r="D15" s="341">
        <f ca="1">IF(C10=0,"N.D.",C15/C10)</f>
        <v>4.7954067128954878E-2</v>
      </c>
      <c r="E15" s="328">
        <f ca="1">+E48+E80+E114+E148+E183+E217</f>
        <v>336.87699999999995</v>
      </c>
      <c r="F15" s="341">
        <f ca="1">IF(E$10=0, 0, E15/$E$10)</f>
        <v>5.6445639004404524E-2</v>
      </c>
      <c r="G15" s="328">
        <f ca="1">+G48+G80+G114+G148+G183+G217</f>
        <v>325.66699999999992</v>
      </c>
      <c r="H15" s="341">
        <f ca="1">IF(G$10=0, 0, G15/$G$10)</f>
        <v>5.6127515610269761E-2</v>
      </c>
      <c r="I15" s="330">
        <f ca="1">C15-E15</f>
        <v>-67.899999999999977</v>
      </c>
      <c r="J15" s="331">
        <f ca="1">IF(E15=0,"N.D.",C15/E15-1)</f>
        <v>-0.20155724492915805</v>
      </c>
      <c r="K15" s="328">
        <f ca="1">C15-G15</f>
        <v>-56.689999999999941</v>
      </c>
      <c r="L15" s="341">
        <f ca="1">IF(G15=0,"N.D.",C15/G15-1)</f>
        <v>-0.17407351681318639</v>
      </c>
      <c r="N15" s="9" t="s">
        <v>42</v>
      </c>
      <c r="O15" s="4">
        <f ca="1">C48</f>
        <v>102.21299999999999</v>
      </c>
      <c r="P15" s="25">
        <f ca="1">IF(O$10=0,"N.D.",O15/O$10)</f>
        <v>0.11855731087758369</v>
      </c>
      <c r="Q15" s="4">
        <f ca="1">C80</f>
        <v>31.631999999999998</v>
      </c>
      <c r="R15" s="25">
        <f ca="1">IF(Q$10=0,"N.D.",Q15/Q$10)</f>
        <v>3.5292030619451444E-2</v>
      </c>
      <c r="S15" s="4">
        <f ca="1">C114</f>
        <v>41.864999999999995</v>
      </c>
      <c r="T15" s="25">
        <f ca="1">IF(S$10=0,"N.D.",S15/S$10)</f>
        <v>2.243553501502937E-2</v>
      </c>
      <c r="U15" s="4">
        <f ca="1">C148</f>
        <v>42.161000000000001</v>
      </c>
      <c r="V15" s="25">
        <f ca="1">IF(U$10=0,"N.D.",U15/U$10)</f>
        <v>6.104539202200826E-2</v>
      </c>
      <c r="W15" s="4">
        <f ca="1">C183</f>
        <v>51.051000000000002</v>
      </c>
      <c r="X15" s="25">
        <f ca="1">IF(W$10=0,"N.D.",W15/W$10)</f>
        <v>5.5099311730796838E-2</v>
      </c>
      <c r="Y15" s="4">
        <f ca="1">C217</f>
        <v>5.5E-2</v>
      </c>
      <c r="Z15" s="25">
        <f ca="1">IF(Y$10=0,"N.D.",Y15/Y$10)</f>
        <v>1.496875612358205E-4</v>
      </c>
      <c r="AA15" s="4">
        <f t="shared" ca="1" si="0"/>
        <v>268.97699999999998</v>
      </c>
      <c r="AB15" s="25">
        <f ca="1">IF(AA$10=0,"N.D.",AA15/AA$10)</f>
        <v>4.7954067128954878E-2</v>
      </c>
      <c r="AD15" s="9" t="s">
        <v>42</v>
      </c>
      <c r="AE15" s="328">
        <f>+AE48+AE80+AE114+AE148+AE183+AE217</f>
        <v>226</v>
      </c>
      <c r="AF15" s="341">
        <f>IF(AE10=0,"N.D.",AE15/AE10)</f>
        <v>4.7369524208761268E-2</v>
      </c>
      <c r="AG15" s="328">
        <f ca="1">+AG48+AG80+AG114+AG148+AG183+AG217</f>
        <v>197.55600000000001</v>
      </c>
      <c r="AH15" s="341">
        <f ca="1">IF(AG$10=0, 0, AG15/$AG$10)</f>
        <v>3.9652609134696155E-2</v>
      </c>
      <c r="AI15" s="328">
        <f ca="1">+AI48+AI80+AI114+AI148+AI183+AI217</f>
        <v>210.25404</v>
      </c>
      <c r="AJ15" s="341">
        <f ca="1">IF(AI$10=0, 0, AI15/$G$10)</f>
        <v>3.6236514329736472E-2</v>
      </c>
      <c r="AK15" s="330">
        <f ca="1">AE15-AG15</f>
        <v>28.443999999999988</v>
      </c>
      <c r="AL15" s="331">
        <f ca="1">IF(AG15=0,"N.D.",AE15/AG15-1)</f>
        <v>0.14397942861770829</v>
      </c>
      <c r="AM15" s="328">
        <f ca="1">AE15-AI15</f>
        <v>15.745959999999997</v>
      </c>
      <c r="AN15" s="341">
        <f ca="1">IF(AI15=0,"N.D.",AE15/AI15-1)</f>
        <v>7.4890166200849206E-2</v>
      </c>
      <c r="AP15" s="9" t="s">
        <v>42</v>
      </c>
      <c r="AQ15" s="4">
        <f>AE48</f>
        <v>0</v>
      </c>
      <c r="AR15" s="25" t="str">
        <f>IF(AQ$10=0,"N.D.",AQ15/AQ$10)</f>
        <v>N.D.</v>
      </c>
      <c r="AS15" s="4">
        <f>AE80</f>
        <v>43</v>
      </c>
      <c r="AT15" s="25">
        <f>IF(AS$10=0,"N.D.",AS15/AS$10)</f>
        <v>4.7200878155872671E-2</v>
      </c>
      <c r="AU15" s="4">
        <f>AE114</f>
        <v>62</v>
      </c>
      <c r="AV15" s="25">
        <f>IF(AU$10=0,"N.D.",AU15/AU$10)</f>
        <v>3.229166666666667E-2</v>
      </c>
      <c r="AW15" s="4">
        <f>AE148</f>
        <v>54</v>
      </c>
      <c r="AX15" s="25">
        <f>IF(AW$10=0,"N.D.",AW15/AW$10)</f>
        <v>7.4482758620689649E-2</v>
      </c>
      <c r="AY15" s="4">
        <f>AE183</f>
        <v>54</v>
      </c>
      <c r="AZ15" s="25">
        <f>IF(AY$10=0,"N.D.",AY15/AY$10)</f>
        <v>5.9471365638766517E-2</v>
      </c>
      <c r="BA15" s="4">
        <f>AE217</f>
        <v>13</v>
      </c>
      <c r="BB15" s="25">
        <f>IF(BA$10=0,"N.D.",BA15/BA$10)</f>
        <v>4.2345276872964167E-2</v>
      </c>
      <c r="BC15" s="4">
        <f>+AQ15+AS15+AU15+AW15+AY15+BA15</f>
        <v>226</v>
      </c>
      <c r="BD15" s="25">
        <f>IF(BC$10=0,"N.D.",BC15/BC$10)</f>
        <v>4.7369524208761268E-2</v>
      </c>
    </row>
    <row r="16" spans="1:57" x14ac:dyDescent="0.25">
      <c r="A16" s="317"/>
      <c r="B16" s="9" t="s">
        <v>43</v>
      </c>
      <c r="C16" s="342">
        <f ca="1">+C49+C81+C115+C149+C184+C218</f>
        <v>144.67400000000001</v>
      </c>
      <c r="D16" s="329">
        <f ca="1">IF(C10=0,"N.D.",C16/C10)</f>
        <v>2.5792936599837231E-2</v>
      </c>
      <c r="E16" s="342">
        <f ca="1">+E49+E81+E115+E149+E184+E218</f>
        <v>159.09399999999999</v>
      </c>
      <c r="F16" s="329">
        <f ca="1">IF(E$10=0, 0, E16/$E$10)</f>
        <v>2.665709588890525E-2</v>
      </c>
      <c r="G16" s="342">
        <f ca="1">+G49+G81+G115+G149+G184+G218</f>
        <v>235.40499999999997</v>
      </c>
      <c r="H16" s="329">
        <f ca="1">IF(G$10=0, 0, G16/$G$10)</f>
        <v>4.0571190241060824E-2</v>
      </c>
      <c r="I16" s="330">
        <f ca="1">C16-E16</f>
        <v>-14.419999999999987</v>
      </c>
      <c r="J16" s="331">
        <f ca="1">IF(E16=0,"N.D.",C16/E16-1)</f>
        <v>-9.0638239028498768E-2</v>
      </c>
      <c r="K16" s="342">
        <f ca="1">C16-G16</f>
        <v>-90.730999999999966</v>
      </c>
      <c r="L16" s="329">
        <f ca="1">IF(G16=0,"N.D.",C16/G16-1)</f>
        <v>-0.3854251184129478</v>
      </c>
      <c r="N16" s="9" t="s">
        <v>43</v>
      </c>
      <c r="O16" s="4">
        <f ca="1">C49</f>
        <v>15.382</v>
      </c>
      <c r="P16" s="25">
        <f ca="1">IF(O$10=0,"N.D.",O16/O$10)</f>
        <v>1.7841649848052522E-2</v>
      </c>
      <c r="Q16" s="4">
        <f ca="1">C81</f>
        <v>4.8330000000000002</v>
      </c>
      <c r="R16" s="25">
        <f ca="1">IF(Q$10=0,"N.D.",Q16/Q$10)</f>
        <v>5.3922099134992678E-3</v>
      </c>
      <c r="S16" s="4">
        <f ca="1">C115</f>
        <v>8.7650000000000006</v>
      </c>
      <c r="T16" s="25">
        <f ca="1">IF(S$10=0,"N.D.",S16/S$10)</f>
        <v>4.6971805662661516E-3</v>
      </c>
      <c r="U16" s="4">
        <f ca="1">C149</f>
        <v>27.726000000000003</v>
      </c>
      <c r="V16" s="25">
        <f ca="1">IF(U$10=0,"N.D.",U16/U$10)</f>
        <v>4.0144791138782311E-2</v>
      </c>
      <c r="W16" s="4">
        <f ca="1">C184</f>
        <v>24.962</v>
      </c>
      <c r="X16" s="25">
        <f ca="1">IF(W$10=0,"N.D.",W16/W$10)</f>
        <v>2.6941470674896682E-2</v>
      </c>
      <c r="Y16" s="4">
        <f ca="1">C218</f>
        <v>63.006</v>
      </c>
      <c r="Z16" s="25">
        <f ca="1">IF(Y$10=0,"N.D.",Y16/Y$10)</f>
        <v>0.17147662696771102</v>
      </c>
      <c r="AA16" s="4">
        <f t="shared" ca="1" si="0"/>
        <v>144.67400000000001</v>
      </c>
      <c r="AB16" s="25">
        <f ca="1">IF(AA$10=0,"N.D.",AA16/AA$10)</f>
        <v>2.5792936599837231E-2</v>
      </c>
      <c r="AD16" s="9" t="s">
        <v>43</v>
      </c>
      <c r="AE16" s="342">
        <f>+AE49+AE81+AE115+AE149+AE184+AE218</f>
        <v>144</v>
      </c>
      <c r="AF16" s="329">
        <f>IF(AE10=0,"N.D.",AE16/AE10)</f>
        <v>3.0182351708237267E-2</v>
      </c>
      <c r="AG16" s="342">
        <f ca="1">+AG49+AG81+AG115+AG149+AG184+AG218</f>
        <v>143.71199999999999</v>
      </c>
      <c r="AH16" s="329">
        <f ca="1">IF(AG$10=0, 0, AG16/$AG$10)</f>
        <v>2.8845267994722781E-2</v>
      </c>
      <c r="AI16" s="342">
        <f ca="1">+AI49+AI81+AI115+AI149+AI184+AI218</f>
        <v>220.02424000000002</v>
      </c>
      <c r="AJ16" s="329">
        <f ca="1">IF(AI$10=0, 0, AI16/$G$10)</f>
        <v>3.7920372543849223E-2</v>
      </c>
      <c r="AK16" s="330">
        <f ca="1">AE16-AG16</f>
        <v>0.28800000000001091</v>
      </c>
      <c r="AL16" s="331">
        <f ca="1">IF(AG16=0,"N.D.",AE16/AG16-1)</f>
        <v>2.0040080160321772E-3</v>
      </c>
      <c r="AM16" s="342">
        <f ca="1">AE16-AI16</f>
        <v>-76.02424000000002</v>
      </c>
      <c r="AN16" s="329">
        <f ca="1">IF(AI16=0,"N.D.",AE16/AI16-1)</f>
        <v>-0.34552665651748193</v>
      </c>
      <c r="AP16" s="9" t="s">
        <v>43</v>
      </c>
      <c r="AQ16" s="4">
        <f>AE49</f>
        <v>0</v>
      </c>
      <c r="AR16" s="25" t="str">
        <f>IF(AQ$10=0,"N.D.",AQ16/AQ$10)</f>
        <v>N.D.</v>
      </c>
      <c r="AS16" s="4">
        <f>AE81</f>
        <v>0</v>
      </c>
      <c r="AT16" s="25">
        <f>IF(AS$10=0,"N.D.",AS16/AS$10)</f>
        <v>0</v>
      </c>
      <c r="AU16" s="4">
        <f>AE115</f>
        <v>9</v>
      </c>
      <c r="AV16" s="25">
        <f>IF(AU$10=0,"N.D.",AU16/AU$10)</f>
        <v>4.6874999999999998E-3</v>
      </c>
      <c r="AW16" s="4">
        <f>AE149</f>
        <v>28</v>
      </c>
      <c r="AX16" s="25">
        <f>IF(AW$10=0,"N.D.",AW16/AW$10)</f>
        <v>3.8620689655172416E-2</v>
      </c>
      <c r="AY16" s="4">
        <f>AE184</f>
        <v>44</v>
      </c>
      <c r="AZ16" s="25">
        <f>IF(AY$10=0,"N.D.",AY16/AY$10)</f>
        <v>4.8458149779735685E-2</v>
      </c>
      <c r="BA16" s="4">
        <f>AE218</f>
        <v>63</v>
      </c>
      <c r="BB16" s="25">
        <f>IF(BA$10=0,"N.D.",BA16/BA$10)</f>
        <v>0.20521172638436483</v>
      </c>
      <c r="BC16" s="4">
        <f>+AQ16+AS16+AU16+AW16+AY16+BA16</f>
        <v>144</v>
      </c>
      <c r="BD16" s="25">
        <f>IF(BC$10=0,"N.D.",BC16/BC$10)</f>
        <v>3.0182351708237267E-2</v>
      </c>
    </row>
    <row r="17" spans="1:56" ht="13" x14ac:dyDescent="0.3">
      <c r="A17" s="317"/>
      <c r="B17" s="9" t="s">
        <v>44</v>
      </c>
      <c r="C17" s="337">
        <f ca="1">SUM(C14:C16)</f>
        <v>3703.1849999999995</v>
      </c>
      <c r="D17" s="334">
        <f ca="1">IF(C10=0,"N.D.",C17/C10)</f>
        <v>0.66021549084471443</v>
      </c>
      <c r="E17" s="337">
        <f ca="1">SUM(E14:E16)</f>
        <v>3954.7069999999999</v>
      </c>
      <c r="F17" s="334">
        <f ca="1">IF(E$10=0, 0, E17/$E$10)</f>
        <v>0.66263343502284699</v>
      </c>
      <c r="G17" s="337">
        <f ca="1">SUM(G14:G16)</f>
        <v>3980.16</v>
      </c>
      <c r="H17" s="334">
        <f ca="1">IF(G$10=0, 0, G17/$G$10)</f>
        <v>0.68596600985476375</v>
      </c>
      <c r="I17" s="335">
        <f ca="1">C17-E17</f>
        <v>-251.52200000000039</v>
      </c>
      <c r="J17" s="336">
        <f ca="1">IF(E17=0,"N.D.",C17/E17-1)</f>
        <v>-6.3600666244048032E-2</v>
      </c>
      <c r="K17" s="337">
        <f ca="1">C17-G17</f>
        <v>-276.97500000000036</v>
      </c>
      <c r="L17" s="334">
        <f ca="1">IF(G17=0,"N.D.",C17/G17-1)</f>
        <v>-6.9588910998552911E-2</v>
      </c>
      <c r="N17" s="9" t="s">
        <v>44</v>
      </c>
      <c r="O17" s="5">
        <f ca="1">C50</f>
        <v>596.16599999999994</v>
      </c>
      <c r="P17" s="26">
        <f ca="1">IF(O$10=0,"N.D.",O17/O$10)</f>
        <v>0.69149558076414497</v>
      </c>
      <c r="Q17" s="5">
        <f ca="1">C82</f>
        <v>607.90899999999988</v>
      </c>
      <c r="R17" s="26">
        <f ca="1">IF(Q$10=0,"N.D.",Q17/Q$10)</f>
        <v>0.67824807289580502</v>
      </c>
      <c r="S17" s="5">
        <f ca="1">C116</f>
        <v>1193.828</v>
      </c>
      <c r="T17" s="26">
        <f ca="1">IF(S$10=0,"N.D.",S17/S$10)</f>
        <v>0.63977474969359804</v>
      </c>
      <c r="U17" s="5">
        <f ca="1">C150</f>
        <v>540.24799999999993</v>
      </c>
      <c r="V17" s="26">
        <f ca="1">IF(U$10=0,"N.D.",U17/U$10)</f>
        <v>0.78223123144863527</v>
      </c>
      <c r="W17" s="5">
        <f ca="1">C185</f>
        <v>663.53800000000012</v>
      </c>
      <c r="X17" s="26">
        <f ca="1">IF(W$10=0,"N.D.",W17/W$10)</f>
        <v>0.71615614008010575</v>
      </c>
      <c r="Y17" s="5">
        <f ca="1">C219</f>
        <v>101.49600000000001</v>
      </c>
      <c r="Z17" s="26">
        <f ca="1">IF(Y$10=0,"N.D.",Y17/Y$10)</f>
        <v>0.27623070391256072</v>
      </c>
      <c r="AA17" s="5">
        <f t="shared" ca="1" si="0"/>
        <v>3703.1849999999999</v>
      </c>
      <c r="AB17" s="26">
        <f ca="1">IF(AA$10=0,"N.D.",AA17/AA$10)</f>
        <v>0.66021549084471454</v>
      </c>
      <c r="AD17" s="9" t="s">
        <v>44</v>
      </c>
      <c r="AE17" s="337">
        <f ca="1">SUM(AE14:AE16)</f>
        <v>3215.6248615552349</v>
      </c>
      <c r="AF17" s="334">
        <f ca="1">IF(AE10=0,"N.D.",AE17/AE10)</f>
        <v>0.67399389259174913</v>
      </c>
      <c r="AG17" s="337">
        <f ca="1">SUM(AG14:AG16)</f>
        <v>3284.8879999999999</v>
      </c>
      <c r="AH17" s="334">
        <f ca="1">IF(AG$10=0, 0, AG17/$E$10)</f>
        <v>0.55040148843019976</v>
      </c>
      <c r="AI17" s="337">
        <f ca="1">SUM(AI14:AI16)</f>
        <v>3246.4056399999999</v>
      </c>
      <c r="AJ17" s="334">
        <f ca="1">IF(AI$10=0, 0, AI17/$G$10)</f>
        <v>0.55950613122105664</v>
      </c>
      <c r="AK17" s="335">
        <f ca="1">AE17-AG17</f>
        <v>-69.263138444764991</v>
      </c>
      <c r="AL17" s="336">
        <f ca="1">IF(AG17=0,"N.D.",AE17/AG17-1)</f>
        <v>-2.1085388130360871E-2</v>
      </c>
      <c r="AM17" s="337">
        <f ca="1">AE17-AI17</f>
        <v>-30.780778444765019</v>
      </c>
      <c r="AN17" s="334">
        <f ca="1">IF(AI17=0,"N.D.",AE17/AI17-1)</f>
        <v>-9.4814948771358987E-3</v>
      </c>
      <c r="AP17" s="9" t="s">
        <v>44</v>
      </c>
      <c r="AQ17" s="5">
        <f>AE50</f>
        <v>0</v>
      </c>
      <c r="AR17" s="26" t="str">
        <f>IF(AQ$10=0,"N.D.",AQ17/AQ$10)</f>
        <v>N.D.</v>
      </c>
      <c r="AS17" s="5">
        <f ca="1">AE82</f>
        <v>623.82065128256033</v>
      </c>
      <c r="AT17" s="26">
        <f ca="1">IF(AS$10=0,"N.D.",AS17/AS$10)</f>
        <v>0.684764710518727</v>
      </c>
      <c r="AU17" s="5">
        <f ca="1">AE116</f>
        <v>1247.2727054956208</v>
      </c>
      <c r="AV17" s="26">
        <f ca="1">IF(AU$10=0,"N.D.",AU17/AU$10)</f>
        <v>0.64962120077896912</v>
      </c>
      <c r="AW17" s="5">
        <f ca="1">AE150</f>
        <v>575.75476000868753</v>
      </c>
      <c r="AX17" s="26">
        <f ca="1">IF(AW$10=0,"N.D.",AW17/AW$10)</f>
        <v>0.79414449656370689</v>
      </c>
      <c r="AY17" s="5">
        <f ca="1">AE185</f>
        <v>673.77674476836626</v>
      </c>
      <c r="AZ17" s="26">
        <f ca="1">IF(AY$10=0,"N.D.",AY17/AY$10)</f>
        <v>0.74204487309291434</v>
      </c>
      <c r="BA17" s="5">
        <f>AE219</f>
        <v>95</v>
      </c>
      <c r="BB17" s="26">
        <f>IF(BA$10=0,"N.D.",BA17/BA$10)</f>
        <v>0.30944625407166126</v>
      </c>
      <c r="BC17" s="5">
        <f ca="1">+AQ17+AS17+AU17+AW17+AY17+BA17</f>
        <v>3215.6248615552349</v>
      </c>
      <c r="BD17" s="26">
        <f ca="1">IF(BC$10=0,"N.D.",BC17/BC$10)</f>
        <v>0.67399389259174913</v>
      </c>
    </row>
    <row r="18" spans="1:56" ht="13" x14ac:dyDescent="0.3">
      <c r="A18" s="317"/>
      <c r="B18" s="9" t="s">
        <v>45</v>
      </c>
      <c r="C18" s="337">
        <f ca="1">+C12-C17</f>
        <v>131.97399999999971</v>
      </c>
      <c r="D18" s="334">
        <f ca="1">IF(C10=0,"N.D.",C18/C10)</f>
        <v>2.3528740581078223E-2</v>
      </c>
      <c r="E18" s="337">
        <f ca="1">+E12-E17</f>
        <v>26.679000000000542</v>
      </c>
      <c r="F18" s="334">
        <f ca="1">IF(E$10=0, 0, E18/$E$10)</f>
        <v>4.4702167348870331E-3</v>
      </c>
      <c r="G18" s="337">
        <f ca="1">+G12-G17</f>
        <v>-95.949000000000524</v>
      </c>
      <c r="H18" s="334">
        <f ca="1">IF(G$10=0, 0, G18/$G$10)</f>
        <v>-1.6536459006561317E-2</v>
      </c>
      <c r="I18" s="335">
        <f ca="1">C18-E18</f>
        <v>105.29499999999916</v>
      </c>
      <c r="J18" s="336">
        <f ca="1">IF(E18=0,"N.D.",C18/E18-1)</f>
        <v>3.946737134075379</v>
      </c>
      <c r="K18" s="337">
        <f ca="1">C18-G18</f>
        <v>227.92300000000023</v>
      </c>
      <c r="L18" s="334">
        <f ca="1">IF(G18=0,"N.D.",C18/G18-1)</f>
        <v>-2.3754598797277615</v>
      </c>
      <c r="N18" s="9" t="s">
        <v>45</v>
      </c>
      <c r="O18" s="5">
        <f ca="1">C51</f>
        <v>-48.644000000000005</v>
      </c>
      <c r="P18" s="30">
        <f ca="1">IF(O$10=0,"N.D.",O18/O$10)</f>
        <v>-5.64223907949985E-2</v>
      </c>
      <c r="Q18" s="5">
        <f ca="1">C83</f>
        <v>-5.8219999999997754</v>
      </c>
      <c r="R18" s="30">
        <f ca="1">IF(Q$10=0,"N.D.",Q18/Q$10)</f>
        <v>-6.4956437236481533E-3</v>
      </c>
      <c r="S18" s="5">
        <f ca="1">C117</f>
        <v>47.340999999999894</v>
      </c>
      <c r="T18" s="30">
        <f ca="1">IF(S$10=0,"N.D.",S18/S$10)</f>
        <v>2.5370134077308086E-2</v>
      </c>
      <c r="U18" s="5">
        <f ca="1">C151</f>
        <v>-87.347999999999956</v>
      </c>
      <c r="V18" s="30">
        <f ca="1">IF(U$10=0,"N.D.",U18/U$10)</f>
        <v>-0.12647216390356905</v>
      </c>
      <c r="W18" s="5">
        <f ca="1">C186</f>
        <v>-39.489000000000146</v>
      </c>
      <c r="X18" s="30">
        <f ca="1">IF(W$10=0,"N.D.",W18/W$10)</f>
        <v>-4.2620452507050682E-2</v>
      </c>
      <c r="Y18" s="5">
        <f ca="1">C220</f>
        <v>265.93600000000004</v>
      </c>
      <c r="Z18" s="30">
        <f ca="1">IF(Y$10=0,"N.D.",Y18/Y$10)</f>
        <v>0.72376929608743934</v>
      </c>
      <c r="AA18" s="5">
        <f t="shared" ca="1" si="0"/>
        <v>131.97400000000005</v>
      </c>
      <c r="AB18" s="30">
        <f ca="1">IF(AA$10=0,"N.D.",AA18/AA$10)</f>
        <v>2.3528740581078286E-2</v>
      </c>
      <c r="AD18" s="9" t="s">
        <v>45</v>
      </c>
      <c r="AE18" s="337">
        <f ca="1">+AE12-AE17</f>
        <v>67.415506547246878</v>
      </c>
      <c r="AF18" s="334">
        <f ca="1">IF(AE10=0,"N.D.",AE18/AE10)</f>
        <v>1.4130267563874843E-2</v>
      </c>
      <c r="AG18" s="337">
        <f ca="1">+AG12-AG17</f>
        <v>68.420000000000073</v>
      </c>
      <c r="AH18" s="334">
        <f ca="1">IF(AG$10=0, 0, AG18/$E$10)</f>
        <v>1.1464156415194158E-2</v>
      </c>
      <c r="AI18" s="337">
        <f ca="1">+AI12-AI17</f>
        <v>-25.292992999999569</v>
      </c>
      <c r="AJ18" s="334">
        <f ca="1">IF(AI$10=0, 0, AI18/$G$10)</f>
        <v>-4.3591547790777698E-3</v>
      </c>
      <c r="AK18" s="335">
        <f ca="1">AE18-AG18</f>
        <v>-1.004493452753195</v>
      </c>
      <c r="AL18" s="336">
        <f ca="1">IF(AG18=0,"N.D.",AE18/AG18-1)</f>
        <v>-1.4681284021531682E-2</v>
      </c>
      <c r="AM18" s="337">
        <f ca="1">AE18-AI18</f>
        <v>92.708499547246447</v>
      </c>
      <c r="AN18" s="334">
        <f ca="1">IF(AI18=0,"N.D.",AE18/AI18-1)</f>
        <v>-3.6653827226871893</v>
      </c>
      <c r="AP18" s="9" t="s">
        <v>45</v>
      </c>
      <c r="AQ18" s="5">
        <f>AE51</f>
        <v>0</v>
      </c>
      <c r="AR18" s="30" t="str">
        <f>IF(AQ$10=0,"N.D.",AQ18/AQ$10)</f>
        <v>N.D.</v>
      </c>
      <c r="AS18" s="5">
        <f ca="1">AE83</f>
        <v>-11.854188306725405</v>
      </c>
      <c r="AT18" s="30">
        <f ca="1">IF(AS$10=0,"N.D.",AS18/AS$10)</f>
        <v>-1.3012281346570148E-2</v>
      </c>
      <c r="AU18" s="5">
        <f ca="1">AE117</f>
        <v>29.805471344518992</v>
      </c>
      <c r="AV18" s="30">
        <f ca="1">IF(AU$10=0,"N.D.",AU18/AU$10)</f>
        <v>1.5523682991936976E-2</v>
      </c>
      <c r="AW18" s="5">
        <f ca="1">AE151</f>
        <v>-100.32943603851447</v>
      </c>
      <c r="AX18" s="30">
        <f ca="1">IF(AW$10=0,"N.D.",AW18/AW$10)</f>
        <v>-0.13838542901864065</v>
      </c>
      <c r="AY18" s="5">
        <f ca="1">AE186</f>
        <v>-62.206340452032236</v>
      </c>
      <c r="AZ18" s="30">
        <f ca="1">IF(AY$10=0,"N.D.",AY18/AY$10)</f>
        <v>-6.8509185519859295E-2</v>
      </c>
      <c r="BA18" s="5">
        <f>AE220</f>
        <v>212</v>
      </c>
      <c r="BB18" s="30">
        <f>IF(BA$10=0,"N.D.",BA18/BA$10)</f>
        <v>0.69055374592833874</v>
      </c>
      <c r="BC18" s="5">
        <f ca="1">+AQ18+AS18+AU18+AW18+AY18+BA18</f>
        <v>67.415506547246878</v>
      </c>
      <c r="BD18" s="30">
        <f ca="1">IF(BC$10=0,"N.D.",BC18/BC$10)</f>
        <v>1.4130267563874843E-2</v>
      </c>
    </row>
    <row r="19" spans="1:56" x14ac:dyDescent="0.25">
      <c r="A19" s="317"/>
      <c r="B19" s="322"/>
      <c r="C19" s="338"/>
      <c r="D19" s="339"/>
      <c r="E19" s="338"/>
      <c r="F19" s="339"/>
      <c r="G19" s="338"/>
      <c r="H19" s="339"/>
      <c r="I19" s="338"/>
      <c r="J19" s="340"/>
      <c r="K19" s="338"/>
      <c r="L19" s="339"/>
      <c r="N19" s="322"/>
      <c r="O19" s="517"/>
      <c r="P19" s="110"/>
      <c r="Q19" s="109"/>
      <c r="R19" s="110"/>
      <c r="S19" s="109"/>
      <c r="T19" s="110"/>
      <c r="U19" s="109"/>
      <c r="V19" s="110"/>
      <c r="W19" s="109"/>
      <c r="X19" s="110"/>
      <c r="Y19" s="109"/>
      <c r="Z19" s="110"/>
      <c r="AA19" s="109"/>
      <c r="AB19" s="110"/>
      <c r="AD19" s="322"/>
      <c r="AE19" s="338"/>
      <c r="AF19" s="339"/>
      <c r="AG19" s="338"/>
      <c r="AH19" s="339"/>
      <c r="AI19" s="338"/>
      <c r="AJ19" s="339"/>
      <c r="AK19" s="338"/>
      <c r="AL19" s="340"/>
      <c r="AM19" s="338"/>
      <c r="AN19" s="339"/>
      <c r="AP19" s="322"/>
      <c r="AQ19" s="109"/>
      <c r="AR19" s="110"/>
      <c r="AS19" s="109"/>
      <c r="AT19" s="110"/>
      <c r="AU19" s="109"/>
      <c r="AV19" s="110"/>
      <c r="AW19" s="109"/>
      <c r="AX19" s="110"/>
      <c r="AY19" s="109"/>
      <c r="AZ19" s="110"/>
      <c r="BA19" s="109"/>
      <c r="BB19" s="110"/>
      <c r="BC19" s="109"/>
      <c r="BD19" s="110"/>
    </row>
    <row r="20" spans="1:56" x14ac:dyDescent="0.25">
      <c r="A20" s="317"/>
      <c r="B20" s="9"/>
      <c r="C20" s="327"/>
      <c r="D20" s="343"/>
      <c r="E20" s="327"/>
      <c r="F20" s="324"/>
      <c r="G20" s="327"/>
      <c r="H20" s="324"/>
      <c r="I20" s="325"/>
      <c r="J20" s="326"/>
      <c r="K20" s="327"/>
      <c r="L20" s="324"/>
      <c r="N20" s="9"/>
      <c r="O20" s="519"/>
      <c r="P20" s="24"/>
      <c r="Q20" s="519"/>
      <c r="R20" s="24"/>
      <c r="S20" s="519"/>
      <c r="T20" s="24"/>
      <c r="U20" s="519"/>
      <c r="V20" s="24"/>
      <c r="W20" s="519"/>
      <c r="X20" s="24"/>
      <c r="Y20" s="519"/>
      <c r="Z20" s="24"/>
      <c r="AA20" s="519"/>
      <c r="AB20" s="24"/>
      <c r="AD20" s="9"/>
      <c r="AE20" s="327"/>
      <c r="AF20" s="343"/>
      <c r="AG20" s="327"/>
      <c r="AH20" s="324"/>
      <c r="AI20" s="327"/>
      <c r="AJ20" s="324"/>
      <c r="AK20" s="325"/>
      <c r="AL20" s="326"/>
      <c r="AM20" s="327"/>
      <c r="AN20" s="324"/>
      <c r="AP20" s="9"/>
      <c r="AQ20" s="3"/>
      <c r="AR20" s="24"/>
      <c r="AS20" s="3"/>
      <c r="AT20" s="24"/>
      <c r="AU20" s="3"/>
      <c r="AV20" s="24"/>
      <c r="AW20" s="3"/>
      <c r="AX20" s="24"/>
      <c r="AY20" s="3"/>
      <c r="AZ20" s="24"/>
      <c r="BA20" s="3"/>
      <c r="BB20" s="24"/>
      <c r="BC20" s="3"/>
      <c r="BD20" s="24"/>
    </row>
    <row r="21" spans="1:56" x14ac:dyDescent="0.25">
      <c r="A21" s="317"/>
      <c r="B21" s="9" t="s">
        <v>52</v>
      </c>
      <c r="C21" s="328">
        <f ca="1">+C54+C86+C120+C154+C189+C223</f>
        <v>-60.956000000000003</v>
      </c>
      <c r="D21" s="344">
        <f ca="1">IF(C10=0,"N.D.",C21/C10)</f>
        <v>-1.0867427757438644E-2</v>
      </c>
      <c r="E21" s="328">
        <f ca="1">+E54+E86+E120+E154+E189+E223</f>
        <v>-48.365999999999993</v>
      </c>
      <c r="F21" s="341">
        <f t="shared" ref="F21:F26" ca="1" si="1">IF(E$10=0, 0, E21/$E$10)</f>
        <v>-8.1039957494486985E-3</v>
      </c>
      <c r="G21" s="328">
        <f ca="1">+G54+G86+G120+G154+G189+G223</f>
        <v>-47.586999999999996</v>
      </c>
      <c r="H21" s="341">
        <f t="shared" ref="H21:H26" ca="1" si="2">IF(G$10=0, 0, G21/$G$10)</f>
        <v>-8.2014452964098532E-3</v>
      </c>
      <c r="I21" s="330">
        <f t="shared" ref="I21:I26" ca="1" si="3">C21-E21</f>
        <v>-12.590000000000011</v>
      </c>
      <c r="J21" s="331">
        <f t="shared" ref="J21:J26" ca="1" si="4">IF(E21=0,"N.D.",C21/E21-1)</f>
        <v>0.26030682710995356</v>
      </c>
      <c r="K21" s="328">
        <f t="shared" ref="K21:K26" ca="1" si="5">C21-G21</f>
        <v>-13.369000000000007</v>
      </c>
      <c r="L21" s="341">
        <f t="shared" ref="L21:L26" ca="1" si="6">IF(G21=0,"N.D.",C21/G21-1)</f>
        <v>0.28093807132199977</v>
      </c>
      <c r="N21" s="9" t="s">
        <v>52</v>
      </c>
      <c r="O21" s="4">
        <f ca="1">C54</f>
        <v>-26.033999999999999</v>
      </c>
      <c r="P21" s="29">
        <f ca="1">IF(O$10=0,"N.D.",O21/O$10)</f>
        <v>-3.0196951771174055E-2</v>
      </c>
      <c r="Q21" s="4">
        <f ca="1">C86</f>
        <v>-5.8959999999999999</v>
      </c>
      <c r="R21" s="29">
        <f ca="1">IF(Q$10=0,"N.D.",Q21/Q$10)</f>
        <v>-6.5782060107576418E-3</v>
      </c>
      <c r="S21" s="4">
        <f ca="1">C120</f>
        <v>-11.177000000000001</v>
      </c>
      <c r="T21" s="29">
        <f ca="1">IF(S$10=0,"N.D.",S21/S$10)</f>
        <v>-5.9897760626533691E-3</v>
      </c>
      <c r="U21" s="4">
        <f ca="1">C154</f>
        <v>-9.0629999999999988</v>
      </c>
      <c r="V21" s="29">
        <f ca="1">IF(U$10=0,"N.D.",U21/U$10)</f>
        <v>-1.3122420907840439E-2</v>
      </c>
      <c r="W21" s="4">
        <f ca="1">C189</f>
        <v>-10.081</v>
      </c>
      <c r="X21" s="29">
        <f ca="1">IF(W$10=0,"N.D.",W21/W$10)</f>
        <v>-1.0880416868585588E-2</v>
      </c>
      <c r="Y21" s="4">
        <f ca="1">C223</f>
        <v>1.2949999999999999</v>
      </c>
      <c r="Z21" s="29">
        <f ca="1">IF(Y$10=0,"N.D.",Y21/Y$10)</f>
        <v>3.524461669097955E-3</v>
      </c>
      <c r="AA21" s="4">
        <f ca="1">+O21+Q21+S21+U21+W21+Y21</f>
        <v>-60.956000000000003</v>
      </c>
      <c r="AB21" s="29">
        <f ca="1">IF(AA$10=0,"N.D.",AA21/AA$10)</f>
        <v>-1.0867427757438644E-2</v>
      </c>
      <c r="AD21" s="9" t="s">
        <v>52</v>
      </c>
      <c r="AE21" s="328">
        <f>+AE54+AE86+AE120+AE154+AE189+AE223</f>
        <v>-24</v>
      </c>
      <c r="AF21" s="344">
        <f>IF(AE10=0,"N.D.",AE21/AE10)</f>
        <v>-5.0303919513728776E-3</v>
      </c>
      <c r="AG21" s="328">
        <f ca="1">+AG54+AG86+AG120+AG154+AG189+AG223</f>
        <v>-22.332000000000001</v>
      </c>
      <c r="AH21" s="341">
        <f ca="1">IF(AG$10=0, 0, AG21/$AG$10)</f>
        <v>-4.4823850816782815E-3</v>
      </c>
      <c r="AI21" s="328">
        <f ca="1">+AI54+AI86+AI120+AI154+AI189+AI223</f>
        <v>-20.463200000000001</v>
      </c>
      <c r="AJ21" s="341">
        <f t="shared" ref="AJ21:AJ26" ca="1" si="7">IF(AI$10=0, 0, AI21/$G$10)</f>
        <v>-3.5267576310650836E-3</v>
      </c>
      <c r="AK21" s="330">
        <f t="shared" ref="AK21:AK26" ca="1" si="8">AE21-AG21</f>
        <v>-1.6679999999999993</v>
      </c>
      <c r="AL21" s="331">
        <f t="shared" ref="AL21:AL26" ca="1" si="9">IF(AG21=0,"N.D.",AE21/AG21-1)</f>
        <v>7.4691026329930077E-2</v>
      </c>
      <c r="AM21" s="328">
        <f t="shared" ref="AM21:AM26" ca="1" si="10">AE21-AI21</f>
        <v>-3.5367999999999995</v>
      </c>
      <c r="AN21" s="341">
        <f t="shared" ref="AN21:AN26" ca="1" si="11">IF(AI21=0,"N.D.",AE21/AI21-1)</f>
        <v>0.17283709292779226</v>
      </c>
      <c r="AP21" s="9" t="s">
        <v>52</v>
      </c>
      <c r="AQ21" s="4">
        <f t="shared" ref="AQ21:AQ26" si="12">AE54</f>
        <v>0</v>
      </c>
      <c r="AR21" s="29" t="str">
        <f>IF(AQ$10=0,"N.D.",AQ21/AQ$10)</f>
        <v>N.D.</v>
      </c>
      <c r="AS21" s="4">
        <f t="shared" ref="AS21:AS26" si="13">AE86</f>
        <v>-5</v>
      </c>
      <c r="AT21" s="29">
        <f>IF(AS$10=0,"N.D.",AS21/AS$10)</f>
        <v>-5.4884742041712408E-3</v>
      </c>
      <c r="AU21" s="4">
        <f t="shared" ref="AU21:AU26" si="14">AE120</f>
        <v>-5</v>
      </c>
      <c r="AV21" s="29">
        <f>IF(AU$10=0,"N.D.",AU21/AU$10)</f>
        <v>-2.6041666666666665E-3</v>
      </c>
      <c r="AW21" s="4">
        <f t="shared" ref="AW21:AW26" si="15">AE154</f>
        <v>-7</v>
      </c>
      <c r="AX21" s="29">
        <f>IF(AW$10=0,"N.D.",AW21/AW$10)</f>
        <v>-9.655172413793104E-3</v>
      </c>
      <c r="AY21" s="4">
        <f t="shared" ref="AY21:AY26" si="16">AE189</f>
        <v>-7</v>
      </c>
      <c r="AZ21" s="29">
        <f>IF(AY$10=0,"N.D.",AY21/AY$10)</f>
        <v>-7.709251101321586E-3</v>
      </c>
      <c r="BA21" s="4">
        <f t="shared" ref="BA21:BA26" si="17">AE223</f>
        <v>0</v>
      </c>
      <c r="BB21" s="29">
        <f>IF(BA$10=0,"N.D.",BA21/BA$10)</f>
        <v>0</v>
      </c>
      <c r="BC21" s="4">
        <f>+AQ21+AS21+AU21+AW21+AY21+BA21</f>
        <v>-24</v>
      </c>
      <c r="BD21" s="29">
        <f>IF(BC$10=0,"N.D.",BC21/BC$10)</f>
        <v>-5.0303919513728776E-3</v>
      </c>
    </row>
    <row r="22" spans="1:56" x14ac:dyDescent="0.25">
      <c r="A22" s="317"/>
      <c r="B22" s="9" t="s">
        <v>184</v>
      </c>
      <c r="C22" s="328">
        <f t="shared" ref="C22:E23" ca="1" si="18">+C55+C87+C121+C155+C190+C224</f>
        <v>185.988</v>
      </c>
      <c r="D22" s="344">
        <f ca="1">IF(C10=0,"N.D.",C22/C10)</f>
        <v>3.3158526703696081E-2</v>
      </c>
      <c r="E22" s="328">
        <f t="shared" ca="1" si="18"/>
        <v>169.61500000000001</v>
      </c>
      <c r="F22" s="341">
        <f t="shared" ca="1" si="1"/>
        <v>2.8419948704518489E-2</v>
      </c>
      <c r="G22" s="328">
        <f t="shared" ref="G22" ca="1" si="19">+G55+G87+G121+G155+G190+G224</f>
        <v>178.77300000000002</v>
      </c>
      <c r="H22" s="341">
        <f t="shared" ca="1" si="2"/>
        <v>3.0810872296532225E-2</v>
      </c>
      <c r="I22" s="330">
        <f t="shared" ca="1" si="3"/>
        <v>16.37299999999999</v>
      </c>
      <c r="J22" s="331">
        <f t="shared" ca="1" si="4"/>
        <v>9.6530377619903796E-2</v>
      </c>
      <c r="K22" s="328">
        <f t="shared" ca="1" si="5"/>
        <v>7.214999999999975</v>
      </c>
      <c r="L22" s="341">
        <f t="shared" ca="1" si="6"/>
        <v>4.0358443389102217E-2</v>
      </c>
      <c r="N22" s="9" t="s">
        <v>184</v>
      </c>
      <c r="O22" s="4">
        <f ca="1">C55</f>
        <v>28.731999999999999</v>
      </c>
      <c r="P22" s="25">
        <f t="shared" ref="P22:R23" ca="1" si="20">IF(O$10=0,"N.D.",O22/O$10)</f>
        <v>3.332637390679008E-2</v>
      </c>
      <c r="Q22" s="4">
        <f ca="1">C87</f>
        <v>1.421</v>
      </c>
      <c r="R22" s="25">
        <f t="shared" ca="1" si="20"/>
        <v>1.5854190538138755E-3</v>
      </c>
      <c r="S22" s="4">
        <f ca="1">C121</f>
        <v>57.543000000000006</v>
      </c>
      <c r="T22" s="25">
        <f t="shared" ref="T22" ca="1" si="21">IF(S$10=0,"N.D.",S22/S$10)</f>
        <v>3.0837405741546284E-2</v>
      </c>
      <c r="U22" s="4">
        <f ca="1">C155</f>
        <v>0</v>
      </c>
      <c r="V22" s="25">
        <f t="shared" ref="V22" ca="1" si="22">IF(U$10=0,"N.D.",U22/U$10)</f>
        <v>0</v>
      </c>
      <c r="W22" s="4">
        <f ca="1">C190</f>
        <v>0</v>
      </c>
      <c r="X22" s="25">
        <f t="shared" ref="X22" ca="1" si="23">IF(W$10=0,"N.D.",W22/W$10)</f>
        <v>0</v>
      </c>
      <c r="Y22" s="4">
        <f ca="1">C224</f>
        <v>98.292000000000002</v>
      </c>
      <c r="Z22" s="25">
        <f t="shared" ref="Z22" ca="1" si="24">IF(Y$10=0,"N.D.",Y22/Y$10)</f>
        <v>0.26751072307256851</v>
      </c>
      <c r="AA22" s="4">
        <f ca="1">+O22+Q22+S22+U22+W22+Y22</f>
        <v>185.988</v>
      </c>
      <c r="AB22" s="25">
        <f t="shared" ref="AB22" ca="1" si="25">IF(AA$10=0,"N.D.",AA22/AA$10)</f>
        <v>3.3158526703696081E-2</v>
      </c>
      <c r="AD22" s="9" t="s">
        <v>184</v>
      </c>
      <c r="AE22" s="328">
        <f>+AE55+AE87+AE121+AE155+AE190+AE224</f>
        <v>144</v>
      </c>
      <c r="AF22" s="344">
        <f>IF(AE10=0,"N.D.",AE22/AE10)</f>
        <v>3.0182351708237267E-2</v>
      </c>
      <c r="AG22" s="328">
        <f ca="1">+AG55+AG87+AG121+AG155+AG190+AG224</f>
        <v>138.613</v>
      </c>
      <c r="AH22" s="341">
        <f ca="1">IF(AG$10=0, 0, AG22/$AG$10)</f>
        <v>2.7821818167950547E-2</v>
      </c>
      <c r="AI22" s="328">
        <f ca="1">+AI55+AI87+AI121+AI155+AI190+AI224</f>
        <v>155.69353999999998</v>
      </c>
      <c r="AJ22" s="341">
        <f t="shared" ca="1" si="7"/>
        <v>2.6833211829163414E-2</v>
      </c>
      <c r="AK22" s="330">
        <f t="shared" ca="1" si="8"/>
        <v>5.3870000000000005</v>
      </c>
      <c r="AL22" s="331">
        <f t="shared" ca="1" si="9"/>
        <v>3.8863598652363107E-2</v>
      </c>
      <c r="AM22" s="328">
        <f t="shared" ca="1" si="10"/>
        <v>-11.693539999999985</v>
      </c>
      <c r="AN22" s="341">
        <f t="shared" ca="1" si="11"/>
        <v>-7.5106134782470635E-2</v>
      </c>
      <c r="AP22" s="9" t="s">
        <v>184</v>
      </c>
      <c r="AQ22" s="4">
        <f t="shared" si="12"/>
        <v>0</v>
      </c>
      <c r="AR22" s="25" t="str">
        <f>IF(AQ$10=0,"N.D.",AQ22/AQ$10)</f>
        <v>N.D.</v>
      </c>
      <c r="AS22" s="4">
        <f t="shared" si="13"/>
        <v>3</v>
      </c>
      <c r="AT22" s="25">
        <f>IF(AS$10=0,"N.D.",AS22/AS$10)</f>
        <v>3.2930845225027441E-3</v>
      </c>
      <c r="AU22" s="4">
        <f t="shared" si="14"/>
        <v>60</v>
      </c>
      <c r="AV22" s="25">
        <f>IF(AU$10=0,"N.D.",AU22/AU$10)</f>
        <v>3.125E-2</v>
      </c>
      <c r="AW22" s="4">
        <f t="shared" si="15"/>
        <v>0</v>
      </c>
      <c r="AX22" s="25">
        <f>IF(AW$10=0,"N.D.",AW22/AW$10)</f>
        <v>0</v>
      </c>
      <c r="AY22" s="4">
        <f t="shared" si="16"/>
        <v>0</v>
      </c>
      <c r="AZ22" s="25">
        <f>IF(AY$10=0,"N.D.",AY22/AY$10)</f>
        <v>0</v>
      </c>
      <c r="BA22" s="4">
        <f t="shared" si="17"/>
        <v>81</v>
      </c>
      <c r="BB22" s="25">
        <f>IF(BA$10=0,"N.D.",BA22/BA$10)</f>
        <v>0.26384364820846906</v>
      </c>
      <c r="BC22" s="4">
        <f>+AQ22+AS22+AU22+AW22+AY22+BA22</f>
        <v>144</v>
      </c>
      <c r="BD22" s="25">
        <f>IF(BC$10=0,"N.D.",BC22/BC$10)</f>
        <v>3.0182351708237267E-2</v>
      </c>
    </row>
    <row r="23" spans="1:56" x14ac:dyDescent="0.25">
      <c r="A23" s="317"/>
      <c r="B23" s="9" t="s">
        <v>47</v>
      </c>
      <c r="C23" s="328">
        <f t="shared" ca="1" si="18"/>
        <v>-30</v>
      </c>
      <c r="D23" s="344"/>
      <c r="E23" s="328">
        <f t="shared" ca="1" si="18"/>
        <v>0</v>
      </c>
      <c r="F23" s="341"/>
      <c r="G23" s="328">
        <f t="shared" ref="G23" ca="1" si="26">+G56+G88+G122+G156+G191+G225</f>
        <v>0</v>
      </c>
      <c r="H23" s="341">
        <f t="shared" ca="1" si="2"/>
        <v>0</v>
      </c>
      <c r="I23" s="330">
        <f t="shared" ca="1" si="3"/>
        <v>-30</v>
      </c>
      <c r="J23" s="331" t="str">
        <f t="shared" ca="1" si="4"/>
        <v>N.D.</v>
      </c>
      <c r="K23" s="328">
        <f t="shared" ca="1" si="5"/>
        <v>-30</v>
      </c>
      <c r="L23" s="341" t="str">
        <f t="shared" ca="1" si="6"/>
        <v>N.D.</v>
      </c>
      <c r="N23" s="9" t="s">
        <v>47</v>
      </c>
      <c r="O23" s="4">
        <f ca="1">C56</f>
        <v>0</v>
      </c>
      <c r="P23" s="25">
        <f t="shared" ca="1" si="20"/>
        <v>0</v>
      </c>
      <c r="Q23" s="4">
        <f ca="1">C88</f>
        <v>0</v>
      </c>
      <c r="R23" s="25">
        <f t="shared" ca="1" si="20"/>
        <v>0</v>
      </c>
      <c r="S23" s="4">
        <f ca="1">C122</f>
        <v>-30</v>
      </c>
      <c r="T23" s="25">
        <f t="shared" ref="T23" ca="1" si="27">IF(S$10=0,"N.D.",S23/S$10)</f>
        <v>-1.6077058412776332E-2</v>
      </c>
      <c r="U23" s="4">
        <f ca="1">C156</f>
        <v>0</v>
      </c>
      <c r="V23" s="25">
        <f t="shared" ref="V23" ca="1" si="28">IF(U$10=0,"N.D.",U23/U$10)</f>
        <v>0</v>
      </c>
      <c r="W23" s="4">
        <f ca="1">C191</f>
        <v>0</v>
      </c>
      <c r="X23" s="25">
        <f t="shared" ref="X23" ca="1" si="29">IF(W$10=0,"N.D.",W23/W$10)</f>
        <v>0</v>
      </c>
      <c r="Y23" s="4">
        <f ca="1">C225</f>
        <v>0</v>
      </c>
      <c r="Z23" s="25">
        <f t="shared" ref="Z23" ca="1" si="30">IF(Y$10=0,"N.D.",Y23/Y$10)</f>
        <v>0</v>
      </c>
      <c r="AA23" s="4">
        <f ca="1">+O23+Q23+S23+U23+W23+Y23</f>
        <v>-30</v>
      </c>
      <c r="AB23" s="25">
        <f t="shared" ref="AB23" ca="1" si="31">IF(AA$10=0,"N.D.",AA23/AA$10)</f>
        <v>-5.3484945325014644E-3</v>
      </c>
      <c r="AD23" s="9" t="s">
        <v>47</v>
      </c>
      <c r="AE23" s="328">
        <f>+AE56+AE88+AE122+AE156+AE191+AE225</f>
        <v>0</v>
      </c>
      <c r="AF23" s="344">
        <f>IF(AE10=0,"N.D.",AE23/AE10)</f>
        <v>0</v>
      </c>
      <c r="AG23" s="328">
        <f ca="1">+AG56+AG88+AG122+AG156+AG191+AG225</f>
        <v>0</v>
      </c>
      <c r="AH23" s="341">
        <f ca="1">IF(AG$10=0, 0, AG23/$AG$10)</f>
        <v>0</v>
      </c>
      <c r="AI23" s="328">
        <f ca="1">+AI56+AI88+AI122+AI156+AI191+AI225</f>
        <v>0</v>
      </c>
      <c r="AJ23" s="341">
        <f t="shared" ca="1" si="7"/>
        <v>0</v>
      </c>
      <c r="AK23" s="330">
        <f t="shared" ca="1" si="8"/>
        <v>0</v>
      </c>
      <c r="AL23" s="331" t="str">
        <f t="shared" ca="1" si="9"/>
        <v>N.D.</v>
      </c>
      <c r="AM23" s="328">
        <f t="shared" ca="1" si="10"/>
        <v>0</v>
      </c>
      <c r="AN23" s="341" t="str">
        <f t="shared" ca="1" si="11"/>
        <v>N.D.</v>
      </c>
      <c r="AP23" s="9" t="s">
        <v>47</v>
      </c>
      <c r="AQ23" s="4">
        <f t="shared" si="12"/>
        <v>0</v>
      </c>
      <c r="AR23" s="25" t="str">
        <f>IF(AQ$10=0,"N.D.",AQ23/AQ$10)</f>
        <v>N.D.</v>
      </c>
      <c r="AS23" s="4">
        <f t="shared" si="13"/>
        <v>0</v>
      </c>
      <c r="AT23" s="25">
        <f>IF(AS$10=0,"N.D.",AS23/AS$10)</f>
        <v>0</v>
      </c>
      <c r="AU23" s="4">
        <f t="shared" si="14"/>
        <v>0</v>
      </c>
      <c r="AV23" s="25">
        <f>IF(AU$10=0,"N.D.",AU23/AU$10)</f>
        <v>0</v>
      </c>
      <c r="AW23" s="4">
        <f t="shared" si="15"/>
        <v>0</v>
      </c>
      <c r="AX23" s="25">
        <f>IF(AW$10=0,"N.D.",AW23/AW$10)</f>
        <v>0</v>
      </c>
      <c r="AY23" s="4">
        <f t="shared" si="16"/>
        <v>0</v>
      </c>
      <c r="AZ23" s="25">
        <f>IF(AY$10=0,"N.D.",AY23/AY$10)</f>
        <v>0</v>
      </c>
      <c r="BA23" s="4">
        <f t="shared" si="17"/>
        <v>0</v>
      </c>
      <c r="BB23" s="25">
        <f>IF(BA$10=0,"N.D.",BA23/BA$10)</f>
        <v>0</v>
      </c>
      <c r="BC23" s="4">
        <f>+AQ23+AS23+AU23+AW23+AY23+BA23</f>
        <v>0</v>
      </c>
      <c r="BD23" s="25">
        <f>IF(BC$10=0,"N.D.",BC23/BC$10)</f>
        <v>0</v>
      </c>
    </row>
    <row r="24" spans="1:56" ht="13" customHeight="1" x14ac:dyDescent="0.25">
      <c r="A24" s="317"/>
      <c r="B24" s="9"/>
      <c r="C24" s="342"/>
      <c r="D24" s="345"/>
      <c r="E24" s="342"/>
      <c r="F24" s="329"/>
      <c r="G24" s="342"/>
      <c r="H24" s="329"/>
      <c r="I24" s="330"/>
      <c r="J24" s="331"/>
      <c r="K24" s="342"/>
      <c r="L24" s="329"/>
      <c r="N24" s="9"/>
      <c r="O24" s="520"/>
      <c r="P24" s="25"/>
      <c r="Q24" s="520"/>
      <c r="R24" s="25"/>
      <c r="S24" s="520"/>
      <c r="T24" s="25"/>
      <c r="U24" s="520"/>
      <c r="V24" s="25"/>
      <c r="W24" s="520"/>
      <c r="X24" s="25"/>
      <c r="Y24" s="520"/>
      <c r="Z24" s="25"/>
      <c r="AA24" s="520"/>
      <c r="AB24" s="25"/>
      <c r="AD24" s="9"/>
      <c r="AE24" s="342"/>
      <c r="AF24" s="345"/>
      <c r="AG24" s="342"/>
      <c r="AH24" s="329"/>
      <c r="AI24" s="342"/>
      <c r="AJ24" s="329"/>
      <c r="AK24" s="330"/>
      <c r="AL24" s="331"/>
      <c r="AM24" s="342"/>
      <c r="AN24" s="329"/>
      <c r="AP24" s="9"/>
      <c r="AQ24" s="4"/>
      <c r="AR24" s="25"/>
      <c r="AS24" s="4"/>
      <c r="AT24" s="25"/>
      <c r="AU24" s="4"/>
      <c r="AV24" s="25"/>
      <c r="AW24" s="4"/>
      <c r="AX24" s="25"/>
      <c r="AY24" s="4"/>
      <c r="AZ24" s="25"/>
      <c r="BA24" s="4"/>
      <c r="BB24" s="25"/>
      <c r="BC24" s="4"/>
      <c r="BD24" s="25"/>
    </row>
    <row r="25" spans="1:56" ht="13" x14ac:dyDescent="0.3">
      <c r="A25" s="317"/>
      <c r="B25" s="9" t="s">
        <v>48</v>
      </c>
      <c r="C25" s="335">
        <f ca="1">+C21+C22</f>
        <v>125.032</v>
      </c>
      <c r="D25" s="334">
        <f ca="1">IF(C10=0,"N.D.",C25/C10)</f>
        <v>2.2291098946257436E-2</v>
      </c>
      <c r="E25" s="335">
        <f ca="1">+E21+E22</f>
        <v>121.24900000000002</v>
      </c>
      <c r="F25" s="334">
        <f t="shared" ca="1" si="1"/>
        <v>2.0315952955069792E-2</v>
      </c>
      <c r="G25" s="335">
        <f ca="1">+G21+G22</f>
        <v>131.18600000000004</v>
      </c>
      <c r="H25" s="334">
        <f t="shared" ca="1" si="2"/>
        <v>2.2609427000122372E-2</v>
      </c>
      <c r="I25" s="335">
        <f t="shared" ca="1" si="3"/>
        <v>3.7829999999999728</v>
      </c>
      <c r="J25" s="336">
        <f t="shared" ca="1" si="4"/>
        <v>3.1200257321709612E-2</v>
      </c>
      <c r="K25" s="337">
        <f t="shared" ca="1" si="5"/>
        <v>-6.154000000000039</v>
      </c>
      <c r="L25" s="334">
        <f t="shared" ca="1" si="6"/>
        <v>-4.6910493497782091E-2</v>
      </c>
      <c r="N25" s="9" t="s">
        <v>48</v>
      </c>
      <c r="O25" s="518">
        <f ca="1">C58</f>
        <v>2.6980000000000004</v>
      </c>
      <c r="P25" s="30">
        <f ca="1">IF(O$10=0,"N.D.",O25/O$10)</f>
        <v>3.1294221356160255E-3</v>
      </c>
      <c r="Q25" s="5">
        <f t="shared" ref="Q25:Q26" ca="1" si="32">C90</f>
        <v>-4.4749999999999996</v>
      </c>
      <c r="R25" s="30">
        <f ca="1">IF(Q$10=0,"N.D.",Q25/Q$10)</f>
        <v>-4.9927869569437663E-3</v>
      </c>
      <c r="S25" s="5">
        <f t="shared" ref="S25:S26" ca="1" si="33">C124</f>
        <v>76.366000000000014</v>
      </c>
      <c r="T25" s="30">
        <f ca="1">IF(S$10=0,"N.D.",S25/S$10)</f>
        <v>4.0924688091669249E-2</v>
      </c>
      <c r="U25" s="5">
        <f t="shared" ref="U25:U26" ca="1" si="34">C158</f>
        <v>-9.0629999999999988</v>
      </c>
      <c r="V25" s="30">
        <f ca="1">IF(U$10=0,"N.D.",U25/U$10)</f>
        <v>-1.3122420907840439E-2</v>
      </c>
      <c r="W25" s="5">
        <f t="shared" ref="W25:W26" ca="1" si="35">C193</f>
        <v>-10.081</v>
      </c>
      <c r="X25" s="30">
        <f ca="1">IF(W$10=0,"N.D.",W25/W$10)</f>
        <v>-1.0880416868585588E-2</v>
      </c>
      <c r="Y25" s="5">
        <f t="shared" ref="Y25:Y26" ca="1" si="36">C227</f>
        <v>99.587000000000003</v>
      </c>
      <c r="Z25" s="30">
        <f ca="1">IF(Y$10=0,"N.D.",Y25/Y$10)</f>
        <v>0.27103518474166649</v>
      </c>
      <c r="AA25" s="5">
        <f t="shared" ca="1" si="0"/>
        <v>155.03200000000001</v>
      </c>
      <c r="AB25" s="30">
        <f ca="1">IF(AA$10=0,"N.D.",AA25/AA$10)</f>
        <v>2.7639593478758905E-2</v>
      </c>
      <c r="AD25" s="9" t="s">
        <v>48</v>
      </c>
      <c r="AE25" s="335">
        <f>+AE21+AE22</f>
        <v>120</v>
      </c>
      <c r="AF25" s="334">
        <f>IF(AE10=0,"N.D.",AE25/AE10)</f>
        <v>2.5151959756864389E-2</v>
      </c>
      <c r="AG25" s="335">
        <f ca="1">+AG21+AG22</f>
        <v>116.28100000000001</v>
      </c>
      <c r="AH25" s="334">
        <f ca="1">IF(AG$10=0, 0, AG25/$E$10)</f>
        <v>1.9483536569938474E-2</v>
      </c>
      <c r="AI25" s="335">
        <f ca="1">+AI21+AI22</f>
        <v>135.23033999999998</v>
      </c>
      <c r="AJ25" s="334">
        <f t="shared" ca="1" si="7"/>
        <v>2.330645419809833E-2</v>
      </c>
      <c r="AK25" s="335">
        <f t="shared" ca="1" si="8"/>
        <v>3.7189999999999941</v>
      </c>
      <c r="AL25" s="336">
        <f t="shared" ca="1" si="9"/>
        <v>3.1982869084373089E-2</v>
      </c>
      <c r="AM25" s="337">
        <f t="shared" ca="1" si="10"/>
        <v>-15.230339999999984</v>
      </c>
      <c r="AN25" s="334">
        <f t="shared" ca="1" si="11"/>
        <v>-0.11262516976589709</v>
      </c>
      <c r="AP25" s="9" t="s">
        <v>48</v>
      </c>
      <c r="AQ25" s="5">
        <f t="shared" si="12"/>
        <v>0</v>
      </c>
      <c r="AR25" s="30" t="str">
        <f>IF(AQ$10=0,"N.D.",AQ25/AQ$10)</f>
        <v>N.D.</v>
      </c>
      <c r="AS25" s="5">
        <f t="shared" si="13"/>
        <v>-2</v>
      </c>
      <c r="AT25" s="30">
        <f>IF(AS$10=0,"N.D.",AS25/AS$10)</f>
        <v>-2.1953896816684962E-3</v>
      </c>
      <c r="AU25" s="5">
        <f t="shared" si="14"/>
        <v>55</v>
      </c>
      <c r="AV25" s="30">
        <f>IF(AU$10=0,"N.D.",AU25/AU$10)</f>
        <v>2.8645833333333332E-2</v>
      </c>
      <c r="AW25" s="5">
        <f t="shared" si="15"/>
        <v>-7</v>
      </c>
      <c r="AX25" s="30">
        <f>IF(AW$10=0,"N.D.",AW25/AW$10)</f>
        <v>-9.655172413793104E-3</v>
      </c>
      <c r="AY25" s="5">
        <f t="shared" si="16"/>
        <v>-7</v>
      </c>
      <c r="AZ25" s="30">
        <f>IF(AY$10=0,"N.D.",AY25/AY$10)</f>
        <v>-7.709251101321586E-3</v>
      </c>
      <c r="BA25" s="5">
        <f t="shared" si="17"/>
        <v>81</v>
      </c>
      <c r="BB25" s="30">
        <f>IF(BA$10=0,"N.D.",BA25/BA$10)</f>
        <v>0.26384364820846906</v>
      </c>
      <c r="BC25" s="5">
        <f>+AQ25+AS25+AU25+AW25+AY25+BA25</f>
        <v>120</v>
      </c>
      <c r="BD25" s="30">
        <f>IF(BC$10=0,"N.D.",BC25/BC$10)</f>
        <v>2.5151959756864389E-2</v>
      </c>
    </row>
    <row r="26" spans="1:56" ht="13" x14ac:dyDescent="0.3">
      <c r="A26" s="317"/>
      <c r="B26" s="332" t="s">
        <v>49</v>
      </c>
      <c r="C26" s="337">
        <f ca="1">+C18-C25</f>
        <v>6.9419999999997088</v>
      </c>
      <c r="D26" s="334">
        <f ca="1">IF(C10=0,"N.D.",C26/C10)</f>
        <v>1.2376416348207871E-3</v>
      </c>
      <c r="E26" s="337">
        <f ca="1">+E18-E25</f>
        <v>-94.569999999999482</v>
      </c>
      <c r="F26" s="334">
        <f t="shared" ca="1" si="1"/>
        <v>-1.584573622018276E-2</v>
      </c>
      <c r="G26" s="337">
        <f ca="1">+G18-G25</f>
        <v>-227.13500000000056</v>
      </c>
      <c r="H26" s="334">
        <f t="shared" ca="1" si="2"/>
        <v>-3.9145886006683693E-2</v>
      </c>
      <c r="I26" s="335">
        <f t="shared" ca="1" si="3"/>
        <v>101.51199999999919</v>
      </c>
      <c r="J26" s="336">
        <f t="shared" ca="1" si="4"/>
        <v>-1.0734059426879534</v>
      </c>
      <c r="K26" s="337">
        <f t="shared" ca="1" si="5"/>
        <v>234.07700000000028</v>
      </c>
      <c r="L26" s="334">
        <f t="shared" ca="1" si="6"/>
        <v>-1.0305633213727505</v>
      </c>
      <c r="N26" s="332" t="s">
        <v>49</v>
      </c>
      <c r="O26" s="5">
        <f t="shared" ref="O26" ca="1" si="37">C59</f>
        <v>-51.342000000000006</v>
      </c>
      <c r="P26" s="30">
        <f ca="1">IF(O$10=0,"N.D.",O26/O$10)</f>
        <v>-5.9551812930614526E-2</v>
      </c>
      <c r="Q26" s="5">
        <f t="shared" ca="1" si="32"/>
        <v>-1.3469999999997757</v>
      </c>
      <c r="R26" s="30">
        <f ca="1">IF(Q$10=0,"N.D.",Q26/Q$10)</f>
        <v>-1.5028567667043874E-3</v>
      </c>
      <c r="S26" s="5">
        <f t="shared" ca="1" si="33"/>
        <v>-29.025000000000119</v>
      </c>
      <c r="T26" s="30">
        <f ca="1">IF(S$10=0,"N.D.",S26/S$10)</f>
        <v>-1.5554554014361165E-2</v>
      </c>
      <c r="U26" s="5">
        <f t="shared" ca="1" si="34"/>
        <v>-78.284999999999954</v>
      </c>
      <c r="V26" s="30">
        <f ca="1">IF(U$10=0,"N.D.",U26/U$10)</f>
        <v>-0.1133497429957286</v>
      </c>
      <c r="W26" s="5">
        <f t="shared" ca="1" si="35"/>
        <v>-29.408000000000147</v>
      </c>
      <c r="X26" s="30">
        <f ca="1">IF(W$10=0,"N.D.",W26/W$10)</f>
        <v>-3.1740035638465093E-2</v>
      </c>
      <c r="Y26" s="5">
        <f t="shared" ca="1" si="36"/>
        <v>166.34900000000005</v>
      </c>
      <c r="Z26" s="30">
        <f ca="1">IF(Y$10=0,"N.D.",Y26/Y$10)</f>
        <v>0.4527341113457729</v>
      </c>
      <c r="AA26" s="5">
        <f ca="1">+AA18-AA25</f>
        <v>-23.057999999999964</v>
      </c>
      <c r="AB26" s="30">
        <f ca="1">IF(AA$10=0,"N.D.",AA26/AA$10)</f>
        <v>-4.1108528976806199E-3</v>
      </c>
      <c r="AD26" s="332" t="s">
        <v>49</v>
      </c>
      <c r="AE26" s="337">
        <f ca="1">+AE18-AE25</f>
        <v>-52.584493452753122</v>
      </c>
      <c r="AF26" s="334">
        <f ca="1">IF(AE10=0,"N.D.",AE26/AE10)</f>
        <v>-1.1021692192989546E-2</v>
      </c>
      <c r="AG26" s="337">
        <f ca="1">+AG18-AG25</f>
        <v>-47.860999999999933</v>
      </c>
      <c r="AH26" s="334">
        <f ca="1">IF(AG$10=0, 0, AG26/$E$10)</f>
        <v>-8.0193801547443176E-3</v>
      </c>
      <c r="AI26" s="337">
        <f ca="1">+AI18-AI25</f>
        <v>-160.52333299999955</v>
      </c>
      <c r="AJ26" s="334">
        <f t="shared" ca="1" si="7"/>
        <v>-2.7665608977176098E-2</v>
      </c>
      <c r="AK26" s="335">
        <f t="shared" ca="1" si="8"/>
        <v>-4.7234934527531891</v>
      </c>
      <c r="AL26" s="336">
        <f t="shared" ca="1" si="9"/>
        <v>9.8691908918601801E-2</v>
      </c>
      <c r="AM26" s="337">
        <f t="shared" ca="1" si="10"/>
        <v>107.93883954724643</v>
      </c>
      <c r="AN26" s="334">
        <f t="shared" ca="1" si="11"/>
        <v>-0.67241838011952271</v>
      </c>
      <c r="AP26" s="332" t="s">
        <v>49</v>
      </c>
      <c r="AQ26" s="5">
        <f t="shared" si="12"/>
        <v>0</v>
      </c>
      <c r="AR26" s="30" t="str">
        <f>IF(AQ$10=0,"N.D.",AQ26/AQ$10)</f>
        <v>N.D.</v>
      </c>
      <c r="AS26" s="5">
        <f t="shared" ca="1" si="13"/>
        <v>-9.8541883067254048</v>
      </c>
      <c r="AT26" s="30">
        <f ca="1">IF(AS$10=0,"N.D.",AS26/AS$10)</f>
        <v>-1.0816891664901651E-2</v>
      </c>
      <c r="AU26" s="5">
        <f t="shared" ca="1" si="14"/>
        <v>-25.194528655481008</v>
      </c>
      <c r="AV26" s="30">
        <f ca="1">IF(AU$10=0,"N.D.",AU26/AU$10)</f>
        <v>-1.3122150341396358E-2</v>
      </c>
      <c r="AW26" s="5">
        <f t="shared" ca="1" si="15"/>
        <v>-93.329436038514473</v>
      </c>
      <c r="AX26" s="30">
        <f ca="1">IF(AW$10=0,"N.D.",AW26/AW$10)</f>
        <v>-0.12873025660484755</v>
      </c>
      <c r="AY26" s="5">
        <f t="shared" ca="1" si="16"/>
        <v>-55.206340452032236</v>
      </c>
      <c r="AZ26" s="30">
        <f ca="1">IF(AY$10=0,"N.D.",AY26/AY$10)</f>
        <v>-6.0799934418537704E-2</v>
      </c>
      <c r="BA26" s="5">
        <f t="shared" si="17"/>
        <v>131</v>
      </c>
      <c r="BB26" s="30">
        <f>IF(BA$10=0,"N.D.",BA26/BA$10)</f>
        <v>0.42671009771986973</v>
      </c>
      <c r="BC26" s="5">
        <f ca="1">+BC18-BC25</f>
        <v>-52.584493452753122</v>
      </c>
      <c r="BD26" s="30">
        <f ca="1">IF(BC$10=0,"N.D.",BC26/BC$10)</f>
        <v>-1.1021692192989546E-2</v>
      </c>
    </row>
    <row r="27" spans="1:56" x14ac:dyDescent="0.25">
      <c r="A27" s="317"/>
      <c r="B27" s="322"/>
      <c r="C27" s="338"/>
      <c r="D27" s="339"/>
      <c r="E27" s="338"/>
      <c r="F27" s="339"/>
      <c r="G27" s="338"/>
      <c r="H27" s="339"/>
      <c r="I27" s="338"/>
      <c r="J27" s="340"/>
      <c r="K27" s="338"/>
      <c r="L27" s="339"/>
      <c r="N27" s="322"/>
      <c r="O27" s="6"/>
      <c r="P27" s="27"/>
      <c r="Q27" s="6"/>
      <c r="R27" s="27"/>
      <c r="S27" s="6"/>
      <c r="T27" s="27"/>
      <c r="U27" s="6"/>
      <c r="V27" s="27"/>
      <c r="W27" s="6"/>
      <c r="X27" s="27"/>
      <c r="Y27" s="6"/>
      <c r="Z27" s="27"/>
      <c r="AA27" s="6"/>
      <c r="AB27" s="27"/>
      <c r="AD27" s="322"/>
      <c r="AE27" s="338"/>
      <c r="AF27" s="339"/>
      <c r="AG27" s="338"/>
      <c r="AH27" s="339"/>
      <c r="AI27" s="338"/>
      <c r="AJ27" s="339"/>
      <c r="AK27" s="338"/>
      <c r="AL27" s="340"/>
      <c r="AM27" s="338"/>
      <c r="AN27" s="339"/>
      <c r="AP27" s="322"/>
      <c r="AQ27" s="6"/>
      <c r="AR27" s="27"/>
      <c r="AS27" s="6"/>
      <c r="AT27" s="27"/>
      <c r="AU27" s="6"/>
      <c r="AV27" s="27"/>
      <c r="AW27" s="6"/>
      <c r="AX27" s="27"/>
      <c r="AY27" s="6"/>
      <c r="AZ27" s="27"/>
      <c r="BA27" s="6"/>
      <c r="BB27" s="27"/>
      <c r="BC27" s="6"/>
      <c r="BD27" s="27"/>
    </row>
    <row r="28" spans="1:56" x14ac:dyDescent="0.25">
      <c r="A28" s="317"/>
      <c r="B28" s="9" t="s">
        <v>213</v>
      </c>
      <c r="C28" s="327">
        <f ca="1">+C61+C93+C127+C161+C196+C230</f>
        <v>0</v>
      </c>
      <c r="D28" s="343">
        <f ca="1">IF(C10=0,"N.D.",C28/C10)</f>
        <v>0</v>
      </c>
      <c r="E28" s="327">
        <f ca="1">+E61+E93+E127+E161+E196+E230</f>
        <v>0</v>
      </c>
      <c r="F28" s="324">
        <f ca="1">IF(E$10=0, 0, E28/$E$10)</f>
        <v>0</v>
      </c>
      <c r="G28" s="327">
        <f ca="1">+G61+G93+G127+G161+G196+G230</f>
        <v>0</v>
      </c>
      <c r="H28" s="324">
        <f ca="1">IF(G$10=0, 0, G28/$G$10)</f>
        <v>0</v>
      </c>
      <c r="I28" s="325">
        <f t="shared" ref="I28:I36" ca="1" si="38">C28-E28</f>
        <v>0</v>
      </c>
      <c r="J28" s="326" t="str">
        <f t="shared" ref="J28:J36" ca="1" si="39">IF(E28=0,"N.D.",C28/E28-1)</f>
        <v>N.D.</v>
      </c>
      <c r="K28" s="327">
        <f t="shared" ref="K28:K36" ca="1" si="40">C28-G28</f>
        <v>0</v>
      </c>
      <c r="L28" s="324" t="str">
        <f t="shared" ref="L28:L36" ca="1" si="41">IF(G28=0,"N.D.",C28/G28-1)</f>
        <v>N.D.</v>
      </c>
      <c r="N28" s="9" t="s">
        <v>213</v>
      </c>
      <c r="O28" s="3">
        <f t="shared" ref="O28:O33" ca="1" si="42">C61</f>
        <v>0</v>
      </c>
      <c r="P28" s="24">
        <f t="shared" ref="P28:P36" ca="1" si="43">IF(O$10=0,"N.D.",O28/O$10)</f>
        <v>0</v>
      </c>
      <c r="Q28" s="3">
        <f ca="1">C93</f>
        <v>0</v>
      </c>
      <c r="R28" s="24">
        <f t="shared" ref="R28:R36" ca="1" si="44">IF(Q$10=0,"N.D.",Q28/Q$10)</f>
        <v>0</v>
      </c>
      <c r="S28" s="3">
        <f ca="1">C127</f>
        <v>0</v>
      </c>
      <c r="T28" s="24">
        <f t="shared" ref="T28:T36" ca="1" si="45">IF(S$10=0,"N.D.",S28/S$10)</f>
        <v>0</v>
      </c>
      <c r="U28" s="3">
        <f ca="1">C161</f>
        <v>0</v>
      </c>
      <c r="V28" s="24">
        <f t="shared" ref="V28:V36" ca="1" si="46">IF(U$10=0,"N.D.",U28/U$10)</f>
        <v>0</v>
      </c>
      <c r="W28" s="3">
        <f ca="1">C196</f>
        <v>0</v>
      </c>
      <c r="X28" s="24">
        <f t="shared" ref="X28:X36" ca="1" si="47">IF(W$10=0,"N.D.",W28/W$10)</f>
        <v>0</v>
      </c>
      <c r="Y28" s="3">
        <f ca="1">C230</f>
        <v>0</v>
      </c>
      <c r="Z28" s="24">
        <f t="shared" ref="Z28:Z36" ca="1" si="48">IF(Y$10=0,"N.D.",Y28/Y$10)</f>
        <v>0</v>
      </c>
      <c r="AA28" s="3">
        <f ca="1">+O28+Q28+S28+U28+W28+Y28</f>
        <v>0</v>
      </c>
      <c r="AB28" s="24">
        <f t="shared" ref="AB28:AB36" ca="1" si="49">IF(AA$10=0,"N.D.",AA28/AA$10)</f>
        <v>0</v>
      </c>
      <c r="AD28" s="9" t="s">
        <v>213</v>
      </c>
      <c r="AE28" s="327">
        <f>+AE61+AE93+AE127+AE161+AE196+AE230</f>
        <v>0</v>
      </c>
      <c r="AF28" s="343">
        <f>IF(AE10=0,"N.D.",AE28/AE10)</f>
        <v>0</v>
      </c>
      <c r="AG28" s="327">
        <f ca="1">+AG61+AG93+AG127+AG161+AG196+AG230</f>
        <v>0</v>
      </c>
      <c r="AH28" s="324">
        <f ca="1">IF(AG$10=0, 0, AG28/$AG$10)</f>
        <v>0</v>
      </c>
      <c r="AI28" s="327">
        <f ca="1">+AI61+AI93+AI127+AI161+AI196+AI230</f>
        <v>0</v>
      </c>
      <c r="AJ28" s="324">
        <f ca="1">IF(AI$10=0, 0, AI28/$G$10)</f>
        <v>0</v>
      </c>
      <c r="AK28" s="325">
        <f t="shared" ref="AK28:AK36" ca="1" si="50">AE28-AG28</f>
        <v>0</v>
      </c>
      <c r="AL28" s="326" t="str">
        <f t="shared" ref="AL28:AL36" ca="1" si="51">IF(AG28=0,"N.D.",AE28/AG28-1)</f>
        <v>N.D.</v>
      </c>
      <c r="AM28" s="327">
        <f t="shared" ref="AM28:AM36" ca="1" si="52">AE28-AI28</f>
        <v>0</v>
      </c>
      <c r="AN28" s="324" t="str">
        <f t="shared" ref="AN28:AN36" ca="1" si="53">IF(AI28=0,"N.D.",AE28/AI28-1)</f>
        <v>N.D.</v>
      </c>
      <c r="AP28" s="9" t="s">
        <v>213</v>
      </c>
      <c r="AQ28" s="3">
        <f>AE61</f>
        <v>0</v>
      </c>
      <c r="AR28" s="24" t="str">
        <f>IF(AQ$10=0,"N.D.",AQ28/AQ$10)</f>
        <v>N.D.</v>
      </c>
      <c r="AS28" s="3">
        <f>AE93</f>
        <v>0</v>
      </c>
      <c r="AT28" s="24">
        <f>IF(AS$10=0,"N.D.",AS28/AS$10)</f>
        <v>0</v>
      </c>
      <c r="AU28" s="3">
        <f>AE127</f>
        <v>0</v>
      </c>
      <c r="AV28" s="24">
        <f t="shared" ref="AV28:AV36" si="54">IF(AU$10=0,"N.D.",AU28/AU$10)</f>
        <v>0</v>
      </c>
      <c r="AW28" s="3">
        <f>AE161</f>
        <v>0</v>
      </c>
      <c r="AX28" s="24">
        <f t="shared" ref="AX28:AX36" si="55">IF(AW$10=0,"N.D.",AW28/AW$10)</f>
        <v>0</v>
      </c>
      <c r="AY28" s="3">
        <f>AE196</f>
        <v>0</v>
      </c>
      <c r="AZ28" s="24">
        <f t="shared" ref="AZ28:AZ36" si="56">IF(AY$10=0,"N.D.",AY28/AY$10)</f>
        <v>0</v>
      </c>
      <c r="BA28" s="3">
        <f>AE230</f>
        <v>0</v>
      </c>
      <c r="BB28" s="24">
        <f t="shared" ref="BB28:BB36" si="57">IF(BA$10=0,"N.D.",BA28/BA$10)</f>
        <v>0</v>
      </c>
      <c r="BC28" s="3">
        <f>+AQ28+AS28+AU28+AW28+AY28+BA28</f>
        <v>0</v>
      </c>
      <c r="BD28" s="24">
        <f t="shared" ref="BD28:BD35" si="58">IF(BC$10=0,"N.D.",BC28/BC$10)</f>
        <v>0</v>
      </c>
    </row>
    <row r="29" spans="1:56" x14ac:dyDescent="0.25">
      <c r="A29" s="317"/>
      <c r="B29" s="9" t="s">
        <v>51</v>
      </c>
      <c r="C29" s="342">
        <f ca="1">+C62+C94+C128+C162+C197+C231</f>
        <v>3.8220000000000001</v>
      </c>
      <c r="D29" s="345">
        <f ca="1">IF(C10=0,"N.D.",C29/C10)</f>
        <v>6.8139820344068666E-4</v>
      </c>
      <c r="E29" s="342">
        <f ca="1">+E62+E94+E128+E162+E197+E231</f>
        <v>0</v>
      </c>
      <c r="F29" s="329">
        <f ca="1">IF(E$10=0, 0, E29/$E$10)</f>
        <v>0</v>
      </c>
      <c r="G29" s="342">
        <f ca="1">+G62+G94+G128+G162+G197+G231</f>
        <v>3.8220000000000001</v>
      </c>
      <c r="H29" s="329">
        <f ca="1">IF(G$10=0, 0, G29/$G$10)</f>
        <v>6.5870771267107539E-4</v>
      </c>
      <c r="I29" s="330">
        <f t="shared" ca="1" si="38"/>
        <v>3.8220000000000001</v>
      </c>
      <c r="J29" s="331" t="str">
        <f t="shared" ca="1" si="39"/>
        <v>N.D.</v>
      </c>
      <c r="K29" s="342">
        <f t="shared" ca="1" si="40"/>
        <v>0</v>
      </c>
      <c r="L29" s="329">
        <f t="shared" ca="1" si="41"/>
        <v>0</v>
      </c>
      <c r="N29" s="9" t="s">
        <v>51</v>
      </c>
      <c r="O29" s="4">
        <f t="shared" ca="1" si="42"/>
        <v>3.8220000000000001</v>
      </c>
      <c r="P29" s="25">
        <f t="shared" ca="1" si="43"/>
        <v>4.433154708052057E-3</v>
      </c>
      <c r="Q29" s="4">
        <f ca="1">C94</f>
        <v>0</v>
      </c>
      <c r="R29" s="25">
        <f t="shared" ca="1" si="44"/>
        <v>0</v>
      </c>
      <c r="S29" s="4">
        <f ca="1">C128</f>
        <v>0</v>
      </c>
      <c r="T29" s="25">
        <f t="shared" ca="1" si="45"/>
        <v>0</v>
      </c>
      <c r="U29" s="4">
        <f ca="1">C162</f>
        <v>0</v>
      </c>
      <c r="V29" s="25">
        <f t="shared" ca="1" si="46"/>
        <v>0</v>
      </c>
      <c r="W29" s="4">
        <f ca="1">C197</f>
        <v>0</v>
      </c>
      <c r="X29" s="25">
        <f t="shared" ca="1" si="47"/>
        <v>0</v>
      </c>
      <c r="Y29" s="4">
        <f ca="1">C231</f>
        <v>0</v>
      </c>
      <c r="Z29" s="25">
        <f t="shared" ca="1" si="48"/>
        <v>0</v>
      </c>
      <c r="AA29" s="4">
        <f ca="1">+O29+Q29+S29+U29+W29+Y29</f>
        <v>3.8220000000000001</v>
      </c>
      <c r="AB29" s="25">
        <f t="shared" ca="1" si="49"/>
        <v>6.8139820344068666E-4</v>
      </c>
      <c r="AD29" s="9" t="s">
        <v>51</v>
      </c>
      <c r="AE29" s="342">
        <f>+AE62+AE94+AE128+AE162+AE197+AE231</f>
        <v>0</v>
      </c>
      <c r="AF29" s="345">
        <f>IF(AE10=0,"N.D.",AE29/AE10)</f>
        <v>0</v>
      </c>
      <c r="AG29" s="342">
        <f ca="1">+AG62+AG94+AG128+AG162+AG197+AG231</f>
        <v>0</v>
      </c>
      <c r="AH29" s="329">
        <f ca="1">IF(AG$10=0, 0, AG29/$AG$10)</f>
        <v>0</v>
      </c>
      <c r="AI29" s="342">
        <f ca="1">+AI62+AI94+AI128+AI162+AI197+AI231</f>
        <v>0</v>
      </c>
      <c r="AJ29" s="329">
        <f ca="1">IF(AI$10=0, 0, AI29/$G$10)</f>
        <v>0</v>
      </c>
      <c r="AK29" s="330">
        <f t="shared" ca="1" si="50"/>
        <v>0</v>
      </c>
      <c r="AL29" s="331" t="str">
        <f t="shared" ca="1" si="51"/>
        <v>N.D.</v>
      </c>
      <c r="AM29" s="342">
        <f t="shared" ca="1" si="52"/>
        <v>0</v>
      </c>
      <c r="AN29" s="329" t="str">
        <f t="shared" ca="1" si="53"/>
        <v>N.D.</v>
      </c>
      <c r="AP29" s="9" t="s">
        <v>51</v>
      </c>
      <c r="AQ29" s="4">
        <f>AE62</f>
        <v>0</v>
      </c>
      <c r="AR29" s="25" t="str">
        <f>IF(AQ$10=0,"N.D.",AQ29/AQ$10)</f>
        <v>N.D.</v>
      </c>
      <c r="AS29" s="4">
        <f>AE94</f>
        <v>0</v>
      </c>
      <c r="AT29" s="25">
        <f>IF(AS$10=0,"N.D.",AS29/AS$10)</f>
        <v>0</v>
      </c>
      <c r="AU29" s="4">
        <f>AE128</f>
        <v>0</v>
      </c>
      <c r="AV29" s="25">
        <f t="shared" si="54"/>
        <v>0</v>
      </c>
      <c r="AW29" s="4">
        <f>AE162</f>
        <v>0</v>
      </c>
      <c r="AX29" s="25">
        <f t="shared" si="55"/>
        <v>0</v>
      </c>
      <c r="AY29" s="4">
        <f>AE197</f>
        <v>0</v>
      </c>
      <c r="AZ29" s="25">
        <f t="shared" si="56"/>
        <v>0</v>
      </c>
      <c r="BA29" s="4">
        <f>AE231</f>
        <v>0</v>
      </c>
      <c r="BB29" s="25">
        <f t="shared" si="57"/>
        <v>0</v>
      </c>
      <c r="BC29" s="4">
        <f>+AQ29+AS29+AU29+AW29+AY29+BA29</f>
        <v>0</v>
      </c>
      <c r="BD29" s="25">
        <f t="shared" si="58"/>
        <v>0</v>
      </c>
    </row>
    <row r="30" spans="1:56" ht="13" x14ac:dyDescent="0.3">
      <c r="A30" s="317"/>
      <c r="B30" s="87" t="s">
        <v>53</v>
      </c>
      <c r="C30" s="337">
        <f ca="1">+C26-C28-C29</f>
        <v>3.1199999999997088</v>
      </c>
      <c r="D30" s="334">
        <f ca="1">IF(C10=0,"N.D.",C30/C10)</f>
        <v>5.5624343138010036E-4</v>
      </c>
      <c r="E30" s="337">
        <f ca="1">+E26-E28-E29</f>
        <v>-94.569999999999482</v>
      </c>
      <c r="F30" s="334">
        <f ca="1">IF(E$10=0, 0, E30/$E$10)</f>
        <v>-1.584573622018276E-2</v>
      </c>
      <c r="G30" s="337">
        <f ca="1">+G26-G28-G29</f>
        <v>-230.95700000000056</v>
      </c>
      <c r="H30" s="334">
        <f ca="1">IF(G$10=0, 0, G30/$G$10)</f>
        <v>-3.9804593719354769E-2</v>
      </c>
      <c r="I30" s="335">
        <f t="shared" ca="1" si="38"/>
        <v>97.689999999999188</v>
      </c>
      <c r="J30" s="336">
        <f ca="1">IF(E30=0,"N.D.",C30/E30-1)</f>
        <v>-1.0329914349159324</v>
      </c>
      <c r="K30" s="337">
        <f t="shared" ca="1" si="40"/>
        <v>234.07700000000028</v>
      </c>
      <c r="L30" s="334">
        <f t="shared" ca="1" si="41"/>
        <v>-1.0135090081703508</v>
      </c>
      <c r="N30" s="87" t="s">
        <v>53</v>
      </c>
      <c r="O30" s="5">
        <f t="shared" ca="1" si="42"/>
        <v>-55.164000000000009</v>
      </c>
      <c r="P30" s="30">
        <f t="shared" ca="1" si="43"/>
        <v>-6.3984967638666582E-2</v>
      </c>
      <c r="Q30" s="5">
        <f ca="1">C95</f>
        <v>-1.3469999999997757</v>
      </c>
      <c r="R30" s="30">
        <f t="shared" ca="1" si="44"/>
        <v>-1.5028567667043874E-3</v>
      </c>
      <c r="S30" s="5">
        <f ca="1">C129</f>
        <v>-29.025000000000119</v>
      </c>
      <c r="T30" s="30">
        <f t="shared" ca="1" si="45"/>
        <v>-1.5554554014361165E-2</v>
      </c>
      <c r="U30" s="5">
        <f ca="1">C163</f>
        <v>-78.284999999999954</v>
      </c>
      <c r="V30" s="30">
        <f t="shared" ca="1" si="46"/>
        <v>-0.1133497429957286</v>
      </c>
      <c r="W30" s="5">
        <f ca="1">C198</f>
        <v>-29.408000000000147</v>
      </c>
      <c r="X30" s="30">
        <f t="shared" ca="1" si="47"/>
        <v>-3.1740035638465093E-2</v>
      </c>
      <c r="Y30" s="5">
        <f ca="1">C232</f>
        <v>166.34900000000005</v>
      </c>
      <c r="Z30" s="30">
        <f t="shared" ca="1" si="48"/>
        <v>0.4527341113457729</v>
      </c>
      <c r="AA30" s="5">
        <f ca="1">+AA26-AA28-AA29</f>
        <v>-26.879999999999963</v>
      </c>
      <c r="AB30" s="30">
        <f t="shared" ca="1" si="49"/>
        <v>-4.7922511011213057E-3</v>
      </c>
      <c r="AD30" s="87" t="s">
        <v>53</v>
      </c>
      <c r="AE30" s="337">
        <f ca="1">+AE26-AE28-AE29</f>
        <v>-52.584493452753122</v>
      </c>
      <c r="AF30" s="334">
        <f ca="1">IF(AE10=0,"N.D.",AE30/AE10)</f>
        <v>-1.1021692192989546E-2</v>
      </c>
      <c r="AG30" s="337">
        <f ca="1">+AG26-AG28-AG29</f>
        <v>-47.860999999999933</v>
      </c>
      <c r="AH30" s="334">
        <f ca="1">IF(AG$10=0, 0, AG30/$E$10)</f>
        <v>-8.0193801547443176E-3</v>
      </c>
      <c r="AI30" s="337">
        <f ca="1">+AI26-AI28-AI29</f>
        <v>-160.52333299999955</v>
      </c>
      <c r="AJ30" s="334">
        <f ca="1">IF(AI$10=0, 0, AI30/$G$10)</f>
        <v>-2.7665608977176098E-2</v>
      </c>
      <c r="AK30" s="335">
        <f t="shared" ca="1" si="50"/>
        <v>-4.7234934527531891</v>
      </c>
      <c r="AL30" s="336">
        <f t="shared" ca="1" si="51"/>
        <v>9.8691908918601801E-2</v>
      </c>
      <c r="AM30" s="337">
        <f t="shared" ca="1" si="52"/>
        <v>107.93883954724643</v>
      </c>
      <c r="AN30" s="334">
        <f t="shared" ca="1" si="53"/>
        <v>-0.67241838011952271</v>
      </c>
      <c r="AP30" s="87" t="s">
        <v>53</v>
      </c>
      <c r="AQ30" s="5">
        <f>AE63</f>
        <v>0</v>
      </c>
      <c r="AR30" s="30" t="str">
        <f>IF(AQ$10=0,"N.D.",AQ30/AQ$10)</f>
        <v>N.D.</v>
      </c>
      <c r="AS30" s="5">
        <f ca="1">AE95</f>
        <v>-9.8541883067254048</v>
      </c>
      <c r="AT30" s="30">
        <f ca="1">IF(AS$10=0,"N.D.",AS30/AS$10)</f>
        <v>-1.0816891664901651E-2</v>
      </c>
      <c r="AU30" s="5">
        <f ca="1">AE129</f>
        <v>-25.194528655481008</v>
      </c>
      <c r="AV30" s="30">
        <f t="shared" ca="1" si="54"/>
        <v>-1.3122150341396358E-2</v>
      </c>
      <c r="AW30" s="5">
        <f ca="1">AE163</f>
        <v>-93.329436038514473</v>
      </c>
      <c r="AX30" s="30">
        <f t="shared" ca="1" si="55"/>
        <v>-0.12873025660484755</v>
      </c>
      <c r="AY30" s="5">
        <f ca="1">AE198</f>
        <v>-55.206340452032236</v>
      </c>
      <c r="AZ30" s="30">
        <f t="shared" ca="1" si="56"/>
        <v>-6.0799934418537704E-2</v>
      </c>
      <c r="BA30" s="5">
        <f>AE232</f>
        <v>131</v>
      </c>
      <c r="BB30" s="30">
        <f t="shared" si="57"/>
        <v>0.42671009771986973</v>
      </c>
      <c r="BC30" s="5">
        <f ca="1">+BC26-BC28-BC29</f>
        <v>-52.584493452753122</v>
      </c>
      <c r="BD30" s="30">
        <f t="shared" ca="1" si="58"/>
        <v>-1.1021692192989546E-2</v>
      </c>
    </row>
    <row r="31" spans="1:56" ht="13" x14ac:dyDescent="0.3">
      <c r="A31" s="317"/>
      <c r="B31" s="7" t="s">
        <v>122</v>
      </c>
      <c r="C31" s="365">
        <f ca="1">+C18+C16</f>
        <v>276.64799999999968</v>
      </c>
      <c r="D31" s="362">
        <f ca="1">IF(C10=0,"N.D.",C31/C10)</f>
        <v>4.9321677180915451E-2</v>
      </c>
      <c r="E31" s="365">
        <f ca="1">+E18+E16</f>
        <v>185.77300000000054</v>
      </c>
      <c r="F31" s="362">
        <f ca="1">IF(E$10=0, 0, E31/$E$10)</f>
        <v>3.1127312623792282E-2</v>
      </c>
      <c r="G31" s="365">
        <f ca="1">+G18+G16</f>
        <v>139.45599999999945</v>
      </c>
      <c r="H31" s="362">
        <f ca="1">IF(G$10=0, 0, G31/$G$10)</f>
        <v>2.4034731234499507E-2</v>
      </c>
      <c r="I31" s="363">
        <f t="shared" ca="1" si="38"/>
        <v>90.874999999999147</v>
      </c>
      <c r="J31" s="364">
        <f t="shared" ca="1" si="39"/>
        <v>0.48917226938252001</v>
      </c>
      <c r="K31" s="365">
        <f t="shared" ca="1" si="40"/>
        <v>137.19200000000023</v>
      </c>
      <c r="L31" s="362">
        <f t="shared" ca="1" si="41"/>
        <v>0.98376548875631586</v>
      </c>
      <c r="N31" s="7" t="s">
        <v>122</v>
      </c>
      <c r="O31" s="5">
        <f t="shared" ca="1" si="42"/>
        <v>-33.262000000000008</v>
      </c>
      <c r="P31" s="30">
        <f t="shared" ca="1" si="43"/>
        <v>-3.8580740946945982E-2</v>
      </c>
      <c r="Q31" s="5">
        <f ca="1">C96</f>
        <v>-0.98899999999977517</v>
      </c>
      <c r="R31" s="30">
        <f t="shared" ca="1" si="44"/>
        <v>-1.1034338101488855E-3</v>
      </c>
      <c r="S31" s="5">
        <f ca="1">C130</f>
        <v>56.105999999999895</v>
      </c>
      <c r="T31" s="30">
        <f t="shared" ca="1" si="45"/>
        <v>3.006731464357424E-2</v>
      </c>
      <c r="U31" s="5">
        <f ca="1">C164</f>
        <v>-59.621999999999957</v>
      </c>
      <c r="V31" s="30">
        <f t="shared" ca="1" si="46"/>
        <v>-8.6327372764786733E-2</v>
      </c>
      <c r="W31" s="5">
        <f ca="1">C199</f>
        <v>-14.527000000000147</v>
      </c>
      <c r="X31" s="30">
        <f t="shared" ca="1" si="47"/>
        <v>-1.5678981832153997E-2</v>
      </c>
      <c r="Y31" s="5">
        <f ca="1">C233</f>
        <v>328.94200000000001</v>
      </c>
      <c r="Z31" s="30">
        <f t="shared" ca="1" si="48"/>
        <v>0.89524592305515027</v>
      </c>
      <c r="AA31" s="5">
        <f ca="1">AA18+AA16</f>
        <v>276.64800000000002</v>
      </c>
      <c r="AB31" s="30">
        <f t="shared" ca="1" si="49"/>
        <v>4.9321677180915513E-2</v>
      </c>
      <c r="AD31" s="7" t="s">
        <v>122</v>
      </c>
      <c r="AE31" s="337">
        <f ca="1">+AE18+AE16</f>
        <v>211.41550654724688</v>
      </c>
      <c r="AF31" s="334">
        <f ca="1">IF(AE10=0,"N.D.",AE31/AE10)</f>
        <v>4.4312619272112108E-2</v>
      </c>
      <c r="AG31" s="337">
        <f ca="1">+AG18+AG16</f>
        <v>212.13200000000006</v>
      </c>
      <c r="AH31" s="334">
        <f ca="1">IF(AG$10=0, 0, AG31/$E$10)</f>
        <v>3.5543911556094196E-2</v>
      </c>
      <c r="AI31" s="337">
        <f ca="1">+AI18+AI16</f>
        <v>194.73124700000045</v>
      </c>
      <c r="AJ31" s="334">
        <f ca="1">IF(AI$10=0, 0, AI31/$G$10)</f>
        <v>3.3561217764771452E-2</v>
      </c>
      <c r="AK31" s="335">
        <f t="shared" ca="1" si="50"/>
        <v>-0.7164934527531841</v>
      </c>
      <c r="AL31" s="336">
        <f t="shared" ca="1" si="51"/>
        <v>-3.3775830744686708E-3</v>
      </c>
      <c r="AM31" s="337">
        <f t="shared" ca="1" si="52"/>
        <v>16.684259547246427</v>
      </c>
      <c r="AN31" s="334">
        <f t="shared" ca="1" si="53"/>
        <v>8.5678389083835071E-2</v>
      </c>
      <c r="AP31" s="7" t="s">
        <v>122</v>
      </c>
      <c r="AQ31" s="5">
        <f>AE64</f>
        <v>0</v>
      </c>
      <c r="AR31" s="30" t="str">
        <f t="shared" ref="AR31:AT36" si="59">IF(AQ$10=0,"N.D.",AQ31/AQ$10)</f>
        <v>N.D.</v>
      </c>
      <c r="AS31" s="5">
        <f ca="1">AE96</f>
        <v>-11.854188306725405</v>
      </c>
      <c r="AT31" s="30">
        <f ca="1">IF(AS$10=0,"N.D.",AS31/AS$10)</f>
        <v>-1.3012281346570148E-2</v>
      </c>
      <c r="AU31" s="5">
        <f ca="1">AE130</f>
        <v>38.805471344518992</v>
      </c>
      <c r="AV31" s="30">
        <f t="shared" ca="1" si="54"/>
        <v>2.0211182991936975E-2</v>
      </c>
      <c r="AW31" s="5">
        <f ca="1">AE164</f>
        <v>-72.329436038514473</v>
      </c>
      <c r="AX31" s="30">
        <f t="shared" ca="1" si="55"/>
        <v>-9.9764739363468233E-2</v>
      </c>
      <c r="AY31" s="5">
        <f ca="1">AE199</f>
        <v>-18.206340452032236</v>
      </c>
      <c r="AZ31" s="30">
        <f t="shared" ca="1" si="56"/>
        <v>-2.005103574012361E-2</v>
      </c>
      <c r="BA31" s="5">
        <f>AE233</f>
        <v>275</v>
      </c>
      <c r="BB31" s="30">
        <f t="shared" si="57"/>
        <v>0.89576547231270354</v>
      </c>
      <c r="BC31" s="5">
        <f ca="1">BC18+BC16</f>
        <v>211.41550654724688</v>
      </c>
      <c r="BD31" s="30">
        <f t="shared" ca="1" si="58"/>
        <v>4.4312619272112108E-2</v>
      </c>
    </row>
    <row r="32" spans="1:56" x14ac:dyDescent="0.25">
      <c r="A32" s="317"/>
      <c r="B32" s="1" t="s">
        <v>194</v>
      </c>
      <c r="C32" s="373">
        <f ca="1">+C65+C97+C131+C165+C200+C234</f>
        <v>0</v>
      </c>
      <c r="D32" s="324">
        <f ca="1">IF(C$10=0, 0, C32/C$10)</f>
        <v>0</v>
      </c>
      <c r="E32" s="447">
        <f t="shared" ref="E32:E33" ca="1" si="60">+E65+E97+E131+E165+E200+E234</f>
        <v>0</v>
      </c>
      <c r="F32" s="324">
        <f ca="1">IF(E$10=0, 0, E32/E$10)</f>
        <v>0</v>
      </c>
      <c r="G32" s="447">
        <f t="shared" ref="G32:G33" ca="1" si="61">+G65+G97+G131+G165+G200+G234</f>
        <v>0</v>
      </c>
      <c r="H32" s="324">
        <f ca="1">IF(G$10=0, 0, G32/G$10)</f>
        <v>0</v>
      </c>
      <c r="I32" s="370">
        <f t="shared" ca="1" si="38"/>
        <v>0</v>
      </c>
      <c r="J32" s="326" t="str">
        <f t="shared" ca="1" si="39"/>
        <v>N.D.</v>
      </c>
      <c r="K32" s="370">
        <f t="shared" ca="1" si="40"/>
        <v>0</v>
      </c>
      <c r="L32" s="324" t="str">
        <f t="shared" ca="1" si="41"/>
        <v>N.D.</v>
      </c>
      <c r="N32" s="1" t="s">
        <v>194</v>
      </c>
      <c r="O32" s="3">
        <f t="shared" ca="1" si="42"/>
        <v>0</v>
      </c>
      <c r="P32" s="78">
        <f t="shared" ca="1" si="43"/>
        <v>0</v>
      </c>
      <c r="Q32" s="3">
        <f t="shared" ref="Q32:Q33" ca="1" si="62">C97</f>
        <v>0</v>
      </c>
      <c r="R32" s="78">
        <f t="shared" ca="1" si="44"/>
        <v>0</v>
      </c>
      <c r="S32" s="3">
        <f t="shared" ref="S32:S33" ca="1" si="63">C131</f>
        <v>0</v>
      </c>
      <c r="T32" s="78">
        <f t="shared" ca="1" si="45"/>
        <v>0</v>
      </c>
      <c r="U32" s="3">
        <f t="shared" ref="U32:U33" ca="1" si="64">C165</f>
        <v>0</v>
      </c>
      <c r="V32" s="78">
        <f t="shared" ca="1" si="46"/>
        <v>0</v>
      </c>
      <c r="W32" s="3">
        <f t="shared" ref="W32:W33" ca="1" si="65">C200</f>
        <v>0</v>
      </c>
      <c r="X32" s="78">
        <f t="shared" ca="1" si="47"/>
        <v>0</v>
      </c>
      <c r="Y32" s="3">
        <f t="shared" ref="Y32:Y33" ca="1" si="66">C234</f>
        <v>0</v>
      </c>
      <c r="Z32" s="78">
        <f t="shared" ca="1" si="48"/>
        <v>0</v>
      </c>
      <c r="AA32" s="3">
        <f t="shared" ref="AA32:AA33" ca="1" si="67">+O32+Q32+S32+U32+W32+Y32</f>
        <v>0</v>
      </c>
      <c r="AB32" s="78">
        <f t="shared" ca="1" si="49"/>
        <v>0</v>
      </c>
      <c r="AD32" s="1" t="s">
        <v>194</v>
      </c>
      <c r="AE32" s="373">
        <f t="shared" ref="AE32:AG33" si="68">+AE65+AE97+AE131+AE165+AE200+AE234</f>
        <v>0</v>
      </c>
      <c r="AF32" s="324">
        <f>IF(AE$10=0, 0, AE32/AE$10)</f>
        <v>0</v>
      </c>
      <c r="AG32" s="373">
        <f t="shared" si="68"/>
        <v>0</v>
      </c>
      <c r="AH32" s="324">
        <f ca="1">IF(AG$10=0, 0, AG32/AG$10)</f>
        <v>0</v>
      </c>
      <c r="AI32" s="373">
        <f t="shared" ref="AI32" ca="1" si="69">+AI65+AI97+AI131+AI165+AI200+AI234</f>
        <v>0</v>
      </c>
      <c r="AJ32" s="324">
        <f ca="1">IF(AI$10=0, 0, AI32/AI$10)</f>
        <v>0</v>
      </c>
      <c r="AK32" s="370">
        <f t="shared" si="50"/>
        <v>0</v>
      </c>
      <c r="AL32" s="326" t="str">
        <f t="shared" si="51"/>
        <v>N.D.</v>
      </c>
      <c r="AM32" s="370">
        <f t="shared" ca="1" si="52"/>
        <v>0</v>
      </c>
      <c r="AN32" s="324" t="str">
        <f t="shared" ca="1" si="53"/>
        <v>N.D.</v>
      </c>
      <c r="AP32" s="1" t="s">
        <v>194</v>
      </c>
      <c r="AQ32" s="3"/>
      <c r="AR32" s="78" t="str">
        <f t="shared" si="59"/>
        <v>N.D.</v>
      </c>
      <c r="AS32" s="3"/>
      <c r="AT32" s="78">
        <f t="shared" si="59"/>
        <v>0</v>
      </c>
      <c r="AU32" s="3"/>
      <c r="AV32" s="78">
        <f t="shared" si="54"/>
        <v>0</v>
      </c>
      <c r="AW32" s="3"/>
      <c r="AX32" s="78">
        <f t="shared" si="55"/>
        <v>0</v>
      </c>
      <c r="AY32" s="3"/>
      <c r="AZ32" s="78">
        <f t="shared" si="56"/>
        <v>0</v>
      </c>
      <c r="BA32" s="3"/>
      <c r="BB32" s="78">
        <f t="shared" si="57"/>
        <v>0</v>
      </c>
      <c r="BC32" s="3"/>
      <c r="BD32" s="78">
        <f t="shared" si="58"/>
        <v>0</v>
      </c>
    </row>
    <row r="33" spans="1:56" x14ac:dyDescent="0.25">
      <c r="A33" s="317"/>
      <c r="B33" s="1" t="s">
        <v>123</v>
      </c>
      <c r="C33" s="408">
        <f ca="1">+C66+C98+C132+C166+C201+C235</f>
        <v>0</v>
      </c>
      <c r="D33" s="329">
        <f ca="1">IF(C$10=0, 0, C33/C$10)</f>
        <v>0</v>
      </c>
      <c r="E33" s="448">
        <f t="shared" ca="1" si="60"/>
        <v>0</v>
      </c>
      <c r="F33" s="329">
        <f ca="1">IF(E$10=0, 0, E33/E$10)</f>
        <v>0</v>
      </c>
      <c r="G33" s="448">
        <f t="shared" ca="1" si="61"/>
        <v>0</v>
      </c>
      <c r="H33" s="329">
        <f ca="1">IF(G$10=0, 0, G33/G$10)</f>
        <v>0</v>
      </c>
      <c r="I33" s="371">
        <f t="shared" ca="1" si="38"/>
        <v>0</v>
      </c>
      <c r="J33" s="372" t="str">
        <f t="shared" ca="1" si="39"/>
        <v>N.D.</v>
      </c>
      <c r="K33" s="371">
        <f t="shared" ca="1" si="40"/>
        <v>0</v>
      </c>
      <c r="L33" s="329" t="str">
        <f t="shared" ca="1" si="41"/>
        <v>N.D.</v>
      </c>
      <c r="N33" s="1" t="s">
        <v>123</v>
      </c>
      <c r="O33" s="4">
        <f t="shared" ca="1" si="42"/>
        <v>0</v>
      </c>
      <c r="P33" s="79">
        <f t="shared" ca="1" si="43"/>
        <v>0</v>
      </c>
      <c r="Q33" s="4">
        <f t="shared" ca="1" si="62"/>
        <v>0</v>
      </c>
      <c r="R33" s="79">
        <f t="shared" ca="1" si="44"/>
        <v>0</v>
      </c>
      <c r="S33" s="4">
        <f t="shared" ca="1" si="63"/>
        <v>0</v>
      </c>
      <c r="T33" s="79">
        <f t="shared" ca="1" si="45"/>
        <v>0</v>
      </c>
      <c r="U33" s="4">
        <f t="shared" ca="1" si="64"/>
        <v>0</v>
      </c>
      <c r="V33" s="79">
        <f t="shared" ca="1" si="46"/>
        <v>0</v>
      </c>
      <c r="W33" s="4">
        <f t="shared" ca="1" si="65"/>
        <v>0</v>
      </c>
      <c r="X33" s="79">
        <f t="shared" ca="1" si="47"/>
        <v>0</v>
      </c>
      <c r="Y33" s="4">
        <f t="shared" ca="1" si="66"/>
        <v>0</v>
      </c>
      <c r="Z33" s="79">
        <f t="shared" ca="1" si="48"/>
        <v>0</v>
      </c>
      <c r="AA33" s="4">
        <f t="shared" ca="1" si="67"/>
        <v>0</v>
      </c>
      <c r="AB33" s="79">
        <f t="shared" ca="1" si="49"/>
        <v>0</v>
      </c>
      <c r="AD33" s="1" t="s">
        <v>123</v>
      </c>
      <c r="AE33" s="408">
        <f t="shared" si="68"/>
        <v>0</v>
      </c>
      <c r="AF33" s="329">
        <f>IF(AE$10=0, 0, AE33/AE$10)</f>
        <v>0</v>
      </c>
      <c r="AG33" s="408">
        <f t="shared" si="68"/>
        <v>0</v>
      </c>
      <c r="AH33" s="329">
        <f ca="1">IF(AG$10=0, 0, AG33/AG$10)</f>
        <v>0</v>
      </c>
      <c r="AI33" s="408">
        <f t="shared" ref="AI33" ca="1" si="70">+AI66+AI98+AI132+AI166+AI201+AI235</f>
        <v>0</v>
      </c>
      <c r="AJ33" s="329">
        <f ca="1">IF(AI$10=0, 0, AI33/AI$10)</f>
        <v>0</v>
      </c>
      <c r="AK33" s="371">
        <f t="shared" si="50"/>
        <v>0</v>
      </c>
      <c r="AL33" s="372" t="str">
        <f t="shared" si="51"/>
        <v>N.D.</v>
      </c>
      <c r="AM33" s="371">
        <f t="shared" ca="1" si="52"/>
        <v>0</v>
      </c>
      <c r="AN33" s="329" t="str">
        <f t="shared" ca="1" si="53"/>
        <v>N.D.</v>
      </c>
      <c r="AP33" s="1" t="s">
        <v>123</v>
      </c>
      <c r="AQ33" s="4"/>
      <c r="AR33" s="79" t="str">
        <f t="shared" si="59"/>
        <v>N.D.</v>
      </c>
      <c r="AS33" s="4"/>
      <c r="AT33" s="79">
        <f t="shared" si="59"/>
        <v>0</v>
      </c>
      <c r="AU33" s="4"/>
      <c r="AV33" s="79">
        <f t="shared" si="54"/>
        <v>0</v>
      </c>
      <c r="AW33" s="4"/>
      <c r="AX33" s="79">
        <f t="shared" si="55"/>
        <v>0</v>
      </c>
      <c r="AY33" s="4"/>
      <c r="AZ33" s="79">
        <f t="shared" si="56"/>
        <v>0</v>
      </c>
      <c r="BA33" s="4"/>
      <c r="BB33" s="79">
        <f t="shared" si="57"/>
        <v>0</v>
      </c>
      <c r="BC33" s="4"/>
      <c r="BD33" s="79">
        <f t="shared" si="58"/>
        <v>0</v>
      </c>
    </row>
    <row r="34" spans="1:56" ht="13" x14ac:dyDescent="0.3">
      <c r="A34" s="317"/>
      <c r="B34" s="7" t="s">
        <v>190</v>
      </c>
      <c r="C34" s="410">
        <f ca="1">+C30+C16+C32+C33</f>
        <v>147.79399999999973</v>
      </c>
      <c r="D34" s="334">
        <f ca="1">IF(C10=0,"N.D.",C34/C10)</f>
        <v>2.6349180031217334E-2</v>
      </c>
      <c r="E34" s="410">
        <f ca="1">+E30+E16+E32+E33</f>
        <v>64.524000000000513</v>
      </c>
      <c r="F34" s="334">
        <f ca="1">IF(E10=0,"N.D.",E34/E10)</f>
        <v>1.0811359668722492E-2</v>
      </c>
      <c r="G34" s="410">
        <f ca="1">+G30+G16+G32+G33</f>
        <v>4.4479999999994106</v>
      </c>
      <c r="H34" s="334">
        <f ca="1">IF(G10=0,"N.D.",G34/G10)</f>
        <v>7.6659652170605827E-4</v>
      </c>
      <c r="I34" s="367">
        <f t="shared" ca="1" si="38"/>
        <v>83.269999999999214</v>
      </c>
      <c r="J34" s="368">
        <f t="shared" ca="1" si="39"/>
        <v>1.2905275556381897</v>
      </c>
      <c r="K34" s="369">
        <f t="shared" ca="1" si="40"/>
        <v>143.34600000000032</v>
      </c>
      <c r="L34" s="366">
        <f t="shared" ca="1" si="41"/>
        <v>32.227068345328085</v>
      </c>
      <c r="N34" s="7" t="s">
        <v>190</v>
      </c>
      <c r="O34" s="5">
        <f ca="1">+O30+O16+O32+O33</f>
        <v>-39.782000000000011</v>
      </c>
      <c r="P34" s="105">
        <f t="shared" ca="1" si="43"/>
        <v>-4.6143317790614063E-2</v>
      </c>
      <c r="Q34" s="5">
        <f ca="1">+Q30+Q16+Q32+Q33</f>
        <v>3.4860000000002245</v>
      </c>
      <c r="R34" s="105">
        <f t="shared" ca="1" si="44"/>
        <v>3.8893531467948808E-3</v>
      </c>
      <c r="S34" s="5">
        <f ca="1">+S30+S16+S32+S33</f>
        <v>-20.260000000000119</v>
      </c>
      <c r="T34" s="105">
        <f t="shared" ca="1" si="45"/>
        <v>-1.0857373448095013E-2</v>
      </c>
      <c r="U34" s="5">
        <f ca="1">+U30+U16+U32+U33</f>
        <v>-50.558999999999955</v>
      </c>
      <c r="V34" s="105">
        <f t="shared" ca="1" si="46"/>
        <v>-7.3204951856946296E-2</v>
      </c>
      <c r="W34" s="5">
        <f ca="1">+W30+W16+W32+W33</f>
        <v>-4.4460000000001472</v>
      </c>
      <c r="X34" s="105">
        <f t="shared" ca="1" si="47"/>
        <v>-4.798564963568409E-3</v>
      </c>
      <c r="Y34" s="5">
        <f ca="1">+Y30+Y16+Y32+Y33</f>
        <v>229.35500000000005</v>
      </c>
      <c r="Z34" s="105">
        <f t="shared" ca="1" si="48"/>
        <v>0.62421073831348395</v>
      </c>
      <c r="AA34" s="5">
        <f ca="1">+AA30+AA16+AA32+AA33</f>
        <v>117.79400000000004</v>
      </c>
      <c r="AB34" s="105">
        <f t="shared" ca="1" si="49"/>
        <v>2.1000685498715924E-2</v>
      </c>
      <c r="AD34" s="7" t="s">
        <v>190</v>
      </c>
      <c r="AE34" s="410">
        <f ca="1">+AE30+AE16+AE32+AE33</f>
        <v>91.415506547246878</v>
      </c>
      <c r="AF34" s="334">
        <f ca="1">IF(AE10=0,"N.D.",AE34/AE10)</f>
        <v>1.916065951524772E-2</v>
      </c>
      <c r="AG34" s="410">
        <f ca="1">+AG30+AG16+AG32+AG33</f>
        <v>95.851000000000056</v>
      </c>
      <c r="AH34" s="334">
        <f ca="1">IF(AG10=0,"N.D.",AG34/AG10)</f>
        <v>1.9238809442232902E-2</v>
      </c>
      <c r="AI34" s="410">
        <f ca="1">+AI30+AI16+AI32+AI33</f>
        <v>59.500907000000467</v>
      </c>
      <c r="AJ34" s="334">
        <f ca="1">IF(AI10=0,"N.D.",AI34/AI10)</f>
        <v>1.2247080972815738E-2</v>
      </c>
      <c r="AK34" s="367">
        <f t="shared" ca="1" si="50"/>
        <v>-4.4354934527531782</v>
      </c>
      <c r="AL34" s="368">
        <f t="shared" ca="1" si="51"/>
        <v>-4.6274879268376701E-2</v>
      </c>
      <c r="AM34" s="369">
        <f t="shared" ca="1" si="52"/>
        <v>31.914599547246411</v>
      </c>
      <c r="AN34" s="366">
        <f t="shared" ca="1" si="53"/>
        <v>0.53637164803632587</v>
      </c>
      <c r="AP34" s="7" t="s">
        <v>190</v>
      </c>
      <c r="AQ34" s="5">
        <f>+AQ30+AQ16+AQ32+AQ33</f>
        <v>0</v>
      </c>
      <c r="AR34" s="105" t="str">
        <f t="shared" si="59"/>
        <v>N.D.</v>
      </c>
      <c r="AS34" s="5">
        <f ca="1">+AS30+AS16+AS32+AS33</f>
        <v>-9.8541883067254048</v>
      </c>
      <c r="AT34" s="105">
        <f t="shared" ca="1" si="59"/>
        <v>-1.0816891664901651E-2</v>
      </c>
      <c r="AU34" s="5">
        <f ca="1">+AU30+AU16+AU32+AU33</f>
        <v>-16.194528655481008</v>
      </c>
      <c r="AV34" s="105">
        <f t="shared" ca="1" si="54"/>
        <v>-8.4346503413963592E-3</v>
      </c>
      <c r="AW34" s="5">
        <f ca="1">+AW30+AW16+AW32+AW33</f>
        <v>-65.329436038514473</v>
      </c>
      <c r="AX34" s="105">
        <f t="shared" ca="1" si="55"/>
        <v>-9.0109566949675132E-2</v>
      </c>
      <c r="AY34" s="5">
        <f ca="1">+AY30+AY16+AY32+AY33</f>
        <v>-11.206340452032236</v>
      </c>
      <c r="AZ34" s="105">
        <f t="shared" ca="1" si="56"/>
        <v>-1.2341784638802023E-2</v>
      </c>
      <c r="BA34" s="5">
        <f>+BA30+BA16+BA32+BA33</f>
        <v>194</v>
      </c>
      <c r="BB34" s="105">
        <f t="shared" si="57"/>
        <v>0.63192182410423448</v>
      </c>
      <c r="BC34" s="5">
        <f ca="1">+BC30+BC16+BC32+BC33</f>
        <v>91.415506547246878</v>
      </c>
      <c r="BD34" s="105">
        <f t="shared" ca="1" si="58"/>
        <v>1.916065951524772E-2</v>
      </c>
    </row>
    <row r="35" spans="1:56" ht="13" x14ac:dyDescent="0.3">
      <c r="B35" s="7" t="s">
        <v>191</v>
      </c>
      <c r="C35" s="381">
        <f ca="1">+C68+C100+C134+C168+C203+C237</f>
        <v>130.41406000000001</v>
      </c>
      <c r="D35" s="329">
        <f ca="1">IF(C$10=0, 0, C35/C$10)</f>
        <v>2.3250629562377268E-2</v>
      </c>
      <c r="E35" s="381">
        <f ca="1">+E68+E100+E134+E168+E203+E237</f>
        <v>130.41406000000001</v>
      </c>
      <c r="F35" s="329">
        <f ca="1">IF(E$10=0, 0, E35/E$10)</f>
        <v>2.1851610385567294E-2</v>
      </c>
      <c r="G35" s="381">
        <f ca="1">+G68+G100+G134+G168+G203+G237</f>
        <v>226.48117000000002</v>
      </c>
      <c r="H35" s="329">
        <f ca="1">IF(G$10=0, 0, G35/G$10)</f>
        <v>3.9033200798997643E-2</v>
      </c>
      <c r="I35" s="335">
        <f t="shared" ca="1" si="38"/>
        <v>0</v>
      </c>
      <c r="J35" s="336">
        <f t="shared" ca="1" si="39"/>
        <v>0</v>
      </c>
      <c r="K35" s="337">
        <f t="shared" ca="1" si="40"/>
        <v>-96.067110000000014</v>
      </c>
      <c r="L35" s="334">
        <f t="shared" ca="1" si="41"/>
        <v>-0.42417261443854248</v>
      </c>
      <c r="N35" s="7" t="s">
        <v>191</v>
      </c>
      <c r="O35" s="106">
        <f ca="1">C68</f>
        <v>0</v>
      </c>
      <c r="P35" s="105">
        <f t="shared" ca="1" si="43"/>
        <v>0</v>
      </c>
      <c r="Q35" s="106">
        <f ca="1">C100</f>
        <v>1.18232</v>
      </c>
      <c r="R35" s="105">
        <f t="shared" ca="1" si="44"/>
        <v>1.3191222066891071E-3</v>
      </c>
      <c r="S35" s="106">
        <f ca="1">C134</f>
        <v>26.790389999999999</v>
      </c>
      <c r="T35" s="105">
        <f t="shared" ca="1" si="45"/>
        <v>1.435702216436863E-2</v>
      </c>
      <c r="U35" s="106">
        <f ca="1">C168</f>
        <v>0</v>
      </c>
      <c r="V35" s="105">
        <f t="shared" ca="1" si="46"/>
        <v>0</v>
      </c>
      <c r="W35" s="106">
        <f ca="1">C203</f>
        <v>0</v>
      </c>
      <c r="X35" s="105">
        <f t="shared" ca="1" si="47"/>
        <v>0</v>
      </c>
      <c r="Y35" s="106">
        <v>0</v>
      </c>
      <c r="Z35" s="105">
        <f t="shared" ca="1" si="48"/>
        <v>0</v>
      </c>
      <c r="AA35" s="106">
        <f ca="1">+O35+Q35+S35+U35+W35+Y35</f>
        <v>27.972709999999999</v>
      </c>
      <c r="AB35" s="36">
        <f t="shared" ca="1" si="49"/>
        <v>4.9870628831416349E-3</v>
      </c>
      <c r="AD35" s="7" t="s">
        <v>191</v>
      </c>
      <c r="AE35" s="381">
        <f>+AE68+AE100+AE134+AE168+AE203+AE237</f>
        <v>130</v>
      </c>
      <c r="AF35" s="329">
        <f>IF(AE$10=0, 0, AE35/AE$10)</f>
        <v>2.7247956403269755E-2</v>
      </c>
      <c r="AG35" s="381">
        <f ca="1">+AG68+AG100+AG134+AG168+AG203+AG237</f>
        <v>130.41406000000001</v>
      </c>
      <c r="AH35" s="329">
        <f ca="1">IF(AG$10=0, 0, AG35/AG$10)</f>
        <v>2.6176161426880545E-2</v>
      </c>
      <c r="AI35" s="381">
        <f ca="1">+AI68+AI100+AI134+AI168+AI203+AI237</f>
        <v>192.08190999999999</v>
      </c>
      <c r="AJ35" s="329">
        <f ca="1">IF(AI$10=0, 0, AI35/AI$10)</f>
        <v>3.9536249509324058E-2</v>
      </c>
      <c r="AK35" s="335">
        <f t="shared" ca="1" si="50"/>
        <v>-0.41406000000000631</v>
      </c>
      <c r="AL35" s="336">
        <f t="shared" ca="1" si="51"/>
        <v>-3.1749644171802371E-3</v>
      </c>
      <c r="AM35" s="337">
        <f t="shared" ca="1" si="52"/>
        <v>-62.081909999999993</v>
      </c>
      <c r="AN35" s="334">
        <f t="shared" ca="1" si="53"/>
        <v>-0.32320539711417906</v>
      </c>
      <c r="AP35" s="7" t="s">
        <v>191</v>
      </c>
      <c r="AQ35" s="106"/>
      <c r="AR35" s="105" t="str">
        <f t="shared" si="59"/>
        <v>N.D.</v>
      </c>
      <c r="AS35" s="106"/>
      <c r="AT35" s="105">
        <f t="shared" si="59"/>
        <v>0</v>
      </c>
      <c r="AU35" s="106"/>
      <c r="AV35" s="105">
        <f t="shared" si="54"/>
        <v>0</v>
      </c>
      <c r="AW35" s="106"/>
      <c r="AX35" s="105">
        <f t="shared" si="55"/>
        <v>0</v>
      </c>
      <c r="AY35" s="106"/>
      <c r="AZ35" s="105">
        <f t="shared" si="56"/>
        <v>0</v>
      </c>
      <c r="BA35" s="106"/>
      <c r="BB35" s="105">
        <f t="shared" si="57"/>
        <v>0</v>
      </c>
      <c r="BC35" s="106"/>
      <c r="BD35" s="105">
        <f t="shared" si="58"/>
        <v>0</v>
      </c>
    </row>
    <row r="36" spans="1:56" ht="13" x14ac:dyDescent="0.3">
      <c r="A36" s="316"/>
      <c r="B36" s="7" t="s">
        <v>84</v>
      </c>
      <c r="C36" s="381">
        <f ca="1">C34-C35</f>
        <v>17.379939999999721</v>
      </c>
      <c r="D36" s="334">
        <f ca="1">IF(C10=0,"N.D.",C36/C10)</f>
        <v>3.0985504688400673E-3</v>
      </c>
      <c r="E36" s="381">
        <f ca="1">E34-E35</f>
        <v>-65.890059999999494</v>
      </c>
      <c r="F36" s="334">
        <f ca="1">IF(E10=0,"N.D.",E36/E10)</f>
        <v>-1.1040250716844802E-2</v>
      </c>
      <c r="G36" s="381">
        <f ca="1">G34-G35</f>
        <v>-222.03317000000061</v>
      </c>
      <c r="H36" s="334">
        <f ca="1">IF(G10=0,"N.D.",G36/G10)</f>
        <v>-3.8266604277291581E-2</v>
      </c>
      <c r="I36" s="335">
        <f t="shared" ca="1" si="38"/>
        <v>83.269999999999214</v>
      </c>
      <c r="J36" s="336">
        <f t="shared" ca="1" si="39"/>
        <v>-1.2637718041234118</v>
      </c>
      <c r="K36" s="337">
        <f t="shared" ca="1" si="40"/>
        <v>239.41311000000033</v>
      </c>
      <c r="L36" s="334">
        <f t="shared" ca="1" si="41"/>
        <v>-1.0782763224071417</v>
      </c>
      <c r="N36" s="7" t="s">
        <v>84</v>
      </c>
      <c r="O36" s="5">
        <f ca="1">O34-O35</f>
        <v>-39.782000000000011</v>
      </c>
      <c r="P36" s="105">
        <f t="shared" ca="1" si="43"/>
        <v>-4.6143317790614063E-2</v>
      </c>
      <c r="Q36" s="5">
        <f ca="1">Q34-Q35</f>
        <v>2.3036800000002247</v>
      </c>
      <c r="R36" s="105">
        <f t="shared" ca="1" si="44"/>
        <v>2.5702309401057738E-3</v>
      </c>
      <c r="S36" s="5">
        <f ca="1">S34-S35</f>
        <v>-47.050390000000121</v>
      </c>
      <c r="T36" s="105">
        <f t="shared" ca="1" si="45"/>
        <v>-2.5214395612463646E-2</v>
      </c>
      <c r="U36" s="5">
        <f ca="1">U34-U35</f>
        <v>-50.558999999999955</v>
      </c>
      <c r="V36" s="105">
        <f t="shared" ca="1" si="46"/>
        <v>-7.3204951856946296E-2</v>
      </c>
      <c r="W36" s="5">
        <f ca="1">W34-W35</f>
        <v>-4.4460000000001472</v>
      </c>
      <c r="X36" s="105">
        <f t="shared" ca="1" si="47"/>
        <v>-4.798564963568409E-3</v>
      </c>
      <c r="Y36" s="5">
        <f ca="1">Y34-Y35</f>
        <v>229.35500000000005</v>
      </c>
      <c r="Z36" s="105">
        <f t="shared" ca="1" si="48"/>
        <v>0.62421073831348395</v>
      </c>
      <c r="AA36" s="5">
        <f ca="1">AA34-AA35</f>
        <v>89.821290000000033</v>
      </c>
      <c r="AB36" s="36">
        <f t="shared" ca="1" si="49"/>
        <v>1.6013622615574288E-2</v>
      </c>
      <c r="AD36" s="7" t="s">
        <v>84</v>
      </c>
      <c r="AE36" s="381">
        <f ca="1">AE34-AE35</f>
        <v>-38.584493452753122</v>
      </c>
      <c r="AF36" s="334">
        <f ca="1">IF(AE10=0,"N.D.",AE36/AE10)</f>
        <v>-8.0872968880220334E-3</v>
      </c>
      <c r="AG36" s="381">
        <f ca="1">AG34-AG35</f>
        <v>-34.56305999999995</v>
      </c>
      <c r="AH36" s="334">
        <f ca="1">IF(AG10=0,"N.D.",AG36/AG10)</f>
        <v>-6.9373519846476408E-3</v>
      </c>
      <c r="AI36" s="381">
        <f ca="1">AI34-AI35</f>
        <v>-132.58100299999953</v>
      </c>
      <c r="AJ36" s="334">
        <f ca="1">IF(AI10=0,"N.D.",AI36/AI10)</f>
        <v>-2.7289168536508323E-2</v>
      </c>
      <c r="AK36" s="335">
        <f t="shared" ca="1" si="50"/>
        <v>-4.0214334527531719</v>
      </c>
      <c r="AL36" s="336">
        <f t="shared" ca="1" si="51"/>
        <v>0.11635061978751815</v>
      </c>
      <c r="AM36" s="337">
        <f t="shared" ca="1" si="52"/>
        <v>93.996509547246404</v>
      </c>
      <c r="AN36" s="334">
        <f t="shared" ca="1" si="53"/>
        <v>-0.70897419253380323</v>
      </c>
      <c r="AP36" s="7" t="s">
        <v>84</v>
      </c>
      <c r="AQ36" s="5">
        <f>AQ34-AQ35</f>
        <v>0</v>
      </c>
      <c r="AR36" s="105" t="str">
        <f t="shared" si="59"/>
        <v>N.D.</v>
      </c>
      <c r="AS36" s="5">
        <f ca="1">AS34-AS35</f>
        <v>-9.8541883067254048</v>
      </c>
      <c r="AT36" s="105">
        <f t="shared" ca="1" si="59"/>
        <v>-1.0816891664901651E-2</v>
      </c>
      <c r="AU36" s="5">
        <f ca="1">AU34-AU35</f>
        <v>-16.194528655481008</v>
      </c>
      <c r="AV36" s="105">
        <f t="shared" ca="1" si="54"/>
        <v>-8.4346503413963592E-3</v>
      </c>
      <c r="AW36" s="5">
        <f ca="1">AW34-AW35</f>
        <v>-65.329436038514473</v>
      </c>
      <c r="AX36" s="105">
        <f t="shared" ca="1" si="55"/>
        <v>-9.0109566949675132E-2</v>
      </c>
      <c r="AY36" s="5">
        <f ca="1">AY34-AY35</f>
        <v>-11.206340452032236</v>
      </c>
      <c r="AZ36" s="105">
        <f t="shared" ca="1" si="56"/>
        <v>-1.2341784638802023E-2</v>
      </c>
      <c r="BA36" s="5">
        <f>BA34-BA35</f>
        <v>194</v>
      </c>
      <c r="BB36" s="105">
        <f t="shared" si="57"/>
        <v>0.63192182410423448</v>
      </c>
      <c r="BC36" s="5">
        <f ca="1">BC34-BC35</f>
        <v>91.415506547246878</v>
      </c>
      <c r="BD36" s="105">
        <f ca="1">IF(BC$10=0,"N.D.",BC36/BC$10)</f>
        <v>1.916065951524772E-2</v>
      </c>
    </row>
    <row r="37" spans="1:56" x14ac:dyDescent="0.25">
      <c r="A37" s="316"/>
      <c r="B37" s="1" t="s">
        <v>193</v>
      </c>
      <c r="C37" s="412">
        <f ca="1">IF(C35=0,"N.D.",(C34-C32-C33)/C35)</f>
        <v>1.1332673792994383</v>
      </c>
      <c r="E37" s="412">
        <f ca="1">IF(E35=0,"N.D.",(E34-E32-E33)/E35)</f>
        <v>0.4947626045842029</v>
      </c>
      <c r="G37" s="412">
        <f ca="1">IF(G35=0,"N.D.",(G34-G32-G33)/G35)</f>
        <v>1.9639601826498026E-2</v>
      </c>
      <c r="N37" s="1" t="s">
        <v>193</v>
      </c>
      <c r="O37" s="107" t="str">
        <f ca="1">IF(O35=0,"N.D.",(O34-O32-O33)/O35)</f>
        <v>N.D.</v>
      </c>
      <c r="P37" s="108"/>
      <c r="Q37" s="107">
        <f ca="1">IF(Q35=0,"N.D.",(Q34-Q32-Q33)/Q35)</f>
        <v>2.9484403545573317</v>
      </c>
      <c r="R37" s="108"/>
      <c r="S37" s="107">
        <f ca="1">IF(S35=0,"N.D.",(S34-S32-S33)/S35)</f>
        <v>-0.75624132384784692</v>
      </c>
      <c r="T37" s="108"/>
      <c r="U37" s="107" t="str">
        <f ca="1">IF(U35=0,"N.D.",(U34-U32-U33)/U35)</f>
        <v>N.D.</v>
      </c>
      <c r="V37" s="108"/>
      <c r="W37" s="107" t="str">
        <f ca="1">IF(W35=0,"N.D.",(W34-W32-W33)/W35)</f>
        <v>N.D.</v>
      </c>
      <c r="X37" s="108"/>
      <c r="Y37" s="107" t="str">
        <f>IF(Y35=0,"N.D.",(Y34-Y32-Y33)/Y35)</f>
        <v>N.D.</v>
      </c>
      <c r="Z37" s="108"/>
      <c r="AA37" s="107">
        <f ca="1">IF(AA35=0,"N.D.",(AA34-AA32-AA33)/AA35)</f>
        <v>4.2110328244921584</v>
      </c>
      <c r="AD37" s="1" t="s">
        <v>193</v>
      </c>
      <c r="AE37" s="412">
        <f ca="1">IF(AE35=0,"N.D.",(AE34-AE32-AE33)/AE35)</f>
        <v>0.70319620420959139</v>
      </c>
      <c r="AG37" s="412">
        <f ca="1">IF(AG35=0,"N.D.",(AG34-AG32-AG33)/AG35)</f>
        <v>0.73497443450499167</v>
      </c>
      <c r="AI37" s="412">
        <f ca="1">IF(AI35=0,"N.D.",(AI34-AI32-AI33)/AI35)</f>
        <v>0.30976840557239599</v>
      </c>
      <c r="AP37" s="1" t="s">
        <v>193</v>
      </c>
      <c r="AQ37" s="107" t="str">
        <f>IF(AQ35=0,"N.D.",(AQ34-AQ32-AQ33)/AQ35)</f>
        <v>N.D.</v>
      </c>
      <c r="AR37" s="108"/>
      <c r="AS37" s="107" t="str">
        <f>IF(AS35=0,"N.D.",(AS34-AS32-AS33)/AS35)</f>
        <v>N.D.</v>
      </c>
      <c r="AT37" s="108"/>
      <c r="AU37" s="107" t="str">
        <f>IF(AU35=0,"N.D.",(AU34-AU32-AU33)/AU35)</f>
        <v>N.D.</v>
      </c>
      <c r="AV37" s="108"/>
      <c r="AW37" s="107" t="str">
        <f>IF(AW35=0,"N.D.",(AW34-AW32-AW33)/AW35)</f>
        <v>N.D.</v>
      </c>
      <c r="AX37" s="108"/>
      <c r="AY37" s="107" t="str">
        <f>IF(AY35=0,"N.D.",(AY34-AY32-AY33)/AY35)</f>
        <v>N.D.</v>
      </c>
      <c r="AZ37" s="108"/>
      <c r="BA37" s="107" t="str">
        <f>IF(BA35=0,"N.D.",(BA34-BA32-BA33)/BA35)</f>
        <v>N.D.</v>
      </c>
      <c r="BB37" s="108"/>
      <c r="BC37" s="107" t="str">
        <f>IF(BC35=0,"N.D.",(BC34-BC32-BC33)/BC35)</f>
        <v>N.D.</v>
      </c>
      <c r="BD37" s="108"/>
    </row>
    <row r="38" spans="1:56" x14ac:dyDescent="0.25">
      <c r="A38" s="316"/>
      <c r="N38" s="315"/>
      <c r="AA38" s="358"/>
      <c r="AG38" s="529"/>
      <c r="AP38" s="315"/>
      <c r="BC38" s="358"/>
    </row>
    <row r="39" spans="1:56" x14ac:dyDescent="0.25">
      <c r="A39" s="316"/>
      <c r="AA39" s="358"/>
      <c r="AG39" s="529"/>
      <c r="BC39" s="358"/>
    </row>
    <row r="40" spans="1:56" ht="13" x14ac:dyDescent="0.3">
      <c r="A40" s="316"/>
      <c r="B40" s="281" t="str">
        <f>ER!B41</f>
        <v>SOUTHWEN</v>
      </c>
      <c r="C40" s="319"/>
      <c r="D40" s="320"/>
      <c r="E40" s="319"/>
      <c r="F40" s="320"/>
      <c r="G40" s="319"/>
      <c r="H40" s="320"/>
      <c r="I40" s="319"/>
      <c r="J40" s="320"/>
      <c r="K40" s="319"/>
      <c r="L40" s="320"/>
      <c r="O40" s="750"/>
      <c r="P40" s="750"/>
      <c r="Q40" s="750"/>
      <c r="R40" s="750"/>
      <c r="S40" s="750"/>
      <c r="T40" s="750"/>
      <c r="U40" s="750"/>
      <c r="V40" s="750"/>
      <c r="W40" s="750"/>
      <c r="X40" s="750"/>
      <c r="Y40" s="358"/>
      <c r="Z40" s="358"/>
      <c r="AA40" s="358"/>
      <c r="AD40" s="386" t="str">
        <f>+B40</f>
        <v>SOUTHWEN</v>
      </c>
      <c r="AE40" s="319"/>
      <c r="AF40" s="320"/>
      <c r="AG40" s="529"/>
      <c r="AH40" s="320"/>
      <c r="AI40" s="319"/>
      <c r="AJ40" s="320"/>
      <c r="AK40" s="319"/>
      <c r="AL40" s="320"/>
      <c r="AM40" s="319"/>
      <c r="AN40" s="320"/>
      <c r="AQ40" s="750"/>
      <c r="AR40" s="750"/>
      <c r="AS40" s="750"/>
      <c r="AT40" s="750"/>
      <c r="AU40" s="750"/>
      <c r="AV40" s="750"/>
      <c r="AW40" s="750"/>
      <c r="AX40" s="750"/>
      <c r="AY40" s="750"/>
      <c r="AZ40" s="750"/>
      <c r="BA40" s="358"/>
      <c r="BB40" s="358"/>
      <c r="BC40" s="358"/>
    </row>
    <row r="41" spans="1:56" ht="13" x14ac:dyDescent="0.3">
      <c r="A41" s="316"/>
      <c r="B41" s="318" t="s">
        <v>430</v>
      </c>
      <c r="C41" s="319"/>
      <c r="D41" s="320"/>
      <c r="E41" s="319"/>
      <c r="F41" s="320"/>
      <c r="G41" s="319"/>
      <c r="H41" s="320"/>
      <c r="I41" s="319"/>
      <c r="J41" s="320"/>
      <c r="K41" s="319"/>
      <c r="L41" s="320"/>
      <c r="W41" s="22"/>
      <c r="AD41" s="318" t="s">
        <v>431</v>
      </c>
      <c r="AE41" s="319"/>
      <c r="AF41" s="320"/>
      <c r="AG41" s="319"/>
      <c r="AH41" s="320"/>
      <c r="AI41" s="319"/>
      <c r="AJ41" s="320"/>
      <c r="AK41" s="319"/>
      <c r="AL41" s="320"/>
      <c r="AM41" s="319"/>
      <c r="AN41" s="320"/>
    </row>
    <row r="42" spans="1:56" ht="13" x14ac:dyDescent="0.3">
      <c r="A42" s="316"/>
      <c r="B42" s="319"/>
      <c r="C42" s="390" t="s">
        <v>0</v>
      </c>
      <c r="D42" s="321"/>
      <c r="E42" s="390" t="s">
        <v>4</v>
      </c>
      <c r="F42" s="321"/>
      <c r="G42" s="390" t="s">
        <v>9</v>
      </c>
      <c r="H42" s="321"/>
      <c r="I42" s="390" t="s">
        <v>6</v>
      </c>
      <c r="J42" s="321"/>
      <c r="K42" s="390" t="s">
        <v>7</v>
      </c>
      <c r="L42" s="321"/>
      <c r="O42" s="382" t="s">
        <v>121</v>
      </c>
      <c r="P42" s="88"/>
      <c r="Q42" s="382" t="s">
        <v>452</v>
      </c>
      <c r="R42" s="88"/>
      <c r="S42" s="88" t="s">
        <v>453</v>
      </c>
      <c r="T42" s="88"/>
      <c r="U42" s="88" t="s">
        <v>434</v>
      </c>
      <c r="V42" s="88"/>
      <c r="W42" s="382" t="s">
        <v>435</v>
      </c>
      <c r="X42" s="38"/>
      <c r="AD42" s="319"/>
      <c r="AE42" s="524" t="s">
        <v>498</v>
      </c>
      <c r="AF42" s="321"/>
      <c r="AG42" s="390" t="s">
        <v>4</v>
      </c>
      <c r="AH42" s="321"/>
      <c r="AI42" s="390" t="s">
        <v>9</v>
      </c>
      <c r="AJ42" s="321"/>
      <c r="AK42" s="390" t="s">
        <v>6</v>
      </c>
      <c r="AL42" s="321"/>
      <c r="AM42" s="390" t="s">
        <v>7</v>
      </c>
      <c r="AN42" s="321"/>
      <c r="AQ42" s="382" t="s">
        <v>121</v>
      </c>
      <c r="AR42" s="88"/>
      <c r="AS42" s="382" t="s">
        <v>452</v>
      </c>
      <c r="AT42" s="88"/>
      <c r="AU42" s="88" t="s">
        <v>453</v>
      </c>
      <c r="AV42" s="88"/>
      <c r="AW42" s="88" t="s">
        <v>434</v>
      </c>
      <c r="AX42" s="88"/>
      <c r="AY42" s="382" t="s">
        <v>435</v>
      </c>
      <c r="AZ42" s="38"/>
      <c r="BA42" s="6"/>
      <c r="BB42" s="6"/>
      <c r="BC42" s="21"/>
    </row>
    <row r="43" spans="1:56" x14ac:dyDescent="0.25">
      <c r="A43" s="316"/>
      <c r="B43" s="322" t="s">
        <v>38</v>
      </c>
      <c r="C43" s="323">
        <f ca="1">INDIRECT(ADDRESS(MATCH($B$40,'ER Act'!$B:$B,0)+1,MATCH(TEXT(DATE(YEAR(MES_CIERRE),ROUNDUP(MONTH(MES_CIERRE)/3,0)*3-2,1),"MMMM"),'ER Act'!$1:$1,0),,,"ER Act"))+INDIRECT(ADDRESS(MATCH($B$40,'ER Act'!$B:$B,0)+1,MATCH(TEXT(DATE(YEAR(MES_CIERRE),ROUNDUP(MONTH(MES_CIERRE)/3,0)*3-1,1),"MMMM"),'ER Act'!$1:$1,0),,,"ER Act"))+INDIRECT(ADDRESS(MATCH($B$40,'ER Act'!$B:$B,0)+1,MATCH(TEXT(DATE(YEAR(MES_CIERRE),ROUNDUP(MONTH(MES_CIERRE)/3,0)*3-0,1),"MMMM"),'ER Act'!$1:$1,0),,,"ER Act"))</f>
        <v>862.14</v>
      </c>
      <c r="D43" s="324">
        <f ca="1">IF(C43=0,"N.D.",C43/C43)</f>
        <v>1</v>
      </c>
      <c r="E43" s="323">
        <f ca="1">+C43</f>
        <v>862.14</v>
      </c>
      <c r="F43" s="324">
        <f ca="1">IF(E$43=0, 0, E43/$E$43)</f>
        <v>1</v>
      </c>
      <c r="G43" s="323">
        <f ca="1">+C43</f>
        <v>862.14</v>
      </c>
      <c r="H43" s="324">
        <f ca="1">IF(G$43=0, 0, G43/$G$43)</f>
        <v>1</v>
      </c>
      <c r="I43" s="325">
        <f ca="1">C43-E43</f>
        <v>0</v>
      </c>
      <c r="J43" s="326">
        <f ca="1">IF(E43=0,"N.D.",C43/E43-1)</f>
        <v>0</v>
      </c>
      <c r="K43" s="327">
        <f ca="1">C43-G43</f>
        <v>0</v>
      </c>
      <c r="L43" s="324">
        <f ca="1">IF(G43=0,"N.D.",C43/G43-1)</f>
        <v>0</v>
      </c>
      <c r="N43" s="322" t="s">
        <v>38</v>
      </c>
      <c r="O43" s="3">
        <f ca="1">+O10</f>
        <v>862.14</v>
      </c>
      <c r="P43" s="24">
        <v>1</v>
      </c>
      <c r="Q43" s="3">
        <f ca="1">+Q10+S10</f>
        <v>2762.306</v>
      </c>
      <c r="R43" s="24">
        <v>1</v>
      </c>
      <c r="S43" s="3">
        <f ca="1">+U10+W10</f>
        <v>1617.1770000000001</v>
      </c>
      <c r="T43" s="24">
        <v>1</v>
      </c>
      <c r="U43" s="3">
        <f ca="1">+Y10</f>
        <v>367.43200000000002</v>
      </c>
      <c r="V43" s="24">
        <v>1</v>
      </c>
      <c r="W43" s="3">
        <f ca="1">+U43+S43+Q43+O43</f>
        <v>5609.0550000000003</v>
      </c>
      <c r="X43" s="24">
        <v>1</v>
      </c>
      <c r="AD43" s="322" t="s">
        <v>38</v>
      </c>
      <c r="AE43" s="323"/>
      <c r="AF43" s="324" t="str">
        <f>IF(AE43=0,"N.D.",AE43/AE43)</f>
        <v>N.D.</v>
      </c>
      <c r="AG43" s="526"/>
      <c r="AH43" s="324" t="str">
        <f>IF(AG43=0,"N.D.",AG43/AG43)</f>
        <v>N.D.</v>
      </c>
      <c r="AI43" s="323"/>
      <c r="AJ43" s="324" t="str">
        <f>IF(AI43=0,"N.D.",AI43/AI43)</f>
        <v>N.D.</v>
      </c>
      <c r="AK43" s="325">
        <f>AE43-AG43</f>
        <v>0</v>
      </c>
      <c r="AL43" s="326" t="str">
        <f>IF(AG43=0,"N.D.",AE43/AG43-1)</f>
        <v>N.D.</v>
      </c>
      <c r="AM43" s="327">
        <f>AE43-AI43</f>
        <v>0</v>
      </c>
      <c r="AN43" s="324" t="str">
        <f>IF(AI43=0,"N.D.",AE43/AI43-1)</f>
        <v>N.D.</v>
      </c>
      <c r="AP43" s="322" t="s">
        <v>38</v>
      </c>
      <c r="AQ43" s="3">
        <f>+AQ10</f>
        <v>0</v>
      </c>
      <c r="AR43" s="24">
        <v>1</v>
      </c>
      <c r="AS43" s="539">
        <f>+AS10+AU10</f>
        <v>2831</v>
      </c>
      <c r="AT43" s="24">
        <v>1</v>
      </c>
      <c r="AU43" s="525">
        <f>+AW10+AY10</f>
        <v>1633</v>
      </c>
      <c r="AV43" s="24">
        <v>1</v>
      </c>
      <c r="AW43" s="3">
        <f>+BA10</f>
        <v>307</v>
      </c>
      <c r="AX43" s="24">
        <v>1</v>
      </c>
      <c r="AY43" s="3">
        <f>+AW43+AU43+AS43+AQ43</f>
        <v>4771</v>
      </c>
      <c r="AZ43" s="24">
        <v>1</v>
      </c>
      <c r="BA43" s="32"/>
      <c r="BB43" s="32"/>
      <c r="BC43" s="27"/>
    </row>
    <row r="44" spans="1:56" x14ac:dyDescent="0.25">
      <c r="A44" s="316"/>
      <c r="B44" s="322" t="s">
        <v>39</v>
      </c>
      <c r="C44" s="328">
        <f ca="1">INDIRECT(ADDRESS(MATCH($B$40,'ER Act'!$B:$B,0)+2,MATCH(TEXT(DATE(YEAR(MES_CIERRE),ROUNDUP(MONTH(MES_CIERRE)/3,0)*3-2,1),"MMMM"),'ER Act'!$1:$1,0),,,"ER Act"))+INDIRECT(ADDRESS(MATCH($B$40,'ER Act'!$B:$B,0)+2,MATCH(TEXT(DATE(YEAR(MES_CIERRE),ROUNDUP(MONTH(MES_CIERRE)/3,0)*3-1,1),"MMMM"),'ER Act'!$1:$1,0),,,"ER Act"))+INDIRECT(ADDRESS(MATCH($B$40,'ER Act'!$B:$B,0)+2,MATCH(TEXT(DATE(YEAR(MES_CIERRE),ROUNDUP(MONTH(MES_CIERRE)/3,0)*3-0,1),"MMMM"),'ER Act'!$1:$1,0),,,"ER Act"))</f>
        <v>314.61799999999999</v>
      </c>
      <c r="D44" s="329">
        <f ca="1">IF(C43=0,"N.D.",C44/C43)</f>
        <v>0.36492681003085348</v>
      </c>
      <c r="E44" s="328">
        <f ca="1">+C44</f>
        <v>314.61799999999999</v>
      </c>
      <c r="F44" s="329">
        <f ca="1">IF(E$43=0, 0, E44/$E$43)</f>
        <v>0.36492681003085348</v>
      </c>
      <c r="G44" s="328">
        <f ca="1">+C44</f>
        <v>314.61799999999999</v>
      </c>
      <c r="H44" s="329">
        <f ca="1">IF(G$43=0, 0, G44/$G$43)</f>
        <v>0.36492681003085348</v>
      </c>
      <c r="I44" s="330">
        <f ca="1">C44-E44</f>
        <v>0</v>
      </c>
      <c r="J44" s="331">
        <f ca="1">IF(E44=0,"N.D.",C44/E44-1)</f>
        <v>0</v>
      </c>
      <c r="K44" s="328">
        <f ca="1">C44-G44</f>
        <v>0</v>
      </c>
      <c r="L44" s="329">
        <f ca="1">IF(G44=0,"N.D.",C44/G44-1)</f>
        <v>0</v>
      </c>
      <c r="N44" s="322" t="s">
        <v>39</v>
      </c>
      <c r="O44" s="4">
        <f t="shared" ref="O44:O45" ca="1" si="71">+O11</f>
        <v>314.61799999999999</v>
      </c>
      <c r="P44" s="25">
        <f ca="1">IF(O44=0,"N.D.",O44/O$43)</f>
        <v>0.36492681003085348</v>
      </c>
      <c r="Q44" s="4">
        <f t="shared" ref="Q44:Q45" ca="1" si="72">+Q11+S11</f>
        <v>919.05000000000007</v>
      </c>
      <c r="R44" s="25">
        <f ca="1">IF(Q44=0,"N.D.",Q44/Q$43)</f>
        <v>0.33271114785979544</v>
      </c>
      <c r="S44" s="4">
        <f t="shared" ref="S44:S45" ca="1" si="73">+U11+W11</f>
        <v>540.22800000000007</v>
      </c>
      <c r="T44" s="25">
        <f ca="1">IF(S44=0,"N.D.",S44/S$43)</f>
        <v>0.33405619793009672</v>
      </c>
      <c r="U44" s="4">
        <f t="shared" ref="U44:U45" ca="1" si="74">+Y11</f>
        <v>0</v>
      </c>
      <c r="V44" s="25" t="str">
        <f ca="1">IF(U44=0,"N.D.",U44/U$43)</f>
        <v>N.D.</v>
      </c>
      <c r="W44" s="4">
        <f t="shared" ref="W44:W45" ca="1" si="75">+U44+S44+Q44+O44</f>
        <v>1773.8960000000002</v>
      </c>
      <c r="X44" s="25">
        <f ca="1">IF(W44=0,"N.D.",W44/W$43)</f>
        <v>0.31625576857420729</v>
      </c>
      <c r="AD44" s="322" t="s">
        <v>39</v>
      </c>
      <c r="AE44" s="328"/>
      <c r="AF44" s="329" t="str">
        <f>IF(AE43=0,"N.D.",AE44/AE43)</f>
        <v>N.D.</v>
      </c>
      <c r="AG44" s="328"/>
      <c r="AH44" s="329" t="str">
        <f>IF(AG43=0,"N.D.",AG44/AG43)</f>
        <v>N.D.</v>
      </c>
      <c r="AI44" s="328"/>
      <c r="AJ44" s="329" t="str">
        <f>IF(AI43=0,"N.D.",AI44/AI43)</f>
        <v>N.D.</v>
      </c>
      <c r="AK44" s="330">
        <f>AE44-AG44</f>
        <v>0</v>
      </c>
      <c r="AL44" s="331" t="str">
        <f>IF(AG44=0,"N.D.",AE44/AG44-1)</f>
        <v>N.D.</v>
      </c>
      <c r="AM44" s="328">
        <f>AE44-AI44</f>
        <v>0</v>
      </c>
      <c r="AN44" s="329" t="str">
        <f>IF(AI44=0,"N.D.",AE44/AI44-1)</f>
        <v>N.D.</v>
      </c>
      <c r="AP44" s="322" t="s">
        <v>39</v>
      </c>
      <c r="AQ44" s="4">
        <f t="shared" ref="AQ44:AQ45" si="76">+AQ11</f>
        <v>0</v>
      </c>
      <c r="AR44" s="25" t="str">
        <f>IF(AQ44=0,"N.D.",AQ44/AQ$43)</f>
        <v>N.D.</v>
      </c>
      <c r="AS44" s="540">
        <f t="shared" ref="AS44:AS45" ca="1" si="77">+AS11+AU11</f>
        <v>941.95536018402527</v>
      </c>
      <c r="AT44" s="25">
        <f ca="1">IF(AS44=0,"N.D.",AS44/AS$43)</f>
        <v>0.33272884499612337</v>
      </c>
      <c r="AU44" s="536">
        <f t="shared" ref="AU44:AU45" ca="1" si="78">+AW11+AY11</f>
        <v>546.00427171349293</v>
      </c>
      <c r="AV44" s="25">
        <f ca="1">IF(AU44=0,"N.D.",AU44/AU$43)</f>
        <v>0.33435656565431288</v>
      </c>
      <c r="AW44" s="4">
        <f t="shared" ref="AW44:AW45" si="79">+BA11</f>
        <v>0</v>
      </c>
      <c r="AX44" s="25" t="str">
        <f>IF(AW44=0,"N.D.",AW44/AW$43)</f>
        <v>N.D.</v>
      </c>
      <c r="AY44" s="4">
        <f t="shared" ref="AY44:AY45" ca="1" si="80">+AW44+AU44+AS44+AQ44</f>
        <v>1487.9596318975182</v>
      </c>
      <c r="AZ44" s="25">
        <f ca="1">IF(AY44=0,"N.D.",AY44/AY$43)</f>
        <v>0.31187583984437606</v>
      </c>
      <c r="BA44" s="32"/>
      <c r="BB44" s="32"/>
      <c r="BC44" s="27"/>
    </row>
    <row r="45" spans="1:56" ht="13" x14ac:dyDescent="0.3">
      <c r="A45" s="316"/>
      <c r="B45" s="332" t="s">
        <v>40</v>
      </c>
      <c r="C45" s="333">
        <f ca="1">+C43-C44</f>
        <v>547.52199999999993</v>
      </c>
      <c r="D45" s="334">
        <f ca="1">IF(C43=0,"N.D.",C45/C43)</f>
        <v>0.63507318996914652</v>
      </c>
      <c r="E45" s="333">
        <f ca="1">+E43-E44</f>
        <v>547.52199999999993</v>
      </c>
      <c r="F45" s="334">
        <f ca="1">IF(E$43=0, 0, E45/$E$43)</f>
        <v>0.63507318996914652</v>
      </c>
      <c r="G45" s="333">
        <f ca="1">+G43-G44</f>
        <v>547.52199999999993</v>
      </c>
      <c r="H45" s="334">
        <f ca="1">IF(G$43=0, 0, G45/$G$43)</f>
        <v>0.63507318996914652</v>
      </c>
      <c r="I45" s="335">
        <f ca="1">C45-E45</f>
        <v>0</v>
      </c>
      <c r="J45" s="336">
        <f ca="1">IF(E45=0,"N.D.",C45/E45-1)</f>
        <v>0</v>
      </c>
      <c r="K45" s="337">
        <f ca="1">C45-G45</f>
        <v>0</v>
      </c>
      <c r="L45" s="334">
        <f ca="1">IF(G45=0,"N.D.",C45/G45-1)</f>
        <v>0</v>
      </c>
      <c r="N45" s="332" t="s">
        <v>40</v>
      </c>
      <c r="O45" s="5">
        <f t="shared" ca="1" si="71"/>
        <v>547.52199999999993</v>
      </c>
      <c r="P45" s="26">
        <f t="shared" ref="P45:R45" ca="1" si="81">IF(O45=0,"N.D.",O45/O$43)</f>
        <v>0.63507318996914652</v>
      </c>
      <c r="Q45" s="5">
        <f t="shared" ca="1" si="72"/>
        <v>1843.2559999999999</v>
      </c>
      <c r="R45" s="26">
        <f t="shared" ca="1" si="81"/>
        <v>0.6672888521402045</v>
      </c>
      <c r="S45" s="5">
        <f t="shared" ca="1" si="73"/>
        <v>1076.9490000000001</v>
      </c>
      <c r="T45" s="26">
        <f t="shared" ref="T45" ca="1" si="82">IF(S45=0,"N.D.",S45/S$43)</f>
        <v>0.66594380206990333</v>
      </c>
      <c r="U45" s="5">
        <f t="shared" ca="1" si="74"/>
        <v>367.43200000000002</v>
      </c>
      <c r="V45" s="26">
        <f t="shared" ref="V45" ca="1" si="83">IF(U45=0,"N.D.",U45/U$43)</f>
        <v>1</v>
      </c>
      <c r="W45" s="5">
        <f t="shared" ca="1" si="75"/>
        <v>3835.1589999999997</v>
      </c>
      <c r="X45" s="26">
        <f t="shared" ref="X45" ca="1" si="84">IF(W45=0,"N.D.",W45/W$43)</f>
        <v>0.68374423142579266</v>
      </c>
      <c r="AD45" s="332" t="s">
        <v>40</v>
      </c>
      <c r="AE45" s="333"/>
      <c r="AF45" s="334" t="str">
        <f>IF(AE43=0,"N.D.",AE45/AE43)</f>
        <v>N.D.</v>
      </c>
      <c r="AG45" s="333"/>
      <c r="AH45" s="334" t="str">
        <f>IF(AG43=0,"N.D.",AG45/AG43)</f>
        <v>N.D.</v>
      </c>
      <c r="AI45" s="333"/>
      <c r="AJ45" s="334" t="str">
        <f>IF(AI43=0,"N.D.",AI45/AI43)</f>
        <v>N.D.</v>
      </c>
      <c r="AK45" s="335">
        <f>AE45-AG45</f>
        <v>0</v>
      </c>
      <c r="AL45" s="336" t="str">
        <f>IF(AG45=0,"N.D.",AE45/AG45-1)</f>
        <v>N.D.</v>
      </c>
      <c r="AM45" s="337">
        <f>AE45-AI45</f>
        <v>0</v>
      </c>
      <c r="AN45" s="334" t="str">
        <f>IF(AI45=0,"N.D.",AE45/AI45-1)</f>
        <v>N.D.</v>
      </c>
      <c r="AP45" s="332" t="s">
        <v>40</v>
      </c>
      <c r="AQ45" s="5">
        <f t="shared" si="76"/>
        <v>0</v>
      </c>
      <c r="AR45" s="26" t="str">
        <f>IF(AQ45=0,"N.D.",AQ45/AQ$43)</f>
        <v>N.D.</v>
      </c>
      <c r="AS45" s="541">
        <f t="shared" ca="1" si="77"/>
        <v>1889.0446398159747</v>
      </c>
      <c r="AT45" s="26">
        <f ca="1">IF(AS45=0,"N.D.",AS45/AS$43)</f>
        <v>0.66727115500387668</v>
      </c>
      <c r="AU45" s="516">
        <f t="shared" ca="1" si="78"/>
        <v>1086.9957282865071</v>
      </c>
      <c r="AV45" s="26">
        <f ca="1">IF(AU45=0,"N.D.",AU45/AU$43)</f>
        <v>0.66564343434568718</v>
      </c>
      <c r="AW45" s="5">
        <f t="shared" si="79"/>
        <v>307</v>
      </c>
      <c r="AX45" s="26">
        <f>IF(AW45=0,"N.D.",AW45/AW$43)</f>
        <v>1</v>
      </c>
      <c r="AY45" s="5">
        <f t="shared" ca="1" si="80"/>
        <v>3283.0403681024818</v>
      </c>
      <c r="AZ45" s="26">
        <f ca="1">IF(AY45=0,"N.D.",AY45/AY$43)</f>
        <v>0.68812416015562394</v>
      </c>
      <c r="BA45" s="32"/>
      <c r="BB45" s="32"/>
      <c r="BC45" s="27"/>
    </row>
    <row r="46" spans="1:56" ht="13" x14ac:dyDescent="0.3">
      <c r="A46" s="316"/>
      <c r="B46" s="322"/>
      <c r="C46" s="338"/>
      <c r="D46" s="339"/>
      <c r="E46" s="338"/>
      <c r="F46" s="339"/>
      <c r="G46" s="338"/>
      <c r="H46" s="339"/>
      <c r="I46" s="338"/>
      <c r="J46" s="340"/>
      <c r="K46" s="338"/>
      <c r="L46" s="339"/>
      <c r="N46" s="322"/>
      <c r="O46" s="6"/>
      <c r="P46" s="27"/>
      <c r="Q46" s="6"/>
      <c r="R46" s="27"/>
      <c r="S46" s="6"/>
      <c r="T46" s="27"/>
      <c r="U46" s="6"/>
      <c r="V46" s="27"/>
      <c r="W46" s="6"/>
      <c r="X46" s="27"/>
      <c r="AD46" s="322"/>
      <c r="AE46" s="338"/>
      <c r="AF46" s="339"/>
      <c r="AG46" s="338"/>
      <c r="AH46" s="339"/>
      <c r="AI46" s="338"/>
      <c r="AJ46" s="339"/>
      <c r="AK46" s="338"/>
      <c r="AL46" s="340"/>
      <c r="AM46" s="338"/>
      <c r="AN46" s="339"/>
      <c r="AP46" s="322"/>
      <c r="AQ46" s="6"/>
      <c r="AR46" s="27"/>
      <c r="AS46" s="542"/>
      <c r="AT46" s="27"/>
      <c r="AU46" s="537"/>
      <c r="AV46" s="27"/>
      <c r="AW46" s="6"/>
      <c r="AX46" s="27"/>
      <c r="AY46" s="6"/>
      <c r="AZ46" s="27"/>
      <c r="BA46" s="34"/>
      <c r="BB46" s="34"/>
      <c r="BC46" s="33"/>
    </row>
    <row r="47" spans="1:56" x14ac:dyDescent="0.25">
      <c r="A47" s="316"/>
      <c r="B47" s="9" t="s">
        <v>41</v>
      </c>
      <c r="C47" s="327">
        <f ca="1">INDIRECT(ADDRESS(MATCH($B$40,'ER Act'!$B:$B,0)+6,MATCH(TEXT(DATE(YEAR(MES_CIERRE),ROUNDUP(MONTH(MES_CIERRE)/3,0)*3-2,1),"MMMM"),'ER Act'!$1:$1,0),,,"ER Act"))+INDIRECT(ADDRESS(MATCH($B$40,'ER Act'!$B:$B,0)+6,MATCH(TEXT(DATE(YEAR(MES_CIERRE),ROUNDUP(MONTH(MES_CIERRE)/3,0)*3-1,1),"MMMM"),'ER Act'!$1:$1,0),,,"ER Act"))+INDIRECT(ADDRESS(MATCH($B$40,'ER Act'!$B:$B,0)+6,MATCH(TEXT(DATE(YEAR(MES_CIERRE),ROUNDUP(MONTH(MES_CIERRE)/3,0)*3-0,1),"MMMM"),'ER Act'!$1:$1,0),,,"ER Act"))</f>
        <v>478.57100000000003</v>
      </c>
      <c r="D47" s="324">
        <f ca="1">IF(C43=0,"N.D.",C47/C43)</f>
        <v>0.5550966200385089</v>
      </c>
      <c r="E47" s="327">
        <f ca="1">+C47</f>
        <v>478.57100000000003</v>
      </c>
      <c r="F47" s="324">
        <f ca="1">IF(E$43=0, 0, E47/$E$43)</f>
        <v>0.5550966200385089</v>
      </c>
      <c r="G47" s="327">
        <f ca="1">+C47</f>
        <v>478.57100000000003</v>
      </c>
      <c r="H47" s="324">
        <f ca="1">IF(G$43=0, 0, G47/$G$43)</f>
        <v>0.5550966200385089</v>
      </c>
      <c r="I47" s="325">
        <f ca="1">C47-E47</f>
        <v>0</v>
      </c>
      <c r="J47" s="326">
        <f ca="1">IF(E47=0,"N.D.",C47/E47-1)</f>
        <v>0</v>
      </c>
      <c r="K47" s="327">
        <f ca="1">C47-G47</f>
        <v>0</v>
      </c>
      <c r="L47" s="324">
        <f ca="1">IF(G47=0,"N.D.",C47/G47-1)</f>
        <v>0</v>
      </c>
      <c r="N47" s="9" t="s">
        <v>41</v>
      </c>
      <c r="O47" s="3">
        <f t="shared" ref="O47:O51" ca="1" si="85">+O14</f>
        <v>478.57100000000003</v>
      </c>
      <c r="P47" s="24">
        <f t="shared" ref="P47:R51" ca="1" si="86">IF(O47=0,"N.D.",O47/O$43)</f>
        <v>0.5550966200385089</v>
      </c>
      <c r="Q47" s="3">
        <f t="shared" ref="Q47:Q51" ca="1" si="87">+Q14+S14</f>
        <v>1714.6419999999998</v>
      </c>
      <c r="R47" s="24">
        <f t="shared" ca="1" si="86"/>
        <v>0.62072847830761679</v>
      </c>
      <c r="S47" s="3">
        <f t="shared" ref="S47:S51" ca="1" si="88">+U14+W14</f>
        <v>1057.886</v>
      </c>
      <c r="T47" s="24">
        <f t="shared" ref="T47" ca="1" si="89">IF(S47=0,"N.D.",S47/S$43)</f>
        <v>0.65415597674218706</v>
      </c>
      <c r="U47" s="3">
        <f t="shared" ref="U47:U51" ca="1" si="90">+Y14</f>
        <v>38.435000000000002</v>
      </c>
      <c r="V47" s="24">
        <f t="shared" ref="V47" ca="1" si="91">IF(U47=0,"N.D.",U47/U$43)</f>
        <v>0.10460438938361384</v>
      </c>
      <c r="W47" s="3">
        <f t="shared" ref="W47:W69" ca="1" si="92">+U47+S47+Q47+O47</f>
        <v>3289.5339999999997</v>
      </c>
      <c r="X47" s="24">
        <f t="shared" ref="X47" ca="1" si="93">IF(W47=0,"N.D.",W47/W$43)</f>
        <v>0.58646848711592225</v>
      </c>
      <c r="AD47" s="9" t="s">
        <v>41</v>
      </c>
      <c r="AE47" s="327"/>
      <c r="AF47" s="324" t="str">
        <f>IF(AE43=0,"N.D.",AE47/AE43)</f>
        <v>N.D.</v>
      </c>
      <c r="AG47" s="327"/>
      <c r="AH47" s="324" t="str">
        <f>IF(AG43=0,"N.D.",AG47/AG43)</f>
        <v>N.D.</v>
      </c>
      <c r="AI47" s="327"/>
      <c r="AJ47" s="324" t="str">
        <f>IF(AI43=0,"N.D.",AI47/AI43)</f>
        <v>N.D.</v>
      </c>
      <c r="AK47" s="325">
        <f>AE47-AG47</f>
        <v>0</v>
      </c>
      <c r="AL47" s="326" t="str">
        <f>IF(AG47=0,"N.D.",AE47/AG47-1)</f>
        <v>N.D.</v>
      </c>
      <c r="AM47" s="327">
        <f>AE47-AI47</f>
        <v>0</v>
      </c>
      <c r="AN47" s="324" t="str">
        <f>IF(AI47=0,"N.D.",AE47/AI47-1)</f>
        <v>N.D.</v>
      </c>
      <c r="AP47" s="9" t="s">
        <v>41</v>
      </c>
      <c r="AQ47" s="3">
        <f t="shared" ref="AQ47:AQ51" si="94">+AQ14</f>
        <v>0</v>
      </c>
      <c r="AR47" s="24" t="str">
        <f>IF(AQ47=0,"N.D.",AQ47/AQ$43)</f>
        <v>N.D.</v>
      </c>
      <c r="AS47" s="539">
        <f t="shared" ref="AS47:AS51" ca="1" si="95">+AS14+AU14</f>
        <v>1757.0933567781813</v>
      </c>
      <c r="AT47" s="24">
        <f ca="1">IF(AS47=0,"N.D.",AS47/AS$43)</f>
        <v>0.62066172969911027</v>
      </c>
      <c r="AU47" s="525">
        <f t="shared" ref="AU47:AU51" ca="1" si="96">+AW14+AY14</f>
        <v>1069.5315047770537</v>
      </c>
      <c r="AV47" s="24">
        <f ca="1">IF(AU47=0,"N.D.",AU47/AU$43)</f>
        <v>0.65494887004106161</v>
      </c>
      <c r="AW47" s="3">
        <f t="shared" ref="AW47:AW51" si="97">+BA14</f>
        <v>19</v>
      </c>
      <c r="AX47" s="24">
        <f>IF(AW47=0,"N.D.",AW47/AW$43)</f>
        <v>6.1889250814332247E-2</v>
      </c>
      <c r="AY47" s="3">
        <f t="shared" ref="AY47:AY51" ca="1" si="98">+AW47+AU47+AS47+AQ47</f>
        <v>2845.6248615552349</v>
      </c>
      <c r="AZ47" s="24">
        <f ca="1">IF(AY47=0,"N.D.",AY47/AY$43)</f>
        <v>0.59644201667475061</v>
      </c>
      <c r="BA47" s="32"/>
      <c r="BB47" s="32"/>
      <c r="BC47" s="27"/>
    </row>
    <row r="48" spans="1:56" x14ac:dyDescent="0.25">
      <c r="A48" s="316"/>
      <c r="B48" s="9" t="s">
        <v>42</v>
      </c>
      <c r="C48" s="328">
        <f ca="1">INDIRECT(ADDRESS(MATCH($B$40,'ER Act'!$B:$B,0)+7,MATCH(TEXT(DATE(YEAR(MES_CIERRE),ROUNDUP(MONTH(MES_CIERRE)/3,0)*3-2,1),"MMMM"),'ER Act'!$1:$1,0),,,"ER Act"))+INDIRECT(ADDRESS(MATCH($B$40,'ER Act'!$B:$B,0)+7,MATCH(TEXT(DATE(YEAR(MES_CIERRE),ROUNDUP(MONTH(MES_CIERRE)/3,0)*3-1,1),"MMMM"),'ER Act'!$1:$1,0),,,"ER Act"))+INDIRECT(ADDRESS(MATCH($B$40,'ER Act'!$B:$B,0)+7,MATCH(TEXT(DATE(YEAR(MES_CIERRE),ROUNDUP(MONTH(MES_CIERRE)/3,0)*3-0,1),"MMMM"),'ER Act'!$1:$1,0),,,"ER Act"))</f>
        <v>102.21299999999999</v>
      </c>
      <c r="D48" s="341">
        <f ca="1">IF(C43=0,"N.D.",C48/C43)</f>
        <v>0.11855731087758369</v>
      </c>
      <c r="E48" s="328">
        <f ca="1">+C48</f>
        <v>102.21299999999999</v>
      </c>
      <c r="F48" s="341">
        <f ca="1">IF(E$43=0, 0, E48/$E$43)</f>
        <v>0.11855731087758369</v>
      </c>
      <c r="G48" s="328">
        <f ca="1">+C48</f>
        <v>102.21299999999999</v>
      </c>
      <c r="H48" s="341">
        <f ca="1">IF(G$43=0, 0, G48/$G$43)</f>
        <v>0.11855731087758369</v>
      </c>
      <c r="I48" s="330">
        <f ca="1">C48-E48</f>
        <v>0</v>
      </c>
      <c r="J48" s="331">
        <f ca="1">IF(E48=0,"N.D.",C48/E48-1)</f>
        <v>0</v>
      </c>
      <c r="K48" s="328">
        <f ca="1">C48-G48</f>
        <v>0</v>
      </c>
      <c r="L48" s="341">
        <f ca="1">IF(G48=0,"N.D.",C48/G48-1)</f>
        <v>0</v>
      </c>
      <c r="N48" s="9" t="s">
        <v>42</v>
      </c>
      <c r="O48" s="4">
        <f t="shared" ca="1" si="85"/>
        <v>102.21299999999999</v>
      </c>
      <c r="P48" s="25">
        <f t="shared" ca="1" si="86"/>
        <v>0.11855731087758369</v>
      </c>
      <c r="Q48" s="4">
        <f t="shared" ca="1" si="87"/>
        <v>73.496999999999986</v>
      </c>
      <c r="R48" s="25">
        <f t="shared" ca="1" si="86"/>
        <v>2.6607117386705161E-2</v>
      </c>
      <c r="S48" s="4">
        <f t="shared" ca="1" si="88"/>
        <v>93.212000000000003</v>
      </c>
      <c r="T48" s="25">
        <f t="shared" ref="T48" ca="1" si="99">IF(S48=0,"N.D.",S48/S$43)</f>
        <v>5.7638712398209967E-2</v>
      </c>
      <c r="U48" s="4">
        <f t="shared" ca="1" si="90"/>
        <v>5.5E-2</v>
      </c>
      <c r="V48" s="25">
        <f t="shared" ref="V48" ca="1" si="100">IF(U48=0,"N.D.",U48/U$43)</f>
        <v>1.496875612358205E-4</v>
      </c>
      <c r="W48" s="4">
        <f t="shared" ca="1" si="92"/>
        <v>268.97699999999998</v>
      </c>
      <c r="X48" s="25">
        <f t="shared" ref="X48" ca="1" si="101">IF(W48=0,"N.D.",W48/W$43)</f>
        <v>4.7954067128954871E-2</v>
      </c>
      <c r="AD48" s="9" t="s">
        <v>42</v>
      </c>
      <c r="AE48" s="328"/>
      <c r="AF48" s="341" t="str">
        <f>IF(AE43=0,"N.D.",AE48/AE43)</f>
        <v>N.D.</v>
      </c>
      <c r="AG48" s="328"/>
      <c r="AH48" s="341" t="str">
        <f>IF(AG43=0,"N.D.",AG48/AG43)</f>
        <v>N.D.</v>
      </c>
      <c r="AI48" s="328"/>
      <c r="AJ48" s="341" t="str">
        <f>IF(AI43=0,"N.D.",AI48/AI43)</f>
        <v>N.D.</v>
      </c>
      <c r="AK48" s="330">
        <f>AE48-AG48</f>
        <v>0</v>
      </c>
      <c r="AL48" s="331" t="str">
        <f>IF(AG48=0,"N.D.",AE48/AG48-1)</f>
        <v>N.D.</v>
      </c>
      <c r="AM48" s="328">
        <f>AE48-AI48</f>
        <v>0</v>
      </c>
      <c r="AN48" s="341" t="str">
        <f>IF(AI48=0,"N.D.",AE48/AI48-1)</f>
        <v>N.D.</v>
      </c>
      <c r="AP48" s="9" t="s">
        <v>42</v>
      </c>
      <c r="AQ48" s="4">
        <f t="shared" si="94"/>
        <v>0</v>
      </c>
      <c r="AR48" s="25" t="str">
        <f t="shared" ref="AR48:AT51" si="102">IF(AQ48=0,"N.D.",AQ48/AQ$43)</f>
        <v>N.D.</v>
      </c>
      <c r="AS48" s="540">
        <f t="shared" si="95"/>
        <v>105</v>
      </c>
      <c r="AT48" s="25">
        <f t="shared" si="102"/>
        <v>3.7089367714588484E-2</v>
      </c>
      <c r="AU48" s="536">
        <f t="shared" si="96"/>
        <v>108</v>
      </c>
      <c r="AV48" s="25">
        <f t="shared" ref="AV48" si="103">IF(AU48=0,"N.D.",AU48/AU$43)</f>
        <v>6.6135946111451321E-2</v>
      </c>
      <c r="AW48" s="4">
        <f t="shared" si="97"/>
        <v>13</v>
      </c>
      <c r="AX48" s="25">
        <f t="shared" ref="AX48" si="104">IF(AW48=0,"N.D.",AW48/AW$43)</f>
        <v>4.2345276872964167E-2</v>
      </c>
      <c r="AY48" s="4">
        <f t="shared" si="98"/>
        <v>226</v>
      </c>
      <c r="AZ48" s="25">
        <f t="shared" ref="AZ48" si="105">IF(AY48=0,"N.D.",AY48/AY$43)</f>
        <v>4.7369524208761268E-2</v>
      </c>
      <c r="BA48" s="32"/>
      <c r="BB48" s="32"/>
      <c r="BC48" s="27"/>
    </row>
    <row r="49" spans="1:55" x14ac:dyDescent="0.25">
      <c r="A49" s="316"/>
      <c r="B49" s="9" t="s">
        <v>43</v>
      </c>
      <c r="C49" s="342">
        <f ca="1">INDIRECT(ADDRESS(MATCH($B$40,'ER Act'!$B:$B,0)+8,MATCH(TEXT(DATE(YEAR(MES_CIERRE),ROUNDUP(MONTH(MES_CIERRE)/3,0)*3-2,1),"MMMM"),'ER Act'!$1:$1,0),,,"ER Act"))+INDIRECT(ADDRESS(MATCH($B$40,'ER Act'!$B:$B,0)+8,MATCH(TEXT(DATE(YEAR(MES_CIERRE),ROUNDUP(MONTH(MES_CIERRE)/3,0)*3-1,1),"MMMM"),'ER Act'!$1:$1,0),,,"ER Act"))+INDIRECT(ADDRESS(MATCH($B$40,'ER Act'!$B:$B,0)+8,MATCH(TEXT(DATE(YEAR(MES_CIERRE),ROUNDUP(MONTH(MES_CIERRE)/3,0)*3-0,1),"MMMM"),'ER Act'!$1:$1,0),,,"ER Act"))</f>
        <v>15.382</v>
      </c>
      <c r="D49" s="329">
        <f ca="1">IF(C43=0,"N.D.",C49/C43)</f>
        <v>1.7841649848052522E-2</v>
      </c>
      <c r="E49" s="342">
        <f ca="1">+C49</f>
        <v>15.382</v>
      </c>
      <c r="F49" s="329">
        <f ca="1">IF(E$43=0, 0, E49/$E$43)</f>
        <v>1.7841649848052522E-2</v>
      </c>
      <c r="G49" s="342">
        <f ca="1">+C49</f>
        <v>15.382</v>
      </c>
      <c r="H49" s="329">
        <f ca="1">IF(G$43=0, 0, G49/$G$43)</f>
        <v>1.7841649848052522E-2</v>
      </c>
      <c r="I49" s="330">
        <f ca="1">C49-E49</f>
        <v>0</v>
      </c>
      <c r="J49" s="331">
        <f ca="1">IF(E49=0,"N.D.",C49/E49-1)</f>
        <v>0</v>
      </c>
      <c r="K49" s="342">
        <f ca="1">C49-G49</f>
        <v>0</v>
      </c>
      <c r="L49" s="329">
        <f ca="1">IF(G49=0,"N.D.",C49/G49-1)</f>
        <v>0</v>
      </c>
      <c r="N49" s="9" t="s">
        <v>43</v>
      </c>
      <c r="O49" s="4">
        <f t="shared" ca="1" si="85"/>
        <v>15.382</v>
      </c>
      <c r="P49" s="25">
        <f t="shared" ca="1" si="86"/>
        <v>1.7841649848052522E-2</v>
      </c>
      <c r="Q49" s="4">
        <f t="shared" ca="1" si="87"/>
        <v>13.598000000000001</v>
      </c>
      <c r="R49" s="25">
        <f t="shared" ca="1" si="86"/>
        <v>4.9226986438142628E-3</v>
      </c>
      <c r="S49" s="4">
        <f t="shared" ca="1" si="88"/>
        <v>52.688000000000002</v>
      </c>
      <c r="T49" s="25">
        <f t="shared" ref="T49" ca="1" si="106">IF(S49=0,"N.D.",S49/S$43)</f>
        <v>3.2580230859083452E-2</v>
      </c>
      <c r="U49" s="4">
        <f t="shared" ca="1" si="90"/>
        <v>63.006</v>
      </c>
      <c r="V49" s="25">
        <f t="shared" ref="V49" ca="1" si="107">IF(U49=0,"N.D.",U49/U$43)</f>
        <v>0.17147662696771102</v>
      </c>
      <c r="W49" s="4">
        <f t="shared" ca="1" si="92"/>
        <v>144.67400000000001</v>
      </c>
      <c r="X49" s="25">
        <f t="shared" ref="X49" ca="1" si="108">IF(W49=0,"N.D.",W49/W$43)</f>
        <v>2.5792936599837227E-2</v>
      </c>
      <c r="AD49" s="9" t="s">
        <v>43</v>
      </c>
      <c r="AE49" s="342"/>
      <c r="AF49" s="329" t="str">
        <f>IF(AE43=0,"N.D.",AE49/AE43)</f>
        <v>N.D.</v>
      </c>
      <c r="AG49" s="342"/>
      <c r="AH49" s="329" t="str">
        <f>IF(AG43=0,"N.D.",AG49/AG43)</f>
        <v>N.D.</v>
      </c>
      <c r="AI49" s="342"/>
      <c r="AJ49" s="329" t="str">
        <f>IF(AI43=0,"N.D.",AI49/AI43)</f>
        <v>N.D.</v>
      </c>
      <c r="AK49" s="330">
        <f>AE49-AG49</f>
        <v>0</v>
      </c>
      <c r="AL49" s="331" t="str">
        <f>IF(AG49=0,"N.D.",AE49/AG49-1)</f>
        <v>N.D.</v>
      </c>
      <c r="AM49" s="342">
        <f>AE49-AI49</f>
        <v>0</v>
      </c>
      <c r="AN49" s="329" t="str">
        <f>IF(AI49=0,"N.D.",AE49/AI49-1)</f>
        <v>N.D.</v>
      </c>
      <c r="AP49" s="9" t="s">
        <v>43</v>
      </c>
      <c r="AQ49" s="4">
        <f t="shared" si="94"/>
        <v>0</v>
      </c>
      <c r="AR49" s="25" t="str">
        <f t="shared" si="102"/>
        <v>N.D.</v>
      </c>
      <c r="AS49" s="540">
        <f t="shared" si="95"/>
        <v>9</v>
      </c>
      <c r="AT49" s="25">
        <f t="shared" si="102"/>
        <v>3.1790886612504416E-3</v>
      </c>
      <c r="AU49" s="536">
        <f t="shared" si="96"/>
        <v>72</v>
      </c>
      <c r="AV49" s="25">
        <f t="shared" ref="AV49" si="109">IF(AU49=0,"N.D.",AU49/AU$43)</f>
        <v>4.4090630740967543E-2</v>
      </c>
      <c r="AW49" s="4">
        <f t="shared" si="97"/>
        <v>63</v>
      </c>
      <c r="AX49" s="25">
        <f t="shared" ref="AX49" si="110">IF(AW49=0,"N.D.",AW49/AW$43)</f>
        <v>0.20521172638436483</v>
      </c>
      <c r="AY49" s="4">
        <f t="shared" si="98"/>
        <v>144</v>
      </c>
      <c r="AZ49" s="25">
        <f t="shared" ref="AZ49" si="111">IF(AY49=0,"N.D.",AY49/AY$43)</f>
        <v>3.0182351708237267E-2</v>
      </c>
      <c r="BA49" s="32"/>
      <c r="BB49" s="32"/>
      <c r="BC49" s="27"/>
    </row>
    <row r="50" spans="1:55" ht="12.5" hidden="1" customHeight="1" x14ac:dyDescent="0.3">
      <c r="A50" s="316"/>
      <c r="B50" s="9" t="s">
        <v>44</v>
      </c>
      <c r="C50" s="337">
        <f ca="1">+C47+C48+C49</f>
        <v>596.16599999999994</v>
      </c>
      <c r="D50" s="334">
        <f ca="1">IF(C43=0,"N.D.",C50/C43)</f>
        <v>0.69149558076414497</v>
      </c>
      <c r="E50" s="337">
        <f ca="1">+E47+E48+E49</f>
        <v>596.16599999999994</v>
      </c>
      <c r="F50" s="334">
        <f ca="1">IF(E$43=0, 0, E50/$E$43)</f>
        <v>0.69149558076414497</v>
      </c>
      <c r="G50" s="337">
        <f ca="1">+G47+G48+G49</f>
        <v>596.16599999999994</v>
      </c>
      <c r="H50" s="334">
        <f ca="1">IF(G$43=0, 0, G50/$G$43)</f>
        <v>0.69149558076414497</v>
      </c>
      <c r="I50" s="335">
        <f ca="1">C50-E50</f>
        <v>0</v>
      </c>
      <c r="J50" s="336">
        <f ca="1">IF(E50=0,"N.D.",C50/E50-1)</f>
        <v>0</v>
      </c>
      <c r="K50" s="337">
        <f ca="1">C50-G50</f>
        <v>0</v>
      </c>
      <c r="L50" s="334">
        <f ca="1">IF(G50=0,"N.D.",C50/G50-1)</f>
        <v>0</v>
      </c>
      <c r="N50" s="9" t="s">
        <v>44</v>
      </c>
      <c r="O50" s="5">
        <f t="shared" ca="1" si="85"/>
        <v>596.16599999999994</v>
      </c>
      <c r="P50" s="26">
        <f t="shared" ca="1" si="86"/>
        <v>0.69149558076414497</v>
      </c>
      <c r="Q50" s="5">
        <f t="shared" ca="1" si="87"/>
        <v>1801.7369999999999</v>
      </c>
      <c r="R50" s="26">
        <f t="shared" ca="1" si="86"/>
        <v>0.65225829433813631</v>
      </c>
      <c r="S50" s="5">
        <f t="shared" ca="1" si="88"/>
        <v>1203.7860000000001</v>
      </c>
      <c r="T50" s="26">
        <f t="shared" ref="T50" ca="1" si="112">IF(S50=0,"N.D.",S50/S$43)</f>
        <v>0.74437491999948058</v>
      </c>
      <c r="U50" s="5">
        <f t="shared" ca="1" si="90"/>
        <v>101.49600000000001</v>
      </c>
      <c r="V50" s="26">
        <f t="shared" ref="V50" ca="1" si="113">IF(U50=0,"N.D.",U50/U$43)</f>
        <v>0.27623070391256072</v>
      </c>
      <c r="W50" s="5">
        <f t="shared" ca="1" si="92"/>
        <v>3703.1850000000004</v>
      </c>
      <c r="X50" s="26">
        <f t="shared" ref="X50" ca="1" si="114">IF(W50=0,"N.D.",W50/W$43)</f>
        <v>0.66021549084471454</v>
      </c>
      <c r="AD50" s="9" t="s">
        <v>44</v>
      </c>
      <c r="AE50" s="337"/>
      <c r="AF50" s="334" t="str">
        <f>IF(AE43=0,"N.D.",AE50/AE43)</f>
        <v>N.D.</v>
      </c>
      <c r="AG50" s="337"/>
      <c r="AH50" s="334" t="str">
        <f>IF(AG43=0,"N.D.",AG50/AG43)</f>
        <v>N.D.</v>
      </c>
      <c r="AI50" s="337"/>
      <c r="AJ50" s="334" t="str">
        <f>IF(AI43=0,"N.D.",AI50/AI43)</f>
        <v>N.D.</v>
      </c>
      <c r="AK50" s="335">
        <f>AE50-AG50</f>
        <v>0</v>
      </c>
      <c r="AL50" s="336" t="str">
        <f>IF(AG50=0,"N.D.",AE50/AG50-1)</f>
        <v>N.D.</v>
      </c>
      <c r="AM50" s="337">
        <f>AE50-AI50</f>
        <v>0</v>
      </c>
      <c r="AN50" s="334" t="str">
        <f>IF(AI50=0,"N.D.",AE50/AI50-1)</f>
        <v>N.D.</v>
      </c>
      <c r="AP50" s="9" t="s">
        <v>44</v>
      </c>
      <c r="AQ50" s="5">
        <f t="shared" si="94"/>
        <v>0</v>
      </c>
      <c r="AR50" s="26" t="str">
        <f t="shared" si="102"/>
        <v>N.D.</v>
      </c>
      <c r="AS50" s="541">
        <f t="shared" ca="1" si="95"/>
        <v>1871.0933567781813</v>
      </c>
      <c r="AT50" s="26">
        <f t="shared" ca="1" si="102"/>
        <v>0.66093018607494924</v>
      </c>
      <c r="AU50" s="516">
        <f t="shared" ca="1" si="96"/>
        <v>1249.5315047770537</v>
      </c>
      <c r="AV50" s="26">
        <f t="shared" ref="AV50" ca="1" si="115">IF(AU50=0,"N.D.",AU50/AU$43)</f>
        <v>0.76517544689348049</v>
      </c>
      <c r="AW50" s="5">
        <f t="shared" si="97"/>
        <v>95</v>
      </c>
      <c r="AX50" s="26">
        <f t="shared" ref="AX50" si="116">IF(AW50=0,"N.D.",AW50/AW$43)</f>
        <v>0.30944625407166126</v>
      </c>
      <c r="AY50" s="5">
        <f t="shared" ca="1" si="98"/>
        <v>3215.6248615552349</v>
      </c>
      <c r="AZ50" s="26">
        <f t="shared" ref="AZ50" ca="1" si="117">IF(AY50=0,"N.D.",AY50/AY$43)</f>
        <v>0.67399389259174913</v>
      </c>
      <c r="BA50" s="32"/>
      <c r="BB50" s="32"/>
      <c r="BC50" s="27"/>
    </row>
    <row r="51" spans="1:55" ht="13" x14ac:dyDescent="0.3">
      <c r="A51" s="316"/>
      <c r="B51" s="9" t="s">
        <v>45</v>
      </c>
      <c r="C51" s="337">
        <f ca="1">+C45-C50</f>
        <v>-48.644000000000005</v>
      </c>
      <c r="D51" s="334">
        <f ca="1">IF(C43=0,"N.D.",C51/C43)</f>
        <v>-5.64223907949985E-2</v>
      </c>
      <c r="E51" s="337">
        <f ca="1">+E45-E50</f>
        <v>-48.644000000000005</v>
      </c>
      <c r="F51" s="334">
        <f ca="1">IF(E$43=0, 0, E51/$E$43)</f>
        <v>-5.64223907949985E-2</v>
      </c>
      <c r="G51" s="337">
        <f ca="1">+G45-G50</f>
        <v>-48.644000000000005</v>
      </c>
      <c r="H51" s="334">
        <f ca="1">IF(G$43=0, 0, G51/$G$43)</f>
        <v>-5.64223907949985E-2</v>
      </c>
      <c r="I51" s="335">
        <f ca="1">C51-E51</f>
        <v>0</v>
      </c>
      <c r="J51" s="336">
        <f ca="1">IF(E51=0,"N.D.",C51/E51-1)</f>
        <v>0</v>
      </c>
      <c r="K51" s="337">
        <f ca="1">C51-G51</f>
        <v>0</v>
      </c>
      <c r="L51" s="334">
        <f ca="1">IF(G51=0,"N.D.",C51/G51-1)</f>
        <v>0</v>
      </c>
      <c r="N51" s="9" t="s">
        <v>45</v>
      </c>
      <c r="O51" s="5">
        <f t="shared" ca="1" si="85"/>
        <v>-48.644000000000005</v>
      </c>
      <c r="P51" s="30">
        <f t="shared" ca="1" si="86"/>
        <v>-5.64223907949985E-2</v>
      </c>
      <c r="Q51" s="5">
        <f t="shared" ca="1" si="87"/>
        <v>41.519000000000119</v>
      </c>
      <c r="R51" s="30">
        <f t="shared" ca="1" si="86"/>
        <v>1.5030557802068314E-2</v>
      </c>
      <c r="S51" s="5">
        <f t="shared" ca="1" si="88"/>
        <v>-126.8370000000001</v>
      </c>
      <c r="T51" s="30">
        <f t="shared" ref="T51" ca="1" si="118">IF(S51=0,"N.D.",S51/S$43)</f>
        <v>-7.843111792957734E-2</v>
      </c>
      <c r="U51" s="5">
        <f t="shared" ca="1" si="90"/>
        <v>265.93600000000004</v>
      </c>
      <c r="V51" s="30">
        <f t="shared" ref="V51" ca="1" si="119">IF(U51=0,"N.D.",U51/U$43)</f>
        <v>0.72376929608743934</v>
      </c>
      <c r="W51" s="5">
        <f t="shared" ca="1" si="92"/>
        <v>131.97400000000005</v>
      </c>
      <c r="X51" s="30">
        <f t="shared" ref="X51" ca="1" si="120">IF(W51=0,"N.D.",W51/W$43)</f>
        <v>2.3528740581078282E-2</v>
      </c>
      <c r="AD51" s="9" t="s">
        <v>45</v>
      </c>
      <c r="AE51" s="337"/>
      <c r="AF51" s="334" t="str">
        <f>IF(AE43=0,"N.D.",AE51/AE43)</f>
        <v>N.D.</v>
      </c>
      <c r="AG51" s="337"/>
      <c r="AH51" s="334" t="str">
        <f>IF(AG43=0,"N.D.",AG51/AG43)</f>
        <v>N.D.</v>
      </c>
      <c r="AI51" s="337"/>
      <c r="AJ51" s="334" t="str">
        <f>IF(AI43=0,"N.D.",AI51/AI43)</f>
        <v>N.D.</v>
      </c>
      <c r="AK51" s="335">
        <f>AE51-AG51</f>
        <v>0</v>
      </c>
      <c r="AL51" s="336" t="str">
        <f>IF(AG51=0,"N.D.",AE51/AG51-1)</f>
        <v>N.D.</v>
      </c>
      <c r="AM51" s="337">
        <f>AE51-AI51</f>
        <v>0</v>
      </c>
      <c r="AN51" s="334" t="str">
        <f>IF(AI51=0,"N.D.",AE51/AI51-1)</f>
        <v>N.D.</v>
      </c>
      <c r="AP51" s="9" t="s">
        <v>45</v>
      </c>
      <c r="AQ51" s="5">
        <f t="shared" si="94"/>
        <v>0</v>
      </c>
      <c r="AR51" s="30" t="str">
        <f t="shared" si="102"/>
        <v>N.D.</v>
      </c>
      <c r="AS51" s="541">
        <f t="shared" ca="1" si="95"/>
        <v>17.951283037793587</v>
      </c>
      <c r="AT51" s="30">
        <f t="shared" ca="1" si="102"/>
        <v>6.3409689289274417E-3</v>
      </c>
      <c r="AU51" s="516">
        <f t="shared" ca="1" si="96"/>
        <v>-162.53577649054671</v>
      </c>
      <c r="AV51" s="30">
        <f t="shared" ref="AV51" ca="1" si="121">IF(AU51=0,"N.D.",AU51/AU$43)</f>
        <v>-9.9532012547793453E-2</v>
      </c>
      <c r="AW51" s="5">
        <f t="shared" si="97"/>
        <v>212</v>
      </c>
      <c r="AX51" s="30">
        <f t="shared" ref="AX51" si="122">IF(AW51=0,"N.D.",AW51/AW$43)</f>
        <v>0.69055374592833874</v>
      </c>
      <c r="AY51" s="5">
        <f t="shared" ca="1" si="98"/>
        <v>67.415506547246878</v>
      </c>
      <c r="AZ51" s="30">
        <f t="shared" ref="AZ51" ca="1" si="123">IF(AY51=0,"N.D.",AY51/AY$43)</f>
        <v>1.4130267563874843E-2</v>
      </c>
      <c r="BA51" s="34"/>
      <c r="BB51" s="34"/>
      <c r="BC51" s="33"/>
    </row>
    <row r="52" spans="1:55" ht="13" x14ac:dyDescent="0.3">
      <c r="A52" s="316"/>
      <c r="B52" s="322"/>
      <c r="C52" s="338"/>
      <c r="D52" s="339"/>
      <c r="E52" s="338"/>
      <c r="F52" s="339"/>
      <c r="G52" s="338"/>
      <c r="H52" s="339"/>
      <c r="I52" s="338"/>
      <c r="J52" s="340"/>
      <c r="K52" s="338"/>
      <c r="L52" s="339"/>
      <c r="N52" s="322"/>
      <c r="O52" s="109"/>
      <c r="P52" s="110"/>
      <c r="Q52" s="109"/>
      <c r="R52" s="110"/>
      <c r="S52" s="109"/>
      <c r="T52" s="110"/>
      <c r="U52" s="109"/>
      <c r="V52" s="110"/>
      <c r="W52" s="109"/>
      <c r="X52" s="110"/>
      <c r="AD52" s="322"/>
      <c r="AE52" s="338"/>
      <c r="AF52" s="339"/>
      <c r="AG52" s="338"/>
      <c r="AH52" s="339"/>
      <c r="AI52" s="338"/>
      <c r="AJ52" s="339"/>
      <c r="AK52" s="338"/>
      <c r="AL52" s="340"/>
      <c r="AM52" s="338"/>
      <c r="AN52" s="339"/>
      <c r="AP52" s="322"/>
      <c r="AQ52" s="109"/>
      <c r="AR52" s="110"/>
      <c r="AS52" s="543"/>
      <c r="AT52" s="110"/>
      <c r="AU52" s="538"/>
      <c r="AV52" s="110"/>
      <c r="AW52" s="109"/>
      <c r="AX52" s="110"/>
      <c r="AY52" s="109"/>
      <c r="AZ52" s="110"/>
      <c r="BA52" s="34"/>
      <c r="BB52" s="34"/>
      <c r="BC52" s="33"/>
    </row>
    <row r="53" spans="1:55" x14ac:dyDescent="0.25">
      <c r="A53" s="316"/>
      <c r="B53" s="322"/>
      <c r="C53" s="327"/>
      <c r="D53" s="343"/>
      <c r="E53" s="327"/>
      <c r="F53" s="324"/>
      <c r="G53" s="327"/>
      <c r="H53" s="324"/>
      <c r="I53" s="325"/>
      <c r="J53" s="326"/>
      <c r="K53" s="327"/>
      <c r="L53" s="324"/>
      <c r="O53" s="327"/>
      <c r="P53" s="343"/>
      <c r="Q53" s="327"/>
      <c r="R53" s="343"/>
      <c r="S53" s="327"/>
      <c r="T53" s="343"/>
      <c r="U53" s="325"/>
      <c r="V53" s="343"/>
      <c r="W53" s="327"/>
      <c r="X53" s="343"/>
      <c r="AD53" s="1"/>
      <c r="AE53" s="327"/>
      <c r="AF53" s="343"/>
      <c r="AG53" s="327"/>
      <c r="AH53" s="343"/>
      <c r="AI53" s="327"/>
      <c r="AJ53" s="343"/>
      <c r="AK53" s="325"/>
      <c r="AL53" s="326"/>
      <c r="AM53" s="327"/>
      <c r="AN53" s="324"/>
      <c r="AP53" s="9"/>
      <c r="AQ53" s="3"/>
      <c r="AR53" s="24"/>
      <c r="AS53" s="539"/>
      <c r="AT53" s="24"/>
      <c r="AU53" s="525"/>
      <c r="AV53" s="24"/>
      <c r="AW53" s="3"/>
      <c r="AX53" s="24"/>
      <c r="AY53" s="3"/>
      <c r="AZ53" s="24"/>
      <c r="BA53" s="32"/>
      <c r="BB53" s="32"/>
      <c r="BC53" s="27"/>
    </row>
    <row r="54" spans="1:55" x14ac:dyDescent="0.25">
      <c r="A54" s="316"/>
      <c r="B54" s="9" t="s">
        <v>52</v>
      </c>
      <c r="C54" s="328">
        <f ca="1">INDIRECT(ADDRESS(MATCH($B$40,'ER Act'!$B:$B,0)+13,MATCH(TEXT(DATE(YEAR(MES_CIERRE),ROUNDUP(MONTH(MES_CIERRE)/3,0)*3-2,1),"MMMM"),'ER Act'!$1:$1,0),,,"ER Act"))+INDIRECT(ADDRESS(MATCH($B$40,'ER Act'!$B:$B,0)+13,MATCH(TEXT(DATE(YEAR(MES_CIERRE),ROUNDUP(MONTH(MES_CIERRE)/3,0)*3-1,1),"MMMM"),'ER Act'!$1:$1,0),,,"ER Act"))+INDIRECT(ADDRESS(MATCH($B$40,'ER Act'!$B:$B,0)+13,MATCH(TEXT(DATE(YEAR(MES_CIERRE),ROUNDUP(MONTH(MES_CIERRE)/3,0)*3-0,1),"MMMM"),'ER Act'!$1:$1,0),,,"ER Act"))</f>
        <v>-26.033999999999999</v>
      </c>
      <c r="D54" s="344">
        <f ca="1">IF(C43=0,"N.D.",C54/C43)</f>
        <v>-3.0196951771174055E-2</v>
      </c>
      <c r="E54" s="328">
        <f ca="1">+C54</f>
        <v>-26.033999999999999</v>
      </c>
      <c r="F54" s="341">
        <f t="shared" ref="F54:F59" ca="1" si="124">IF(E$43=0, 0, E54/$E$43)</f>
        <v>-3.0196951771174055E-2</v>
      </c>
      <c r="G54" s="328">
        <f ca="1">+C54</f>
        <v>-26.033999999999999</v>
      </c>
      <c r="H54" s="341">
        <f t="shared" ref="H54:H59" ca="1" si="125">IF(G$43=0, 0, G54/$G$43)</f>
        <v>-3.0196951771174055E-2</v>
      </c>
      <c r="I54" s="330">
        <f t="shared" ref="I54:I59" ca="1" si="126">C54-E54</f>
        <v>0</v>
      </c>
      <c r="J54" s="331">
        <f t="shared" ref="J54:J59" ca="1" si="127">IF(E54=0,"N.D.",C54/E54-1)</f>
        <v>0</v>
      </c>
      <c r="K54" s="328">
        <f t="shared" ref="K54:K59" ca="1" si="128">C54-G54</f>
        <v>0</v>
      </c>
      <c r="L54" s="341">
        <f t="shared" ref="L54:L59" ca="1" si="129">IF(G54=0,"N.D.",C54/G54-1)</f>
        <v>0</v>
      </c>
      <c r="N54" s="9" t="s">
        <v>52</v>
      </c>
      <c r="O54" s="328">
        <f ca="1">+O21</f>
        <v>-26.033999999999999</v>
      </c>
      <c r="P54" s="344">
        <f t="shared" ref="P54:R56" ca="1" si="130">IF(O54=0,"N.D.",O54/O$43)</f>
        <v>-3.0196951771174055E-2</v>
      </c>
      <c r="Q54" s="328">
        <f ca="1">+Q21+S21</f>
        <v>-17.073</v>
      </c>
      <c r="R54" s="344">
        <f t="shared" ca="1" si="130"/>
        <v>-6.1807055409502064E-3</v>
      </c>
      <c r="S54" s="328">
        <f ca="1">+U21+W21</f>
        <v>-19.143999999999998</v>
      </c>
      <c r="T54" s="344">
        <f t="shared" ref="T54" ca="1" si="131">IF(S54=0,"N.D.",S54/S$43)</f>
        <v>-1.1837912609442254E-2</v>
      </c>
      <c r="U54" s="330">
        <f ca="1">+Y21</f>
        <v>1.2949999999999999</v>
      </c>
      <c r="V54" s="344">
        <f t="shared" ref="V54" ca="1" si="132">IF(U54=0,"N.D.",U54/U$43)</f>
        <v>3.524461669097955E-3</v>
      </c>
      <c r="W54" s="328">
        <f ca="1">+U54+S54+Q54+O54</f>
        <v>-60.955999999999996</v>
      </c>
      <c r="X54" s="344">
        <f t="shared" ref="X54" ca="1" si="133">IF(W54=0,"N.D.",W54/W$43)</f>
        <v>-1.086742775743864E-2</v>
      </c>
      <c r="AD54" s="9" t="s">
        <v>52</v>
      </c>
      <c r="AE54" s="328"/>
      <c r="AF54" s="344" t="str">
        <f>IF(AE43=0,"N.D.",AE54/AE43)</f>
        <v>N.D.</v>
      </c>
      <c r="AG54" s="328"/>
      <c r="AH54" s="344" t="str">
        <f>IF(AG43=0,"N.D.",AG54/AG43)</f>
        <v>N.D.</v>
      </c>
      <c r="AI54" s="328"/>
      <c r="AJ54" s="344" t="str">
        <f>IF(AI43=0,"N.D.",AI54/AI43)</f>
        <v>N.D.</v>
      </c>
      <c r="AK54" s="330">
        <f t="shared" ref="AK54:AK59" si="134">AE54-AG54</f>
        <v>0</v>
      </c>
      <c r="AL54" s="331" t="str">
        <f t="shared" ref="AL54:AL59" si="135">IF(AG54=0,"N.D.",AE54/AG54-1)</f>
        <v>N.D.</v>
      </c>
      <c r="AM54" s="328">
        <f t="shared" ref="AM54:AM59" si="136">AE54-AI54</f>
        <v>0</v>
      </c>
      <c r="AN54" s="341" t="str">
        <f t="shared" ref="AN54:AN59" si="137">IF(AI54=0,"N.D.",AE54/AI54-1)</f>
        <v>N.D.</v>
      </c>
      <c r="AP54" s="9" t="s">
        <v>52</v>
      </c>
      <c r="AQ54" s="4">
        <f>+AQ21</f>
        <v>0</v>
      </c>
      <c r="AR54" s="29" t="str">
        <f t="shared" ref="AR54:AT56" si="138">IF(AQ54=0,"N.D.",AQ54/AQ$43)</f>
        <v>N.D.</v>
      </c>
      <c r="AS54" s="540">
        <f>+AS21+AU21</f>
        <v>-10</v>
      </c>
      <c r="AT54" s="29">
        <f t="shared" si="138"/>
        <v>-3.5323207347227126E-3</v>
      </c>
      <c r="AU54" s="536">
        <f>+AW21+AY21</f>
        <v>-14</v>
      </c>
      <c r="AV54" s="29">
        <f t="shared" ref="AV54" si="139">IF(AU54=0,"N.D.",AU54/AU$43)</f>
        <v>-8.5731781996325786E-3</v>
      </c>
      <c r="AW54" s="4">
        <f>+BA21</f>
        <v>0</v>
      </c>
      <c r="AX54" s="29" t="str">
        <f t="shared" ref="AX54" si="140">IF(AW54=0,"N.D.",AW54/AW$43)</f>
        <v>N.D.</v>
      </c>
      <c r="AY54" s="4">
        <f>+AW54+AU54+AS54+AQ54</f>
        <v>-24</v>
      </c>
      <c r="AZ54" s="29">
        <f>IF(AY54=0,"N.D.",AY54/AY$43)</f>
        <v>-5.0303919513728776E-3</v>
      </c>
      <c r="BA54" s="32"/>
      <c r="BB54" s="32"/>
      <c r="BC54" s="27"/>
    </row>
    <row r="55" spans="1:55" x14ac:dyDescent="0.25">
      <c r="A55" s="316"/>
      <c r="B55" s="9" t="s">
        <v>184</v>
      </c>
      <c r="C55" s="328">
        <f ca="1">INDIRECT(ADDRESS(MATCH($B$40,'ER Act'!$B:$B,0)+14,MATCH(TEXT(DATE(YEAR(MES_CIERRE),ROUNDUP(MONTH(MES_CIERRE)/3,0)*3-2,1),"MMMM"),'ER Act'!$1:$1,0),,,"ER Act"))+INDIRECT(ADDRESS(MATCH($B$40,'ER Act'!$B:$B,0)+14,MATCH(TEXT(DATE(YEAR(MES_CIERRE),ROUNDUP(MONTH(MES_CIERRE)/3,0)*3-1,1),"MMMM"),'ER Act'!$1:$1,0),,,"ER Act"))+INDIRECT(ADDRESS(MATCH($B$40,'ER Act'!$B:$B,0)+14,MATCH(TEXT(DATE(YEAR(MES_CIERRE),ROUNDUP(MONTH(MES_CIERRE)/3,0)*3-0,1),"MMMM"),'ER Act'!$1:$1,0),,,"ER Act"))</f>
        <v>28.731999999999999</v>
      </c>
      <c r="D55" s="344">
        <f ca="1">IF(C43=0,"N.D.",C55/C43)</f>
        <v>3.332637390679008E-2</v>
      </c>
      <c r="E55" s="328">
        <f ca="1">+C55</f>
        <v>28.731999999999999</v>
      </c>
      <c r="F55" s="341">
        <f t="shared" ca="1" si="124"/>
        <v>3.332637390679008E-2</v>
      </c>
      <c r="G55" s="328">
        <f ca="1">+C55</f>
        <v>28.731999999999999</v>
      </c>
      <c r="H55" s="341">
        <f t="shared" ca="1" si="125"/>
        <v>3.332637390679008E-2</v>
      </c>
      <c r="I55" s="330">
        <f t="shared" ca="1" si="126"/>
        <v>0</v>
      </c>
      <c r="J55" s="331">
        <f t="shared" ca="1" si="127"/>
        <v>0</v>
      </c>
      <c r="K55" s="328">
        <f t="shared" ca="1" si="128"/>
        <v>0</v>
      </c>
      <c r="L55" s="341">
        <f t="shared" ca="1" si="129"/>
        <v>0</v>
      </c>
      <c r="N55" s="9" t="s">
        <v>184</v>
      </c>
      <c r="O55" s="328">
        <f ca="1">+O22</f>
        <v>28.731999999999999</v>
      </c>
      <c r="P55" s="344">
        <f t="shared" ca="1" si="130"/>
        <v>3.332637390679008E-2</v>
      </c>
      <c r="Q55" s="328">
        <f ca="1">+Q22+S22</f>
        <v>58.964000000000006</v>
      </c>
      <c r="R55" s="344">
        <f t="shared" ca="1" si="130"/>
        <v>2.1345933433877348E-2</v>
      </c>
      <c r="S55" s="328">
        <f ca="1">+U22+W22</f>
        <v>0</v>
      </c>
      <c r="T55" s="344" t="str">
        <f t="shared" ref="T55" ca="1" si="141">IF(S55=0,"N.D.",S55/S$43)</f>
        <v>N.D.</v>
      </c>
      <c r="U55" s="330">
        <f ca="1">+Y22</f>
        <v>98.292000000000002</v>
      </c>
      <c r="V55" s="344">
        <f t="shared" ref="V55" ca="1" si="142">IF(U55=0,"N.D.",U55/U$43)</f>
        <v>0.26751072307256851</v>
      </c>
      <c r="W55" s="328">
        <f ca="1">+U55+S55+Q55+O55</f>
        <v>185.988</v>
      </c>
      <c r="X55" s="344">
        <f t="shared" ref="X55" ca="1" si="143">IF(W55=0,"N.D.",W55/W$43)</f>
        <v>3.3158526703696074E-2</v>
      </c>
      <c r="AD55" s="9" t="s">
        <v>184</v>
      </c>
      <c r="AE55" s="328"/>
      <c r="AF55" s="344" t="str">
        <f>IF(AE43=0,"N.D.",AE55/AE43)</f>
        <v>N.D.</v>
      </c>
      <c r="AG55" s="328"/>
      <c r="AH55" s="344" t="str">
        <f>IF(AG43=0,"N.D.",AG55/AG43)</f>
        <v>N.D.</v>
      </c>
      <c r="AI55" s="328"/>
      <c r="AJ55" s="344" t="str">
        <f>IF(AI43=0,"N.D.",AI55/AI43)</f>
        <v>N.D.</v>
      </c>
      <c r="AK55" s="330">
        <f t="shared" si="134"/>
        <v>0</v>
      </c>
      <c r="AL55" s="331" t="str">
        <f t="shared" si="135"/>
        <v>N.D.</v>
      </c>
      <c r="AM55" s="328">
        <f t="shared" si="136"/>
        <v>0</v>
      </c>
      <c r="AN55" s="341" t="str">
        <f t="shared" si="137"/>
        <v>N.D.</v>
      </c>
      <c r="AP55" s="9" t="s">
        <v>184</v>
      </c>
      <c r="AQ55" s="4">
        <f t="shared" ref="AQ55:AQ59" si="144">+AQ22</f>
        <v>0</v>
      </c>
      <c r="AR55" s="25" t="str">
        <f t="shared" si="138"/>
        <v>N.D.</v>
      </c>
      <c r="AS55" s="540">
        <f t="shared" ref="AS55:AS59" si="145">+AS22+AU22</f>
        <v>63</v>
      </c>
      <c r="AT55" s="25">
        <f t="shared" si="138"/>
        <v>2.225362062875309E-2</v>
      </c>
      <c r="AU55" s="536">
        <f t="shared" ref="AU55:AU59" si="146">+AW22+AY22</f>
        <v>0</v>
      </c>
      <c r="AV55" s="25" t="str">
        <f t="shared" ref="AV55" si="147">IF(AU55=0,"N.D.",AU55/AU$43)</f>
        <v>N.D.</v>
      </c>
      <c r="AW55" s="4">
        <f t="shared" ref="AW55:AW59" si="148">+BA22</f>
        <v>81</v>
      </c>
      <c r="AX55" s="25">
        <f t="shared" ref="AX55" si="149">IF(AW55=0,"N.D.",AW55/AW$43)</f>
        <v>0.26384364820846906</v>
      </c>
      <c r="AY55" s="4">
        <f t="shared" ref="AY55:AY59" si="150">+AW55+AU55+AS55+AQ55</f>
        <v>144</v>
      </c>
      <c r="AZ55" s="25">
        <f>IF(AY55=0,"N.D.",AY55/AY$43)</f>
        <v>3.0182351708237267E-2</v>
      </c>
      <c r="BA55" s="32"/>
      <c r="BB55" s="32"/>
      <c r="BC55" s="27"/>
    </row>
    <row r="56" spans="1:55" x14ac:dyDescent="0.25">
      <c r="A56" s="316"/>
      <c r="B56" s="9" t="s">
        <v>47</v>
      </c>
      <c r="C56" s="328">
        <f ca="1">INDIRECT(ADDRESS(MATCH($B$40,'ER Act'!$B:$B,0)+15,MATCH(TEXT(DATE(YEAR(MES_CIERRE),ROUNDUP(MONTH(MES_CIERRE)/3,0)*3-2,1),"MMMM"),'ER Act'!$1:$1,0),,,"ER Act"))+INDIRECT(ADDRESS(MATCH($B$40,'ER Act'!$B:$B,0)+15,MATCH(TEXT(DATE(YEAR(MES_CIERRE),ROUNDUP(MONTH(MES_CIERRE)/3,0)*3-1,1),"MMMM"),'ER Act'!$1:$1,0),,,"ER Act"))+INDIRECT(ADDRESS(MATCH($B$40,'ER Act'!$B:$B,0)+15,MATCH(TEXT(DATE(YEAR(MES_CIERRE),ROUNDUP(MONTH(MES_CIERRE)/3,0)*3-0,1),"MMMM"),'ER Act'!$1:$1,0),,,"ER Act"))</f>
        <v>0</v>
      </c>
      <c r="D56" s="344">
        <f ca="1">IF(C43=0,"N.D.",C56/C43)</f>
        <v>0</v>
      </c>
      <c r="E56" s="328">
        <f ca="1">INDIRECT(ADDRESS(MATCH($B$40,'ER Ppto'!$B:$B,0)+15,MATCH(TEXT(DATE(YEAR(MES_CIERRE),ROUNDUP(MONTH(MES_CIERRE)/3,0)*3-2,1),"MMMM"),'ER Ppto'!$1:$1,0),,,"ER Ppto"))+INDIRECT(ADDRESS(MATCH($B$40,'ER Ppto'!$B:$B,0)+15,MATCH(TEXT(DATE(YEAR(MES_CIERRE),ROUNDUP(MONTH(MES_CIERRE)/3,0)*3-1,1),"MMMM"),'ER Ppto'!$1:$1,0),,,"ER Ppto"))+INDIRECT(ADDRESS(MATCH($B$40,'ER Ppto'!$B:$B,0)+15,MATCH(TEXT(DATE(YEAR(MES_CIERRE),ROUNDUP(MONTH(MES_CIERRE)/3,0)*3-0,1),"MMMM"),'ER Ppto'!$1:$1,0),,,"ER Ppto"))</f>
        <v>0</v>
      </c>
      <c r="F56" s="341">
        <f t="shared" ca="1" si="124"/>
        <v>0</v>
      </c>
      <c r="G56" s="328">
        <f ca="1">+C56</f>
        <v>0</v>
      </c>
      <c r="H56" s="341">
        <f t="shared" ca="1" si="125"/>
        <v>0</v>
      </c>
      <c r="I56" s="330">
        <f t="shared" ca="1" si="126"/>
        <v>0</v>
      </c>
      <c r="J56" s="331" t="str">
        <f t="shared" ca="1" si="127"/>
        <v>N.D.</v>
      </c>
      <c r="K56" s="328">
        <f t="shared" ca="1" si="128"/>
        <v>0</v>
      </c>
      <c r="L56" s="341" t="str">
        <f t="shared" ca="1" si="129"/>
        <v>N.D.</v>
      </c>
      <c r="N56" s="9" t="s">
        <v>47</v>
      </c>
      <c r="O56" s="328">
        <f ca="1">+O23</f>
        <v>0</v>
      </c>
      <c r="P56" s="344" t="str">
        <f t="shared" ca="1" si="130"/>
        <v>N.D.</v>
      </c>
      <c r="Q56" s="328">
        <f ca="1">+Q23+S23</f>
        <v>-30</v>
      </c>
      <c r="R56" s="344">
        <f t="shared" ca="1" si="130"/>
        <v>-1.0860491198295916E-2</v>
      </c>
      <c r="S56" s="328">
        <f ca="1">+U23+W23</f>
        <v>0</v>
      </c>
      <c r="T56" s="344" t="str">
        <f t="shared" ref="T56" ca="1" si="151">IF(S56=0,"N.D.",S56/S$43)</f>
        <v>N.D.</v>
      </c>
      <c r="U56" s="330">
        <f ca="1">+Y23</f>
        <v>0</v>
      </c>
      <c r="V56" s="344" t="str">
        <f t="shared" ref="V56" ca="1" si="152">IF(U56=0,"N.D.",U56/U$43)</f>
        <v>N.D.</v>
      </c>
      <c r="W56" s="328">
        <f ca="1">+U56+S56+Q56+O56</f>
        <v>-30</v>
      </c>
      <c r="X56" s="344">
        <f t="shared" ref="X56" ca="1" si="153">IF(W56=0,"N.D.",W56/W$43)</f>
        <v>-5.3484945325014636E-3</v>
      </c>
      <c r="AD56" s="9" t="s">
        <v>47</v>
      </c>
      <c r="AE56" s="328"/>
      <c r="AF56" s="344" t="str">
        <f>IF(AE43=0,"N.D.",AE56/AE43)</f>
        <v>N.D.</v>
      </c>
      <c r="AG56" s="328"/>
      <c r="AH56" s="344" t="str">
        <f>IF(AG43=0,"N.D.",AG56/AG43)</f>
        <v>N.D.</v>
      </c>
      <c r="AI56" s="328"/>
      <c r="AJ56" s="344" t="str">
        <f>IF(AI43=0,"N.D.",AI56/AI43)</f>
        <v>N.D.</v>
      </c>
      <c r="AK56" s="330">
        <f t="shared" si="134"/>
        <v>0</v>
      </c>
      <c r="AL56" s="331" t="str">
        <f t="shared" si="135"/>
        <v>N.D.</v>
      </c>
      <c r="AM56" s="328">
        <f t="shared" si="136"/>
        <v>0</v>
      </c>
      <c r="AN56" s="341" t="str">
        <f t="shared" si="137"/>
        <v>N.D.</v>
      </c>
      <c r="AP56" s="9" t="s">
        <v>47</v>
      </c>
      <c r="AQ56" s="4">
        <f t="shared" si="144"/>
        <v>0</v>
      </c>
      <c r="AR56" s="25" t="str">
        <f t="shared" si="138"/>
        <v>N.D.</v>
      </c>
      <c r="AS56" s="540">
        <f t="shared" si="145"/>
        <v>0</v>
      </c>
      <c r="AT56" s="25" t="str">
        <f t="shared" si="138"/>
        <v>N.D.</v>
      </c>
      <c r="AU56" s="536">
        <f t="shared" si="146"/>
        <v>0</v>
      </c>
      <c r="AV56" s="25" t="str">
        <f t="shared" ref="AV56" si="154">IF(AU56=0,"N.D.",AU56/AU$43)</f>
        <v>N.D.</v>
      </c>
      <c r="AW56" s="4">
        <f t="shared" si="148"/>
        <v>0</v>
      </c>
      <c r="AX56" s="25" t="str">
        <f t="shared" ref="AX56" si="155">IF(AW56=0,"N.D.",AW56/AW$43)</f>
        <v>N.D.</v>
      </c>
      <c r="AY56" s="4">
        <f t="shared" si="150"/>
        <v>0</v>
      </c>
      <c r="AZ56" s="25" t="str">
        <f t="shared" ref="AZ56" si="156">IF(AY56=0,"N.D.",AY56/AY$43)</f>
        <v>N.D.</v>
      </c>
      <c r="BA56" s="32"/>
      <c r="BB56" s="32"/>
      <c r="BC56" s="27"/>
    </row>
    <row r="57" spans="1:55" x14ac:dyDescent="0.25">
      <c r="A57" s="316"/>
      <c r="B57" s="322"/>
      <c r="C57" s="342"/>
      <c r="D57" s="345"/>
      <c r="E57" s="342"/>
      <c r="F57" s="329"/>
      <c r="G57" s="342"/>
      <c r="H57" s="329"/>
      <c r="I57" s="330"/>
      <c r="J57" s="331"/>
      <c r="K57" s="342"/>
      <c r="L57" s="329"/>
      <c r="N57" s="9"/>
      <c r="O57" s="342"/>
      <c r="P57" s="345"/>
      <c r="Q57" s="342"/>
      <c r="R57" s="345"/>
      <c r="S57" s="342"/>
      <c r="T57" s="345"/>
      <c r="U57" s="330"/>
      <c r="V57" s="345"/>
      <c r="W57" s="342"/>
      <c r="X57" s="345"/>
      <c r="AD57" s="9"/>
      <c r="AE57" s="342"/>
      <c r="AF57" s="345"/>
      <c r="AG57" s="342"/>
      <c r="AH57" s="345"/>
      <c r="AI57" s="342"/>
      <c r="AJ57" s="345"/>
      <c r="AK57" s="330"/>
      <c r="AL57" s="331"/>
      <c r="AM57" s="342"/>
      <c r="AN57" s="329"/>
      <c r="AP57" s="9"/>
      <c r="AQ57" s="4"/>
      <c r="AR57" s="25"/>
      <c r="AS57" s="540"/>
      <c r="AT57" s="25"/>
      <c r="AU57" s="536"/>
      <c r="AV57" s="25"/>
      <c r="AW57" s="4"/>
      <c r="AX57" s="25"/>
      <c r="AY57" s="4"/>
      <c r="AZ57" s="25"/>
      <c r="BA57" s="32"/>
      <c r="BB57" s="32"/>
      <c r="BC57" s="27"/>
    </row>
    <row r="58" spans="1:55" ht="13" x14ac:dyDescent="0.3">
      <c r="B58" s="9" t="s">
        <v>48</v>
      </c>
      <c r="C58" s="335">
        <f ca="1">+C53+C54+C55-C56-C57</f>
        <v>2.6980000000000004</v>
      </c>
      <c r="D58" s="334">
        <f ca="1">IF(C43=0,"N.D.",C58/C43)</f>
        <v>3.1294221356160255E-3</v>
      </c>
      <c r="E58" s="335">
        <f ca="1">+E53+E54+E55-E56-E57</f>
        <v>2.6980000000000004</v>
      </c>
      <c r="F58" s="334">
        <f t="shared" ca="1" si="124"/>
        <v>3.1294221356160255E-3</v>
      </c>
      <c r="G58" s="335">
        <f ca="1">+G53+G54+G55-G56-G57</f>
        <v>2.6980000000000004</v>
      </c>
      <c r="H58" s="334">
        <f t="shared" ca="1" si="125"/>
        <v>3.1294221356160255E-3</v>
      </c>
      <c r="I58" s="335">
        <f t="shared" ca="1" si="126"/>
        <v>0</v>
      </c>
      <c r="J58" s="336">
        <f t="shared" ca="1" si="127"/>
        <v>0</v>
      </c>
      <c r="K58" s="337">
        <f t="shared" ca="1" si="128"/>
        <v>0</v>
      </c>
      <c r="L58" s="334">
        <f t="shared" ca="1" si="129"/>
        <v>0</v>
      </c>
      <c r="N58" s="9" t="s">
        <v>48</v>
      </c>
      <c r="O58" s="5">
        <f t="shared" ref="O58:O59" ca="1" si="157">+O25</f>
        <v>2.6980000000000004</v>
      </c>
      <c r="P58" s="30">
        <f t="shared" ref="P58:R59" ca="1" si="158">IF(O58=0,"N.D.",O58/O$43)</f>
        <v>3.1294221356160255E-3</v>
      </c>
      <c r="Q58" s="5">
        <f t="shared" ref="Q58:Q59" ca="1" si="159">+Q25+S25</f>
        <v>71.89100000000002</v>
      </c>
      <c r="R58" s="30">
        <f t="shared" ca="1" si="158"/>
        <v>2.6025719091223063E-2</v>
      </c>
      <c r="S58" s="5">
        <f t="shared" ref="S58:S59" ca="1" si="160">+U25+W25</f>
        <v>-19.143999999999998</v>
      </c>
      <c r="T58" s="30">
        <f t="shared" ref="T58" ca="1" si="161">IF(S58=0,"N.D.",S58/S$43)</f>
        <v>-1.1837912609442254E-2</v>
      </c>
      <c r="U58" s="5">
        <f t="shared" ref="U58:U59" ca="1" si="162">+Y25</f>
        <v>99.587000000000003</v>
      </c>
      <c r="V58" s="30">
        <f t="shared" ref="V58" ca="1" si="163">IF(U58=0,"N.D.",U58/U$43)</f>
        <v>0.27103518474166649</v>
      </c>
      <c r="W58" s="5">
        <f t="shared" ca="1" si="92"/>
        <v>155.03200000000004</v>
      </c>
      <c r="X58" s="30">
        <f t="shared" ref="X58" ca="1" si="164">IF(W58=0,"N.D.",W58/W$43)</f>
        <v>2.7639593478758905E-2</v>
      </c>
      <c r="AD58" s="9" t="s">
        <v>48</v>
      </c>
      <c r="AE58" s="335"/>
      <c r="AF58" s="334" t="str">
        <f>IF(AE43=0,"N.D.",AE58/AE43)</f>
        <v>N.D.</v>
      </c>
      <c r="AG58" s="335"/>
      <c r="AH58" s="334" t="str">
        <f>IF(AG43=0,"N.D.",AG58/AG43)</f>
        <v>N.D.</v>
      </c>
      <c r="AI58" s="335"/>
      <c r="AJ58" s="334" t="str">
        <f>IF(AI43=0,"N.D.",AI58/AI43)</f>
        <v>N.D.</v>
      </c>
      <c r="AK58" s="335">
        <f t="shared" si="134"/>
        <v>0</v>
      </c>
      <c r="AL58" s="336" t="str">
        <f t="shared" si="135"/>
        <v>N.D.</v>
      </c>
      <c r="AM58" s="337">
        <f t="shared" si="136"/>
        <v>0</v>
      </c>
      <c r="AN58" s="334" t="str">
        <f t="shared" si="137"/>
        <v>N.D.</v>
      </c>
      <c r="AP58" s="9" t="s">
        <v>48</v>
      </c>
      <c r="AQ58" s="5">
        <f t="shared" si="144"/>
        <v>0</v>
      </c>
      <c r="AR58" s="30" t="str">
        <f>IF(AQ$10=0,"N.D.",AQ58/AQ$10)</f>
        <v>N.D.</v>
      </c>
      <c r="AS58" s="541">
        <f t="shared" si="145"/>
        <v>53</v>
      </c>
      <c r="AT58" s="30">
        <f>IF(AS$10=0,"N.D.",AS58/AS$10)</f>
        <v>5.8177826564215149E-2</v>
      </c>
      <c r="AU58" s="516">
        <f t="shared" si="146"/>
        <v>-14</v>
      </c>
      <c r="AV58" s="30">
        <f>IF(AU$10=0,"N.D.",AU58/AU$10)</f>
        <v>-7.2916666666666668E-3</v>
      </c>
      <c r="AW58" s="5">
        <f t="shared" si="148"/>
        <v>81</v>
      </c>
      <c r="AX58" s="30">
        <f>IF(AW$10=0,"N.D.",AW58/AW$10)</f>
        <v>0.11172413793103449</v>
      </c>
      <c r="AY58" s="5">
        <f t="shared" si="150"/>
        <v>120</v>
      </c>
      <c r="AZ58" s="30">
        <f>IF(AY$10=0,"N.D.",AY58/AY$10)</f>
        <v>0.13215859030837004</v>
      </c>
      <c r="BA58" s="32"/>
      <c r="BB58" s="32"/>
      <c r="BC58" s="27"/>
    </row>
    <row r="59" spans="1:55" ht="13" x14ac:dyDescent="0.3">
      <c r="A59" s="317"/>
      <c r="B59" s="332" t="s">
        <v>49</v>
      </c>
      <c r="C59" s="337">
        <f ca="1">+C51-C58</f>
        <v>-51.342000000000006</v>
      </c>
      <c r="D59" s="334">
        <f ca="1">IF(C43=0,"N.D.",C59/C43)</f>
        <v>-5.9551812930614526E-2</v>
      </c>
      <c r="E59" s="337">
        <f ca="1">+E51-E58</f>
        <v>-51.342000000000006</v>
      </c>
      <c r="F59" s="334">
        <f t="shared" ca="1" si="124"/>
        <v>-5.9551812930614526E-2</v>
      </c>
      <c r="G59" s="337">
        <f ca="1">+G51-G58</f>
        <v>-51.342000000000006</v>
      </c>
      <c r="H59" s="334">
        <f t="shared" ca="1" si="125"/>
        <v>-5.9551812930614526E-2</v>
      </c>
      <c r="I59" s="335">
        <f t="shared" ca="1" si="126"/>
        <v>0</v>
      </c>
      <c r="J59" s="336">
        <f t="shared" ca="1" si="127"/>
        <v>0</v>
      </c>
      <c r="K59" s="337">
        <f t="shared" ca="1" si="128"/>
        <v>0</v>
      </c>
      <c r="L59" s="334">
        <f t="shared" ca="1" si="129"/>
        <v>0</v>
      </c>
      <c r="N59" s="332" t="s">
        <v>49</v>
      </c>
      <c r="O59" s="5">
        <f t="shared" ca="1" si="157"/>
        <v>-51.342000000000006</v>
      </c>
      <c r="P59" s="30">
        <f t="shared" ca="1" si="158"/>
        <v>-5.9551812930614526E-2</v>
      </c>
      <c r="Q59" s="5">
        <f t="shared" ca="1" si="159"/>
        <v>-30.371999999999893</v>
      </c>
      <c r="R59" s="30">
        <f t="shared" ca="1" si="158"/>
        <v>-1.0995161289154747E-2</v>
      </c>
      <c r="S59" s="5">
        <f t="shared" ca="1" si="160"/>
        <v>-107.6930000000001</v>
      </c>
      <c r="T59" s="30">
        <f t="shared" ref="T59" ca="1" si="165">IF(S59=0,"N.D.",S59/S$43)</f>
        <v>-6.6593205320135074E-2</v>
      </c>
      <c r="U59" s="5">
        <f t="shared" ca="1" si="162"/>
        <v>166.34900000000005</v>
      </c>
      <c r="V59" s="30">
        <f t="shared" ref="V59" ca="1" si="166">IF(U59=0,"N.D.",U59/U$43)</f>
        <v>0.4527341113457729</v>
      </c>
      <c r="W59" s="5">
        <f t="shared" ca="1" si="92"/>
        <v>-23.05799999999995</v>
      </c>
      <c r="X59" s="30">
        <f t="shared" ref="X59" ca="1" si="167">IF(W59=0,"N.D.",W59/W$43)</f>
        <v>-4.1108528976806164E-3</v>
      </c>
      <c r="AD59" s="332" t="s">
        <v>49</v>
      </c>
      <c r="AE59" s="337"/>
      <c r="AF59" s="334" t="str">
        <f>IF(AE43=0,"N.D.",AE59/AE43)</f>
        <v>N.D.</v>
      </c>
      <c r="AG59" s="337"/>
      <c r="AH59" s="334" t="str">
        <f>IF(AG43=0,"N.D.",AG59/AG43)</f>
        <v>N.D.</v>
      </c>
      <c r="AI59" s="337"/>
      <c r="AJ59" s="334" t="str">
        <f>IF(AI43=0,"N.D.",AI59/AI43)</f>
        <v>N.D.</v>
      </c>
      <c r="AK59" s="335">
        <f t="shared" si="134"/>
        <v>0</v>
      </c>
      <c r="AL59" s="336" t="str">
        <f t="shared" si="135"/>
        <v>N.D.</v>
      </c>
      <c r="AM59" s="337">
        <f t="shared" si="136"/>
        <v>0</v>
      </c>
      <c r="AN59" s="334" t="str">
        <f t="shared" si="137"/>
        <v>N.D.</v>
      </c>
      <c r="AP59" s="332" t="s">
        <v>49</v>
      </c>
      <c r="AQ59" s="5">
        <f t="shared" si="144"/>
        <v>0</v>
      </c>
      <c r="AR59" s="30" t="str">
        <f>IF(AQ$10=0,"N.D.",AQ59/AQ$10)</f>
        <v>N.D.</v>
      </c>
      <c r="AS59" s="541">
        <f t="shared" ca="1" si="145"/>
        <v>-35.048716962206413</v>
      </c>
      <c r="AT59" s="30">
        <f ca="1">IF(AS$10=0,"N.D.",AS59/AS$10)</f>
        <v>-3.8472795787273778E-2</v>
      </c>
      <c r="AU59" s="516">
        <f t="shared" ca="1" si="146"/>
        <v>-148.53577649054671</v>
      </c>
      <c r="AV59" s="30">
        <f ca="1">IF(AU$10=0,"N.D.",AU59/AU$10)</f>
        <v>-7.7362383588826411E-2</v>
      </c>
      <c r="AW59" s="5">
        <f t="shared" si="148"/>
        <v>131</v>
      </c>
      <c r="AX59" s="30">
        <f>IF(AW$10=0,"N.D.",AW59/AW$10)</f>
        <v>0.18068965517241378</v>
      </c>
      <c r="AY59" s="5">
        <f t="shared" ca="1" si="150"/>
        <v>-52.584493452753122</v>
      </c>
      <c r="AZ59" s="30">
        <f ca="1">IF(AY$10=0,"N.D.",AY59/AY$10)</f>
        <v>-5.7912437723296392E-2</v>
      </c>
      <c r="BA59" s="34"/>
      <c r="BB59" s="34"/>
      <c r="BC59" s="33"/>
    </row>
    <row r="60" spans="1:55" ht="13" x14ac:dyDescent="0.3">
      <c r="A60" s="317"/>
      <c r="B60" s="322"/>
      <c r="C60" s="338"/>
      <c r="D60" s="339"/>
      <c r="E60" s="338"/>
      <c r="F60" s="339"/>
      <c r="G60" s="338"/>
      <c r="H60" s="339"/>
      <c r="I60" s="338"/>
      <c r="J60" s="340"/>
      <c r="K60" s="338"/>
      <c r="L60" s="339"/>
      <c r="N60" s="322"/>
      <c r="O60" s="6"/>
      <c r="P60" s="27"/>
      <c r="Q60" s="6"/>
      <c r="R60" s="27"/>
      <c r="S60" s="6"/>
      <c r="T60" s="27"/>
      <c r="U60" s="6"/>
      <c r="V60" s="27"/>
      <c r="W60" s="6"/>
      <c r="X60" s="27"/>
      <c r="AD60" s="322"/>
      <c r="AE60" s="338"/>
      <c r="AF60" s="339"/>
      <c r="AG60" s="338"/>
      <c r="AH60" s="339"/>
      <c r="AI60" s="338"/>
      <c r="AJ60" s="339"/>
      <c r="AK60" s="338"/>
      <c r="AL60" s="340"/>
      <c r="AM60" s="338"/>
      <c r="AN60" s="339"/>
      <c r="AP60" s="322"/>
      <c r="AQ60" s="6"/>
      <c r="AR60" s="27"/>
      <c r="AS60" s="542"/>
      <c r="AT60" s="27"/>
      <c r="AU60" s="537"/>
      <c r="AV60" s="27"/>
      <c r="AW60" s="6"/>
      <c r="AX60" s="27"/>
      <c r="AY60" s="6"/>
      <c r="AZ60" s="27"/>
      <c r="BA60" s="34"/>
      <c r="BB60" s="34"/>
      <c r="BC60" s="33"/>
    </row>
    <row r="61" spans="1:55" ht="13" x14ac:dyDescent="0.3">
      <c r="B61" s="9" t="s">
        <v>213</v>
      </c>
      <c r="C61" s="327">
        <f ca="1">INDIRECT(ADDRESS(MATCH($B$40,'ER Act'!$B:$B,0)+20,MATCH(TEXT(DATE(YEAR(MES_CIERRE),ROUNDUP(MONTH(MES_CIERRE)/3,0)*3-2,1),"MMMM"),'ER Act'!$1:$1,0),,,"ER Act"))+INDIRECT(ADDRESS(MATCH($B$40,'ER Act'!$B:$B,0)+20,MATCH(TEXT(DATE(YEAR(MES_CIERRE),ROUNDUP(MONTH(MES_CIERRE)/3,0)*3-1,1),"MMMM"),'ER Act'!$1:$1,0),,,"ER Act"))+INDIRECT(ADDRESS(MATCH($B$40,'ER Act'!$B:$B,0)+20,MATCH(TEXT(DATE(YEAR(MES_CIERRE),ROUNDUP(MONTH(MES_CIERRE)/3,0)*3-0,1),"MMMM"),'ER Act'!$1:$1,0),,,"ER Act"))</f>
        <v>0</v>
      </c>
      <c r="D61" s="343">
        <f ca="1">IF(C43=0,"N.D.",C61/C43)</f>
        <v>0</v>
      </c>
      <c r="E61" s="327">
        <f ca="1">INDIRECT(ADDRESS(MATCH($B$40,'ER Ppto'!$B:$B,0)+20,MATCH(TEXT(DATE(YEAR(MES_CIERRE),ROUNDUP(MONTH(MES_CIERRE)/3,0)*3-2,1),"MMMM"),'ER Ppto'!$1:$1,0),,,"ER Ppto"))+INDIRECT(ADDRESS(MATCH($B$40,'ER Ppto'!$B:$B,0)+20,MATCH(TEXT(DATE(YEAR(MES_CIERRE),ROUNDUP(MONTH(MES_CIERRE)/3,0)*3-1,1),"MMMM"),'ER Ppto'!$1:$1,0),,,"ER Ppto"))+INDIRECT(ADDRESS(MATCH($B$40,'ER Ppto'!$B:$B,0)+20,MATCH(TEXT(DATE(YEAR(MES_CIERRE),ROUNDUP(MONTH(MES_CIERRE)/3,0)*3-0,1),"MMMM"),'ER Ppto'!$1:$1,0),,,"ER Ppto"))</f>
        <v>0</v>
      </c>
      <c r="F61" s="324">
        <f ca="1">IF(E$43=0, 0, E61/$E$43)</f>
        <v>0</v>
      </c>
      <c r="G61" s="327">
        <f ca="1">+C61</f>
        <v>0</v>
      </c>
      <c r="H61" s="324">
        <f ca="1">IF(G$43=0, 0, G61/$G$43)</f>
        <v>0</v>
      </c>
      <c r="I61" s="325">
        <f t="shared" ref="I61:I69" ca="1" si="168">C61-E61</f>
        <v>0</v>
      </c>
      <c r="J61" s="326" t="str">
        <f t="shared" ref="J61:J69" ca="1" si="169">IF(E61=0,"N.D.",C61/E61-1)</f>
        <v>N.D.</v>
      </c>
      <c r="K61" s="327">
        <f t="shared" ref="K61:K69" ca="1" si="170">C61-G61</f>
        <v>0</v>
      </c>
      <c r="L61" s="324" t="str">
        <f t="shared" ref="L61:L69" ca="1" si="171">IF(G61=0,"N.D.",C61/G61-1)</f>
        <v>N.D.</v>
      </c>
      <c r="N61" s="9" t="s">
        <v>213</v>
      </c>
      <c r="O61" s="3">
        <f t="shared" ref="O61:O69" ca="1" si="172">+O28</f>
        <v>0</v>
      </c>
      <c r="P61" s="24" t="str">
        <f t="shared" ref="P61:R69" ca="1" si="173">IF(O61=0,"N.D.",O61/O$43)</f>
        <v>N.D.</v>
      </c>
      <c r="Q61" s="3">
        <f t="shared" ref="Q61:Q69" ca="1" si="174">+Q28+S28</f>
        <v>0</v>
      </c>
      <c r="R61" s="24" t="str">
        <f t="shared" ca="1" si="173"/>
        <v>N.D.</v>
      </c>
      <c r="S61" s="3">
        <f t="shared" ref="S61:S69" ca="1" si="175">+U28+W28</f>
        <v>0</v>
      </c>
      <c r="T61" s="24" t="str">
        <f t="shared" ref="T61" ca="1" si="176">IF(S61=0,"N.D.",S61/S$43)</f>
        <v>N.D.</v>
      </c>
      <c r="U61" s="3">
        <f t="shared" ref="U61:U69" ca="1" si="177">+Y28</f>
        <v>0</v>
      </c>
      <c r="V61" s="24" t="str">
        <f t="shared" ref="V61" ca="1" si="178">IF(U61=0,"N.D.",U61/U$43)</f>
        <v>N.D.</v>
      </c>
      <c r="W61" s="3">
        <f t="shared" ca="1" si="92"/>
        <v>0</v>
      </c>
      <c r="X61" s="24" t="str">
        <f t="shared" ref="X61" ca="1" si="179">IF(W61=0,"N.D.",W61/W$43)</f>
        <v>N.D.</v>
      </c>
      <c r="AD61" s="9" t="s">
        <v>213</v>
      </c>
      <c r="AE61" s="327"/>
      <c r="AF61" s="343" t="str">
        <f>IF(AE43=0,"N.D.",AE61/AE43)</f>
        <v>N.D.</v>
      </c>
      <c r="AG61" s="327"/>
      <c r="AH61" s="343" t="str">
        <f>IF(AG43=0,"N.D.",AG61/AG43)</f>
        <v>N.D.</v>
      </c>
      <c r="AI61" s="327"/>
      <c r="AJ61" s="343" t="str">
        <f>IF(AI43=0,"N.D.",AI61/AI43)</f>
        <v>N.D.</v>
      </c>
      <c r="AK61" s="325">
        <f t="shared" ref="AK61:AK69" si="180">AE61-AG61</f>
        <v>0</v>
      </c>
      <c r="AL61" s="326" t="str">
        <f t="shared" ref="AL61:AL69" si="181">IF(AG61=0,"N.D.",AE61/AG61-1)</f>
        <v>N.D.</v>
      </c>
      <c r="AM61" s="327">
        <f t="shared" ref="AM61:AM69" si="182">AE61-AI61</f>
        <v>0</v>
      </c>
      <c r="AN61" s="324" t="str">
        <f t="shared" ref="AN61:AN69" si="183">IF(AI61=0,"N.D.",AE61/AI61-1)</f>
        <v>N.D.</v>
      </c>
      <c r="AP61" s="9" t="s">
        <v>213</v>
      </c>
      <c r="AQ61" s="3">
        <f t="shared" ref="AQ61:AQ69" si="184">+AQ28</f>
        <v>0</v>
      </c>
      <c r="AR61" s="24" t="str">
        <f t="shared" ref="AR61:AT69" si="185">IF(AQ61=0,"N.D.",AQ61/AQ$43)</f>
        <v>N.D.</v>
      </c>
      <c r="AS61" s="539">
        <f t="shared" ref="AS61:AS69" si="186">+AS28+AU28</f>
        <v>0</v>
      </c>
      <c r="AT61" s="24" t="str">
        <f t="shared" si="185"/>
        <v>N.D.</v>
      </c>
      <c r="AU61" s="525">
        <f t="shared" ref="AU61:AU69" si="187">+AW28+AY28</f>
        <v>0</v>
      </c>
      <c r="AV61" s="24" t="str">
        <f t="shared" ref="AV61" si="188">IF(AU61=0,"N.D.",AU61/AU$43)</f>
        <v>N.D.</v>
      </c>
      <c r="AW61" s="3">
        <f t="shared" ref="AW61:AW69" si="189">+BA28</f>
        <v>0</v>
      </c>
      <c r="AX61" s="24" t="str">
        <f t="shared" ref="AX61" si="190">IF(AW61=0,"N.D.",AW61/AW$43)</f>
        <v>N.D.</v>
      </c>
      <c r="AY61" s="3">
        <f t="shared" ref="AY61:AY69" si="191">+AW61+AU61+AS61+AQ61</f>
        <v>0</v>
      </c>
      <c r="AZ61" s="24" t="str">
        <f t="shared" ref="AZ61" si="192">IF(AY61=0,"N.D.",AY61/AY$43)</f>
        <v>N.D.</v>
      </c>
      <c r="BA61" s="34"/>
      <c r="BB61" s="34"/>
      <c r="BC61" s="33"/>
    </row>
    <row r="62" spans="1:55" ht="13" x14ac:dyDescent="0.3">
      <c r="A62" s="316"/>
      <c r="B62" s="9" t="s">
        <v>51</v>
      </c>
      <c r="C62" s="342">
        <f ca="1">INDIRECT(ADDRESS(MATCH($B$40,'ER Act'!$B:$B,0)+21,MATCH(TEXT(DATE(YEAR(MES_CIERRE),ROUNDUP(MONTH(MES_CIERRE)/3,0)*3-2,1),"MMMM"),'ER Act'!$1:$1,0),,,"ER Act"))+INDIRECT(ADDRESS(MATCH($B$40,'ER Act'!$B:$B,0)+21,MATCH(TEXT(DATE(YEAR(MES_CIERRE),ROUNDUP(MONTH(MES_CIERRE)/3,0)*3-1,1),"MMMM"),'ER Act'!$1:$1,0),,,"ER Act"))+INDIRECT(ADDRESS(MATCH($B$40,'ER Act'!$B:$B,0)+21,MATCH(TEXT(DATE(YEAR(MES_CIERRE),ROUNDUP(MONTH(MES_CIERRE)/3,0)*3-0,1),"MMMM"),'ER Act'!$1:$1,0),,,"ER Act"))</f>
        <v>3.8220000000000001</v>
      </c>
      <c r="D62" s="345">
        <f ca="1">IF(C43=0,"N.D.",C62/C43)</f>
        <v>4.433154708052057E-3</v>
      </c>
      <c r="E62" s="342">
        <f ca="1">INDIRECT(ADDRESS(MATCH($B$40,'ER Ppto'!$B:$B,0)+21,MATCH(TEXT(DATE(YEAR(MES_CIERRE),ROUNDUP(MONTH(MES_CIERRE)/3,0)*3-2,1),"MMMM"),'ER Ppto'!$1:$1,0),,,"ER Ppto"))+INDIRECT(ADDRESS(MATCH($B$40,'ER Ppto'!$B:$B,0)+21,MATCH(TEXT(DATE(YEAR(MES_CIERRE),ROUNDUP(MONTH(MES_CIERRE)/3,0)*3-1,1),"MMMM"),'ER Ppto'!$1:$1,0),,,"ER Ppto"))+INDIRECT(ADDRESS(MATCH($B$40,'ER Ppto'!$B:$B,0)+21,MATCH(TEXT(DATE(YEAR(MES_CIERRE),ROUNDUP(MONTH(MES_CIERRE)/3,0)*3-0,1),"MMMM"),'ER Ppto'!$1:$1,0),,,"ER Ppto"))</f>
        <v>0</v>
      </c>
      <c r="F62" s="329">
        <f ca="1">IF(E$43=0, 0, E62/$E$43)</f>
        <v>0</v>
      </c>
      <c r="G62" s="342">
        <f ca="1">+C62</f>
        <v>3.8220000000000001</v>
      </c>
      <c r="H62" s="329">
        <f ca="1">IF(G$43=0, 0, G62/$G$43)</f>
        <v>4.433154708052057E-3</v>
      </c>
      <c r="I62" s="330">
        <f t="shared" ca="1" si="168"/>
        <v>3.8220000000000001</v>
      </c>
      <c r="J62" s="331" t="str">
        <f t="shared" ca="1" si="169"/>
        <v>N.D.</v>
      </c>
      <c r="K62" s="342">
        <f t="shared" ca="1" si="170"/>
        <v>0</v>
      </c>
      <c r="L62" s="329">
        <f t="shared" ca="1" si="171"/>
        <v>0</v>
      </c>
      <c r="N62" s="9" t="s">
        <v>51</v>
      </c>
      <c r="O62" s="4">
        <f t="shared" ca="1" si="172"/>
        <v>3.8220000000000001</v>
      </c>
      <c r="P62" s="25">
        <f t="shared" ca="1" si="173"/>
        <v>4.433154708052057E-3</v>
      </c>
      <c r="Q62" s="4">
        <f t="shared" ca="1" si="174"/>
        <v>0</v>
      </c>
      <c r="R62" s="25" t="str">
        <f t="shared" ca="1" si="173"/>
        <v>N.D.</v>
      </c>
      <c r="S62" s="4">
        <f t="shared" ca="1" si="175"/>
        <v>0</v>
      </c>
      <c r="T62" s="25" t="str">
        <f t="shared" ref="T62" ca="1" si="193">IF(S62=0,"N.D.",S62/S$43)</f>
        <v>N.D.</v>
      </c>
      <c r="U62" s="4">
        <f t="shared" ca="1" si="177"/>
        <v>0</v>
      </c>
      <c r="V62" s="25" t="str">
        <f t="shared" ref="V62" ca="1" si="194">IF(U62=0,"N.D.",U62/U$43)</f>
        <v>N.D.</v>
      </c>
      <c r="W62" s="4">
        <f t="shared" ca="1" si="92"/>
        <v>3.8220000000000001</v>
      </c>
      <c r="X62" s="25">
        <f t="shared" ref="X62" ca="1" si="195">IF(W62=0,"N.D.",W62/W$43)</f>
        <v>6.8139820344068655E-4</v>
      </c>
      <c r="AD62" s="9" t="s">
        <v>51</v>
      </c>
      <c r="AE62" s="342"/>
      <c r="AF62" s="345" t="str">
        <f>IF(AE43=0,"N.D.",AE62/AE43)</f>
        <v>N.D.</v>
      </c>
      <c r="AG62" s="342"/>
      <c r="AH62" s="345" t="str">
        <f>IF(AG43=0,"N.D.",AG62/AG43)</f>
        <v>N.D.</v>
      </c>
      <c r="AI62" s="342"/>
      <c r="AJ62" s="345" t="str">
        <f>IF(AI43=0,"N.D.",AI62/AI43)</f>
        <v>N.D.</v>
      </c>
      <c r="AK62" s="330">
        <f t="shared" si="180"/>
        <v>0</v>
      </c>
      <c r="AL62" s="331" t="str">
        <f t="shared" si="181"/>
        <v>N.D.</v>
      </c>
      <c r="AM62" s="342">
        <f t="shared" si="182"/>
        <v>0</v>
      </c>
      <c r="AN62" s="329" t="str">
        <f t="shared" si="183"/>
        <v>N.D.</v>
      </c>
      <c r="AP62" s="9" t="s">
        <v>51</v>
      </c>
      <c r="AQ62" s="4">
        <f t="shared" si="184"/>
        <v>0</v>
      </c>
      <c r="AR62" s="25" t="str">
        <f t="shared" si="185"/>
        <v>N.D.</v>
      </c>
      <c r="AS62" s="540">
        <f t="shared" si="186"/>
        <v>0</v>
      </c>
      <c r="AT62" s="25" t="str">
        <f t="shared" si="185"/>
        <v>N.D.</v>
      </c>
      <c r="AU62" s="536">
        <f t="shared" si="187"/>
        <v>0</v>
      </c>
      <c r="AV62" s="25" t="str">
        <f t="shared" ref="AV62" si="196">IF(AU62=0,"N.D.",AU62/AU$43)</f>
        <v>N.D.</v>
      </c>
      <c r="AW62" s="4">
        <f t="shared" si="189"/>
        <v>0</v>
      </c>
      <c r="AX62" s="25" t="str">
        <f t="shared" ref="AX62" si="197">IF(AW62=0,"N.D.",AW62/AW$43)</f>
        <v>N.D.</v>
      </c>
      <c r="AY62" s="4">
        <f t="shared" si="191"/>
        <v>0</v>
      </c>
      <c r="AZ62" s="25" t="str">
        <f t="shared" ref="AZ62" si="198">IF(AY62=0,"N.D.",AY62/AY$43)</f>
        <v>N.D.</v>
      </c>
      <c r="BA62" s="34"/>
      <c r="BB62" s="34"/>
      <c r="BC62" s="33"/>
    </row>
    <row r="63" spans="1:55" ht="13" x14ac:dyDescent="0.3">
      <c r="A63" s="316"/>
      <c r="B63" s="87" t="s">
        <v>53</v>
      </c>
      <c r="C63" s="337">
        <f ca="1">+C59-C61-C62</f>
        <v>-55.164000000000009</v>
      </c>
      <c r="D63" s="334">
        <f ca="1">IF(C43=0,"N.D.",C63/C43)</f>
        <v>-6.3984967638666582E-2</v>
      </c>
      <c r="E63" s="337">
        <f ca="1">+E59-E61-E62</f>
        <v>-51.342000000000006</v>
      </c>
      <c r="F63" s="334">
        <f ca="1">IF(E$43=0, 0, E63/$E$43)</f>
        <v>-5.9551812930614526E-2</v>
      </c>
      <c r="G63" s="337">
        <f ca="1">+G59-G61-G62</f>
        <v>-55.164000000000009</v>
      </c>
      <c r="H63" s="334">
        <f ca="1">IF(G$43=0, 0, G63/$G$43)</f>
        <v>-6.3984967638666582E-2</v>
      </c>
      <c r="I63" s="335">
        <f t="shared" ca="1" si="168"/>
        <v>-3.8220000000000027</v>
      </c>
      <c r="J63" s="336">
        <f t="shared" ca="1" si="169"/>
        <v>7.4441977328502995E-2</v>
      </c>
      <c r="K63" s="337">
        <f t="shared" ca="1" si="170"/>
        <v>0</v>
      </c>
      <c r="L63" s="334">
        <f t="shared" ca="1" si="171"/>
        <v>0</v>
      </c>
      <c r="N63" s="87" t="s">
        <v>53</v>
      </c>
      <c r="O63" s="5">
        <f t="shared" ca="1" si="172"/>
        <v>-55.164000000000009</v>
      </c>
      <c r="P63" s="30">
        <f t="shared" ca="1" si="173"/>
        <v>-6.3984967638666582E-2</v>
      </c>
      <c r="Q63" s="5">
        <f t="shared" ca="1" si="174"/>
        <v>-30.371999999999893</v>
      </c>
      <c r="R63" s="30">
        <f t="shared" ca="1" si="173"/>
        <v>-1.0995161289154747E-2</v>
      </c>
      <c r="S63" s="5">
        <f t="shared" ca="1" si="175"/>
        <v>-107.6930000000001</v>
      </c>
      <c r="T63" s="30">
        <f t="shared" ref="T63" ca="1" si="199">IF(S63=0,"N.D.",S63/S$43)</f>
        <v>-6.6593205320135074E-2</v>
      </c>
      <c r="U63" s="5">
        <f t="shared" ca="1" si="177"/>
        <v>166.34900000000005</v>
      </c>
      <c r="V63" s="30">
        <f t="shared" ref="V63" ca="1" si="200">IF(U63=0,"N.D.",U63/U$43)</f>
        <v>0.4527341113457729</v>
      </c>
      <c r="W63" s="5">
        <f t="shared" ca="1" si="92"/>
        <v>-26.879999999999953</v>
      </c>
      <c r="X63" s="30">
        <f t="shared" ref="X63" ca="1" si="201">IF(W63=0,"N.D.",W63/W$43)</f>
        <v>-4.7922511011213031E-3</v>
      </c>
      <c r="AD63" s="87" t="s">
        <v>53</v>
      </c>
      <c r="AE63" s="337"/>
      <c r="AF63" s="334" t="str">
        <f>IF(AE43=0,"N.D.",AE63/AE43)</f>
        <v>N.D.</v>
      </c>
      <c r="AG63" s="337"/>
      <c r="AH63" s="334" t="str">
        <f>IF(AG43=0,"N.D.",AG63/AG43)</f>
        <v>N.D.</v>
      </c>
      <c r="AI63" s="337"/>
      <c r="AJ63" s="334" t="str">
        <f>IF(AI43=0,"N.D.",AI63/AI43)</f>
        <v>N.D.</v>
      </c>
      <c r="AK63" s="335">
        <f t="shared" si="180"/>
        <v>0</v>
      </c>
      <c r="AL63" s="336" t="str">
        <f t="shared" si="181"/>
        <v>N.D.</v>
      </c>
      <c r="AM63" s="337">
        <f t="shared" si="182"/>
        <v>0</v>
      </c>
      <c r="AN63" s="334" t="str">
        <f t="shared" si="183"/>
        <v>N.D.</v>
      </c>
      <c r="AP63" s="87" t="s">
        <v>53</v>
      </c>
      <c r="AQ63" s="5">
        <f t="shared" si="184"/>
        <v>0</v>
      </c>
      <c r="AR63" s="30" t="str">
        <f t="shared" si="185"/>
        <v>N.D.</v>
      </c>
      <c r="AS63" s="541">
        <f t="shared" ca="1" si="186"/>
        <v>-35.048716962206413</v>
      </c>
      <c r="AT63" s="30">
        <f t="shared" ca="1" si="185"/>
        <v>-1.2380330965102937E-2</v>
      </c>
      <c r="AU63" s="516">
        <f t="shared" ca="1" si="187"/>
        <v>-148.53577649054671</v>
      </c>
      <c r="AV63" s="30">
        <f t="shared" ref="AV63" ca="1" si="202">IF(AU63=0,"N.D.",AU63/AU$43)</f>
        <v>-9.0958834348160877E-2</v>
      </c>
      <c r="AW63" s="5">
        <f t="shared" si="189"/>
        <v>131</v>
      </c>
      <c r="AX63" s="30">
        <f t="shared" ref="AX63" si="203">IF(AW63=0,"N.D.",AW63/AW$43)</f>
        <v>0.42671009771986973</v>
      </c>
      <c r="AY63" s="5">
        <f t="shared" ca="1" si="191"/>
        <v>-52.584493452753122</v>
      </c>
      <c r="AZ63" s="30">
        <f t="shared" ref="AZ63" ca="1" si="204">IF(AY63=0,"N.D.",AY63/AY$43)</f>
        <v>-1.1021692192989546E-2</v>
      </c>
      <c r="BA63" s="34"/>
      <c r="BB63" s="34"/>
      <c r="BC63" s="33"/>
    </row>
    <row r="64" spans="1:55" ht="13" x14ac:dyDescent="0.3">
      <c r="A64" s="316"/>
      <c r="B64" s="7" t="s">
        <v>122</v>
      </c>
      <c r="C64" s="337">
        <f ca="1">+C51+C49</f>
        <v>-33.262000000000008</v>
      </c>
      <c r="D64" s="334">
        <f ca="1">IF(C43=0,"N.D.",C64/C43)</f>
        <v>-3.8580740946945982E-2</v>
      </c>
      <c r="E64" s="337">
        <f ca="1">+E51+E49</f>
        <v>-33.262000000000008</v>
      </c>
      <c r="F64" s="334">
        <f ca="1">IF(E$43=0, 0, E64/$E$43)</f>
        <v>-3.8580740946945982E-2</v>
      </c>
      <c r="G64" s="337">
        <f ca="1">+G51+G49</f>
        <v>-33.262000000000008</v>
      </c>
      <c r="H64" s="334">
        <f ca="1">IF(G$43=0, 0, G64/$G$43)</f>
        <v>-3.8580740946945982E-2</v>
      </c>
      <c r="I64" s="335">
        <f t="shared" ca="1" si="168"/>
        <v>0</v>
      </c>
      <c r="J64" s="336">
        <f t="shared" ca="1" si="169"/>
        <v>0</v>
      </c>
      <c r="K64" s="337">
        <f t="shared" ca="1" si="170"/>
        <v>0</v>
      </c>
      <c r="L64" s="334">
        <f t="shared" ca="1" si="171"/>
        <v>0</v>
      </c>
      <c r="N64" s="7" t="s">
        <v>122</v>
      </c>
      <c r="O64" s="5">
        <f t="shared" ca="1" si="172"/>
        <v>-33.262000000000008</v>
      </c>
      <c r="P64" s="30">
        <f t="shared" ca="1" si="173"/>
        <v>-3.8580740946945982E-2</v>
      </c>
      <c r="Q64" s="5">
        <f t="shared" ca="1" si="174"/>
        <v>55.117000000000118</v>
      </c>
      <c r="R64" s="30">
        <f t="shared" ca="1" si="173"/>
        <v>1.9953256445882576E-2</v>
      </c>
      <c r="S64" s="5">
        <f t="shared" ca="1" si="175"/>
        <v>-74.1490000000001</v>
      </c>
      <c r="T64" s="30">
        <f t="shared" ref="T64" ca="1" si="205">IF(S64=0,"N.D.",S64/S$43)</f>
        <v>-4.5850887070493888E-2</v>
      </c>
      <c r="U64" s="5">
        <f t="shared" ca="1" si="177"/>
        <v>328.94200000000001</v>
      </c>
      <c r="V64" s="30">
        <f t="shared" ref="V64" ca="1" si="206">IF(U64=0,"N.D.",U64/U$43)</f>
        <v>0.89524592305515027</v>
      </c>
      <c r="W64" s="5">
        <f t="shared" ca="1" si="92"/>
        <v>276.64800000000002</v>
      </c>
      <c r="X64" s="30">
        <f t="shared" ref="X64" ca="1" si="207">IF(W64=0,"N.D.",W64/W$43)</f>
        <v>4.9321677180915506E-2</v>
      </c>
      <c r="AD64" s="7" t="s">
        <v>122</v>
      </c>
      <c r="AE64" s="337"/>
      <c r="AF64" s="334" t="str">
        <f>IF(AE43=0,"N.D.",AE64/AE43)</f>
        <v>N.D.</v>
      </c>
      <c r="AG64" s="337"/>
      <c r="AH64" s="334" t="str">
        <f>IF(AG43=0,"N.D.",AG64/AG43)</f>
        <v>N.D.</v>
      </c>
      <c r="AI64" s="337"/>
      <c r="AJ64" s="334" t="str">
        <f>IF(AI43=0,"N.D.",AI64/AI43)</f>
        <v>N.D.</v>
      </c>
      <c r="AK64" s="335">
        <f t="shared" si="180"/>
        <v>0</v>
      </c>
      <c r="AL64" s="336" t="str">
        <f t="shared" si="181"/>
        <v>N.D.</v>
      </c>
      <c r="AM64" s="337">
        <f t="shared" si="182"/>
        <v>0</v>
      </c>
      <c r="AN64" s="334" t="str">
        <f t="shared" si="183"/>
        <v>N.D.</v>
      </c>
      <c r="AP64" s="7" t="s">
        <v>122</v>
      </c>
      <c r="AQ64" s="5">
        <f t="shared" si="184"/>
        <v>0</v>
      </c>
      <c r="AR64" s="30" t="str">
        <f t="shared" si="185"/>
        <v>N.D.</v>
      </c>
      <c r="AS64" s="541">
        <f t="shared" ca="1" si="186"/>
        <v>26.951283037793587</v>
      </c>
      <c r="AT64" s="30">
        <f t="shared" ca="1" si="185"/>
        <v>9.5200575901778824E-3</v>
      </c>
      <c r="AU64" s="516">
        <f t="shared" ca="1" si="187"/>
        <v>-90.535776490546709</v>
      </c>
      <c r="AV64" s="30">
        <f t="shared" ref="AV64" ca="1" si="208">IF(AU64=0,"N.D.",AU64/AU$43)</f>
        <v>-5.544138180682591E-2</v>
      </c>
      <c r="AW64" s="5">
        <f t="shared" si="189"/>
        <v>275</v>
      </c>
      <c r="AX64" s="30">
        <f t="shared" ref="AX64" si="209">IF(AW64=0,"N.D.",AW64/AW$43)</f>
        <v>0.89576547231270354</v>
      </c>
      <c r="AY64" s="5">
        <f t="shared" ca="1" si="191"/>
        <v>211.41550654724688</v>
      </c>
      <c r="AZ64" s="30">
        <f t="shared" ref="AZ64" ca="1" si="210">IF(AY64=0,"N.D.",AY64/AY$43)</f>
        <v>4.4312619272112108E-2</v>
      </c>
      <c r="BA64" s="34"/>
      <c r="BB64" s="34"/>
      <c r="BC64" s="33"/>
    </row>
    <row r="65" spans="1:55" ht="13" x14ac:dyDescent="0.3">
      <c r="A65" s="317"/>
      <c r="B65" s="1" t="s">
        <v>194</v>
      </c>
      <c r="C65" s="373">
        <f ca="1">INDIRECT(ADDRESS(MATCH($B$40,'ER Act'!$B:$B,0)+24,MATCH(TEXT(DATE(YEAR(MES_CIERRE),ROUNDUP(MONTH(MES_CIERRE)/3,0)*3-2,1),"MMMM"),'ER Act'!$1:$1,0),,,"ER Act"))+INDIRECT(ADDRESS(MATCH($B$40,'ER Act'!$B:$B,0)+24,MATCH(TEXT(DATE(YEAR(MES_CIERRE),ROUNDUP(MONTH(MES_CIERRE)/3,0)*3-1,1),"MMMM"),'ER Act'!$1:$1,0),,,"ER Act"))+INDIRECT(ADDRESS(MATCH($B$40,'ER Act'!$B:$B,0)+24,MATCH(TEXT(DATE(YEAR(MES_CIERRE),ROUNDUP(MONTH(MES_CIERRE)/3,0)*3-0,1),"MMMM"),'ER Act'!$1:$1,0),,,"ER Act"))</f>
        <v>0</v>
      </c>
      <c r="D65" s="324">
        <f ca="1">IF(C$43=0, 0, C65/C$43)</f>
        <v>0</v>
      </c>
      <c r="E65" s="447">
        <f ca="1">INDIRECT(ADDRESS(MATCH($B$40,'ER Ppto'!$B:$B,0)+24,MATCH(TEXT(DATE(YEAR(MES_CIERRE),ROUNDUP(MONTH(MES_CIERRE)/3,0)*3-2,1),"MMMM"),'ER Ppto'!$1:$1,0),,,"ER Ppto"))+INDIRECT(ADDRESS(MATCH($B$40,'ER Ppto'!$B:$B,0)+24,MATCH(TEXT(DATE(YEAR(MES_CIERRE),ROUNDUP(MONTH(MES_CIERRE)/3,0)*3-1,1),"MMMM"),'ER Ppto'!$1:$1,0),,,"ER Ppto"))+INDIRECT(ADDRESS(MATCH($B$40,'ER Ppto'!$B:$B,0)+24,MATCH(TEXT(DATE(YEAR(MES_CIERRE),ROUNDUP(MONTH(MES_CIERRE)/3,0)*3-0,1),"MMMM"),'ER Ppto'!$1:$1,0),,,"ER Ppto"))</f>
        <v>0</v>
      </c>
      <c r="F65" s="324">
        <f ca="1">IF(E$43=0, 0, E65/E$43)</f>
        <v>0</v>
      </c>
      <c r="G65" s="447">
        <f ca="1">INDIRECT(ADDRESS(MATCH($B$40,'ER AA'!$B:$B,0)+24,MATCH(TEXT(DATE(YEAR(MES_CIERRE),ROUNDUP(MONTH(MES_CIERRE)/3,0)*3-2,1),"MMMM"),'ER AA'!$1:$1,0),,,"ER AA"))+INDIRECT(ADDRESS(MATCH($B$40,'ER AA'!$B:$B,0)+24,MATCH(TEXT(DATE(YEAR(MES_CIERRE),ROUNDUP(MONTH(MES_CIERRE)/3,0)*3-1,1),"MMMM"),'ER AA'!$1:$1,0),,,"ER AA"))+INDIRECT(ADDRESS(MATCH($B$40,'ER AA'!$B:$B,0)+24,MATCH(TEXT(DATE(YEAR(MES_CIERRE),ROUNDUP(MONTH(MES_CIERRE)/3,0)*3-0,1),"MMMM"),'ER AA'!$1:$1,0),,,"ER AA"))</f>
        <v>0</v>
      </c>
      <c r="H65" s="324">
        <f ca="1">IF(G$43=0, 0, G65/G$43)</f>
        <v>0</v>
      </c>
      <c r="I65" s="370">
        <f t="shared" ca="1" si="168"/>
        <v>0</v>
      </c>
      <c r="J65" s="326" t="str">
        <f t="shared" ca="1" si="169"/>
        <v>N.D.</v>
      </c>
      <c r="K65" s="370">
        <f t="shared" ca="1" si="170"/>
        <v>0</v>
      </c>
      <c r="L65" s="324" t="str">
        <f t="shared" ca="1" si="171"/>
        <v>N.D.</v>
      </c>
      <c r="N65" s="1" t="s">
        <v>194</v>
      </c>
      <c r="O65" s="3">
        <f t="shared" ca="1" si="172"/>
        <v>0</v>
      </c>
      <c r="P65" s="78" t="str">
        <f t="shared" ca="1" si="173"/>
        <v>N.D.</v>
      </c>
      <c r="Q65" s="3">
        <f t="shared" ca="1" si="174"/>
        <v>0</v>
      </c>
      <c r="R65" s="78" t="str">
        <f t="shared" ca="1" si="173"/>
        <v>N.D.</v>
      </c>
      <c r="S65" s="3">
        <f t="shared" ca="1" si="175"/>
        <v>0</v>
      </c>
      <c r="T65" s="78" t="str">
        <f t="shared" ref="T65" ca="1" si="211">IF(S65=0,"N.D.",S65/S$43)</f>
        <v>N.D.</v>
      </c>
      <c r="U65" s="3">
        <f t="shared" ca="1" si="177"/>
        <v>0</v>
      </c>
      <c r="V65" s="78" t="str">
        <f t="shared" ref="V65" ca="1" si="212">IF(U65=0,"N.D.",U65/U$43)</f>
        <v>N.D.</v>
      </c>
      <c r="W65" s="3">
        <f t="shared" ca="1" si="92"/>
        <v>0</v>
      </c>
      <c r="X65" s="78" t="str">
        <f t="shared" ref="X65" ca="1" si="213">IF(W65=0,"N.D.",W65/W$43)</f>
        <v>N.D.</v>
      </c>
      <c r="AD65" s="1" t="s">
        <v>194</v>
      </c>
      <c r="AE65" s="373"/>
      <c r="AF65" s="324">
        <f>IF(AE$43=0, 0, AE65/AE$43)</f>
        <v>0</v>
      </c>
      <c r="AG65" s="447"/>
      <c r="AH65" s="324">
        <f>IF(AG$43=0, 0, AG65/AG$43)</f>
        <v>0</v>
      </c>
      <c r="AI65" s="447"/>
      <c r="AJ65" s="324">
        <f>IF(AI$43=0, 0, AI65/AI$43)</f>
        <v>0</v>
      </c>
      <c r="AK65" s="370">
        <f t="shared" si="180"/>
        <v>0</v>
      </c>
      <c r="AL65" s="326" t="str">
        <f t="shared" si="181"/>
        <v>N.D.</v>
      </c>
      <c r="AM65" s="370">
        <f t="shared" si="182"/>
        <v>0</v>
      </c>
      <c r="AN65" s="324" t="str">
        <f t="shared" si="183"/>
        <v>N.D.</v>
      </c>
      <c r="AP65" s="1" t="s">
        <v>194</v>
      </c>
      <c r="AQ65" s="3">
        <f t="shared" si="184"/>
        <v>0</v>
      </c>
      <c r="AR65" s="78" t="str">
        <f t="shared" si="185"/>
        <v>N.D.</v>
      </c>
      <c r="AS65" s="539">
        <f t="shared" si="186"/>
        <v>0</v>
      </c>
      <c r="AT65" s="78" t="str">
        <f t="shared" si="185"/>
        <v>N.D.</v>
      </c>
      <c r="AU65" s="525">
        <f t="shared" si="187"/>
        <v>0</v>
      </c>
      <c r="AV65" s="78" t="str">
        <f t="shared" ref="AV65" si="214">IF(AU65=0,"N.D.",AU65/AU$43)</f>
        <v>N.D.</v>
      </c>
      <c r="AW65" s="3">
        <f t="shared" si="189"/>
        <v>0</v>
      </c>
      <c r="AX65" s="78" t="str">
        <f t="shared" ref="AX65" si="215">IF(AW65=0,"N.D.",AW65/AW$43)</f>
        <v>N.D.</v>
      </c>
      <c r="AY65" s="3">
        <f t="shared" si="191"/>
        <v>0</v>
      </c>
      <c r="AZ65" s="78" t="str">
        <f t="shared" ref="AZ65" si="216">IF(AY65=0,"N.D.",AY65/AY$43)</f>
        <v>N.D.</v>
      </c>
      <c r="BA65" s="34"/>
      <c r="BB65" s="34"/>
      <c r="BC65" s="33"/>
    </row>
    <row r="66" spans="1:55" ht="13" x14ac:dyDescent="0.3">
      <c r="A66" s="317"/>
      <c r="B66" s="1" t="s">
        <v>123</v>
      </c>
      <c r="C66" s="408">
        <f ca="1">INDIRECT(ADDRESS(MATCH($B$40,'ER Act'!$B:$B,0)+25,MATCH(TEXT(DATE(YEAR(MES_CIERRE),ROUNDUP(MONTH(MES_CIERRE)/3,0)*3-2,1),"MMMM"),'ER Act'!$1:$1,0),,,"ER Act"))+INDIRECT(ADDRESS(MATCH($B$40,'ER Act'!$B:$B,0)+25,MATCH(TEXT(DATE(YEAR(MES_CIERRE),ROUNDUP(MONTH(MES_CIERRE)/3,0)*3-1,1),"MMMM"),'ER Act'!$1:$1,0),,,"ER Act"))+INDIRECT(ADDRESS(MATCH($B$40,'ER Act'!$B:$B,0)+25,MATCH(TEXT(DATE(YEAR(MES_CIERRE),ROUNDUP(MONTH(MES_CIERRE)/3,0)*3-0,1),"MMMM"),'ER Act'!$1:$1,0),,,"ER Act"))</f>
        <v>0</v>
      </c>
      <c r="D66" s="329">
        <f ca="1">IF(C$43=0, 0, C66/C$43)</f>
        <v>0</v>
      </c>
      <c r="E66" s="448">
        <f ca="1">INDIRECT(ADDRESS(MATCH($B$40,'ER Ppto'!$B:$B,0)+25,MATCH(TEXT(DATE(YEAR(MES_CIERRE),ROUNDUP(MONTH(MES_CIERRE)/3,0)*3-2,1),"MMMM"),'ER Ppto'!$1:$1,0),,,"ER Ppto"))+INDIRECT(ADDRESS(MATCH($B$40,'ER Ppto'!$B:$B,0)+25,MATCH(TEXT(DATE(YEAR(MES_CIERRE),ROUNDUP(MONTH(MES_CIERRE)/3,0)*3-1,1),"MMMM"),'ER Ppto'!$1:$1,0),,,"ER Ppto"))+INDIRECT(ADDRESS(MATCH($B$40,'ER Ppto'!$B:$B,0)+25,MATCH(TEXT(DATE(YEAR(MES_CIERRE),ROUNDUP(MONTH(MES_CIERRE)/3,0)*3-0,1),"MMMM"),'ER Ppto'!$1:$1,0),,,"ER Ppto"))</f>
        <v>0</v>
      </c>
      <c r="F66" s="329">
        <f ca="1">IF(E$43=0, 0, E66/E$43)</f>
        <v>0</v>
      </c>
      <c r="G66" s="448">
        <f ca="1">INDIRECT(ADDRESS(MATCH($B$40,'ER AA'!$B:$B,0)+25,MATCH(TEXT(DATE(YEAR(MES_CIERRE),ROUNDUP(MONTH(MES_CIERRE)/3,0)*3-2,1),"MMMM"),'ER AA'!$1:$1,0),,,"ER AA"))+INDIRECT(ADDRESS(MATCH($B$40,'ER AA'!$B:$B,0)+25,MATCH(TEXT(DATE(YEAR(MES_CIERRE),ROUNDUP(MONTH(MES_CIERRE)/3,0)*3-1,1),"MMMM"),'ER AA'!$1:$1,0),,,"ER AA"))+INDIRECT(ADDRESS(MATCH($B$40,'ER AA'!$B:$B,0)+25,MATCH(TEXT(DATE(YEAR(MES_CIERRE),ROUNDUP(MONTH(MES_CIERRE)/3,0)*3-0,1),"MMMM"),'ER AA'!$1:$1,0),,,"ER AA"))</f>
        <v>0</v>
      </c>
      <c r="H66" s="329">
        <f ca="1">IF(G$43=0, 0, G66/G$43)</f>
        <v>0</v>
      </c>
      <c r="I66" s="371">
        <f t="shared" ca="1" si="168"/>
        <v>0</v>
      </c>
      <c r="J66" s="372" t="str">
        <f t="shared" ca="1" si="169"/>
        <v>N.D.</v>
      </c>
      <c r="K66" s="371">
        <f t="shared" ca="1" si="170"/>
        <v>0</v>
      </c>
      <c r="L66" s="329" t="str">
        <f t="shared" ca="1" si="171"/>
        <v>N.D.</v>
      </c>
      <c r="N66" s="1" t="s">
        <v>123</v>
      </c>
      <c r="O66" s="4">
        <f t="shared" ca="1" si="172"/>
        <v>0</v>
      </c>
      <c r="P66" s="79" t="str">
        <f t="shared" ca="1" si="173"/>
        <v>N.D.</v>
      </c>
      <c r="Q66" s="4">
        <f t="shared" ca="1" si="174"/>
        <v>0</v>
      </c>
      <c r="R66" s="79" t="str">
        <f t="shared" ca="1" si="173"/>
        <v>N.D.</v>
      </c>
      <c r="S66" s="4">
        <f t="shared" ca="1" si="175"/>
        <v>0</v>
      </c>
      <c r="T66" s="79" t="str">
        <f t="shared" ref="T66" ca="1" si="217">IF(S66=0,"N.D.",S66/S$43)</f>
        <v>N.D.</v>
      </c>
      <c r="U66" s="4">
        <f t="shared" ca="1" si="177"/>
        <v>0</v>
      </c>
      <c r="V66" s="79" t="str">
        <f t="shared" ref="V66" ca="1" si="218">IF(U66=0,"N.D.",U66/U$43)</f>
        <v>N.D.</v>
      </c>
      <c r="W66" s="4">
        <f t="shared" ca="1" si="92"/>
        <v>0</v>
      </c>
      <c r="X66" s="79" t="str">
        <f t="shared" ref="X66" ca="1" si="219">IF(W66=0,"N.D.",W66/W$43)</f>
        <v>N.D.</v>
      </c>
      <c r="AD66" s="1" t="s">
        <v>123</v>
      </c>
      <c r="AE66" s="408"/>
      <c r="AF66" s="329">
        <f>IF(AE$43=0, 0, AE66/AE$43)</f>
        <v>0</v>
      </c>
      <c r="AG66" s="448"/>
      <c r="AH66" s="329">
        <f>IF(AG$43=0, 0, AG66/AG$43)</f>
        <v>0</v>
      </c>
      <c r="AI66" s="448"/>
      <c r="AJ66" s="329">
        <f>IF(AI$43=0, 0, AI66/AI$43)</f>
        <v>0</v>
      </c>
      <c r="AK66" s="371">
        <f t="shared" si="180"/>
        <v>0</v>
      </c>
      <c r="AL66" s="372" t="str">
        <f t="shared" si="181"/>
        <v>N.D.</v>
      </c>
      <c r="AM66" s="371">
        <f t="shared" si="182"/>
        <v>0</v>
      </c>
      <c r="AN66" s="329" t="str">
        <f t="shared" si="183"/>
        <v>N.D.</v>
      </c>
      <c r="AP66" s="1" t="s">
        <v>123</v>
      </c>
      <c r="AQ66" s="4">
        <f t="shared" si="184"/>
        <v>0</v>
      </c>
      <c r="AR66" s="79" t="str">
        <f t="shared" si="185"/>
        <v>N.D.</v>
      </c>
      <c r="AS66" s="540">
        <f t="shared" si="186"/>
        <v>0</v>
      </c>
      <c r="AT66" s="79" t="str">
        <f t="shared" si="185"/>
        <v>N.D.</v>
      </c>
      <c r="AU66" s="536">
        <f t="shared" si="187"/>
        <v>0</v>
      </c>
      <c r="AV66" s="79" t="str">
        <f t="shared" ref="AV66" si="220">IF(AU66=0,"N.D.",AU66/AU$43)</f>
        <v>N.D.</v>
      </c>
      <c r="AW66" s="4">
        <f t="shared" si="189"/>
        <v>0</v>
      </c>
      <c r="AX66" s="79" t="str">
        <f t="shared" ref="AX66" si="221">IF(AW66=0,"N.D.",AW66/AW$43)</f>
        <v>N.D.</v>
      </c>
      <c r="AY66" s="4">
        <f t="shared" si="191"/>
        <v>0</v>
      </c>
      <c r="AZ66" s="79" t="str">
        <f t="shared" ref="AZ66" si="222">IF(AY66=0,"N.D.",AY66/AY$43)</f>
        <v>N.D.</v>
      </c>
      <c r="BA66" s="34"/>
      <c r="BB66" s="34"/>
      <c r="BC66" s="33"/>
    </row>
    <row r="67" spans="1:55" ht="13" x14ac:dyDescent="0.3">
      <c r="A67" s="317"/>
      <c r="B67" s="7" t="s">
        <v>190</v>
      </c>
      <c r="C67" s="410">
        <f ca="1">+C63+C49+C65+C66</f>
        <v>-39.782000000000011</v>
      </c>
      <c r="D67" s="334">
        <f ca="1">IF(C43=0,"N.D.",C67/C43)</f>
        <v>-4.6143317790614063E-2</v>
      </c>
      <c r="E67" s="410">
        <f ca="1">+E63+E49+E65+E66</f>
        <v>-35.960000000000008</v>
      </c>
      <c r="F67" s="334">
        <f ca="1">IF(E43=0,"N.D.",E67/E43)</f>
        <v>-4.1710163082562007E-2</v>
      </c>
      <c r="G67" s="410">
        <f ca="1">+G63+G49+G65+G66</f>
        <v>-39.782000000000011</v>
      </c>
      <c r="H67" s="334">
        <f ca="1">IF(G43=0,"N.D.",G67/G43)</f>
        <v>-4.6143317790614063E-2</v>
      </c>
      <c r="I67" s="367">
        <f t="shared" ca="1" si="168"/>
        <v>-3.8220000000000027</v>
      </c>
      <c r="J67" s="368">
        <f t="shared" ca="1" si="169"/>
        <v>0.10628476084538385</v>
      </c>
      <c r="K67" s="369">
        <f t="shared" ca="1" si="170"/>
        <v>0</v>
      </c>
      <c r="L67" s="366">
        <f t="shared" ca="1" si="171"/>
        <v>0</v>
      </c>
      <c r="N67" s="7" t="s">
        <v>190</v>
      </c>
      <c r="O67" s="5">
        <f t="shared" ca="1" si="172"/>
        <v>-39.782000000000011</v>
      </c>
      <c r="P67" s="105">
        <f ca="1">IF(O67=0,"N.D.",O67/O$43)</f>
        <v>-4.6143317790614063E-2</v>
      </c>
      <c r="Q67" s="5">
        <f t="shared" ca="1" si="174"/>
        <v>-16.773999999999894</v>
      </c>
      <c r="R67" s="105">
        <f ca="1">IF(Q67=0,"N.D.",Q67/Q$43)</f>
        <v>-6.0724626453404849E-3</v>
      </c>
      <c r="S67" s="5">
        <f t="shared" ca="1" si="175"/>
        <v>-55.005000000000102</v>
      </c>
      <c r="T67" s="105">
        <f ca="1">IF(S67=0,"N.D.",S67/S$43)</f>
        <v>-3.4012974461051636E-2</v>
      </c>
      <c r="U67" s="5">
        <f t="shared" ca="1" si="177"/>
        <v>229.35500000000005</v>
      </c>
      <c r="V67" s="105">
        <f ca="1">IF(U67=0,"N.D.",U67/U$43)</f>
        <v>0.62421073831348395</v>
      </c>
      <c r="W67" s="5">
        <f t="shared" ca="1" si="92"/>
        <v>117.79400000000004</v>
      </c>
      <c r="X67" s="105">
        <f ca="1">IF(W67=0,"N.D.",W67/W$43)</f>
        <v>2.1000685498715921E-2</v>
      </c>
      <c r="AD67" s="7" t="s">
        <v>190</v>
      </c>
      <c r="AE67" s="410"/>
      <c r="AF67" s="334" t="str">
        <f>IF(AE43=0,"N.D.",AE67/AE43)</f>
        <v>N.D.</v>
      </c>
      <c r="AG67" s="410"/>
      <c r="AH67" s="334" t="str">
        <f>IF(AG43=0,"N.D.",AG67/AG43)</f>
        <v>N.D.</v>
      </c>
      <c r="AI67" s="410"/>
      <c r="AJ67" s="334" t="str">
        <f>IF(AI43=0,"N.D.",AI67/AI43)</f>
        <v>N.D.</v>
      </c>
      <c r="AK67" s="367">
        <f t="shared" si="180"/>
        <v>0</v>
      </c>
      <c r="AL67" s="368" t="str">
        <f t="shared" si="181"/>
        <v>N.D.</v>
      </c>
      <c r="AM67" s="369">
        <f t="shared" si="182"/>
        <v>0</v>
      </c>
      <c r="AN67" s="366" t="str">
        <f t="shared" si="183"/>
        <v>N.D.</v>
      </c>
      <c r="AP67" s="7" t="s">
        <v>190</v>
      </c>
      <c r="AQ67" s="5">
        <f t="shared" si="184"/>
        <v>0</v>
      </c>
      <c r="AR67" s="105" t="str">
        <f t="shared" si="185"/>
        <v>N.D.</v>
      </c>
      <c r="AS67" s="541">
        <f t="shared" ca="1" si="186"/>
        <v>-26.048716962206413</v>
      </c>
      <c r="AT67" s="105">
        <f t="shared" ca="1" si="185"/>
        <v>-9.2012423038524953E-3</v>
      </c>
      <c r="AU67" s="516">
        <f t="shared" ca="1" si="187"/>
        <v>-76.535776490546709</v>
      </c>
      <c r="AV67" s="105">
        <f t="shared" ref="AV67" ca="1" si="223">IF(AU67=0,"N.D.",AU67/AU$43)</f>
        <v>-4.6868203607193328E-2</v>
      </c>
      <c r="AW67" s="5">
        <f t="shared" si="189"/>
        <v>194</v>
      </c>
      <c r="AX67" s="105">
        <f t="shared" ref="AX67" si="224">IF(AW67=0,"N.D.",AW67/AW$43)</f>
        <v>0.63192182410423448</v>
      </c>
      <c r="AY67" s="5">
        <f t="shared" ca="1" si="191"/>
        <v>91.415506547246878</v>
      </c>
      <c r="AZ67" s="105">
        <f t="shared" ref="AZ67" ca="1" si="225">IF(AY67=0,"N.D.",AY67/AY$43)</f>
        <v>1.916065951524772E-2</v>
      </c>
      <c r="BA67" s="34"/>
      <c r="BB67" s="34"/>
      <c r="BC67" s="33"/>
    </row>
    <row r="68" spans="1:55" ht="13" x14ac:dyDescent="0.3">
      <c r="B68" s="7" t="s">
        <v>191</v>
      </c>
      <c r="C68" s="381">
        <f ca="1">INDIRECT(ADDRESS(MATCH($B$40,'ER Act'!$B:$B,0)+27,MATCH(TEXT(DATE(YEAR(MES_CIERRE),ROUNDUP(MONTH(MES_CIERRE)/3,0)*3-2,1),"MMMM"),'ER Act'!$1:$1,0),,,"ER Act"))+INDIRECT(ADDRESS(MATCH($B$40,'ER Act'!$B:$B,0)+27,MATCH(TEXT(DATE(YEAR(MES_CIERRE),ROUNDUP(MONTH(MES_CIERRE)/3,0)*3-1,1),"MMMM"),'ER Act'!$1:$1,0),,,"ER Act"))+INDIRECT(ADDRESS(MATCH($B$40,'ER Act'!$B:$B,0)+27,MATCH(TEXT(DATE(YEAR(MES_CIERRE),ROUNDUP(MONTH(MES_CIERRE)/3,0)*3-0,1),"MMMM"),'ER Act'!$1:$1,0),,,"ER Act"))</f>
        <v>0</v>
      </c>
      <c r="D68" s="329">
        <f ca="1">IF(C$43=0, 0, C68/C$43)</f>
        <v>0</v>
      </c>
      <c r="E68" s="381">
        <f ca="1">INDIRECT(ADDRESS(MATCH($B$40,'ER Ppto'!$B:$B,0)+27,MATCH(TEXT(DATE(YEAR(MES_CIERRE),ROUNDUP(MONTH(MES_CIERRE)/3,0)*3-2,1),"MMMM"),'ER Ppto'!$1:$1,0),,,"ER Ppto"))+INDIRECT(ADDRESS(MATCH($B$40,'ER Ppto'!$B:$B,0)+27,MATCH(TEXT(DATE(YEAR(MES_CIERRE),ROUNDUP(MONTH(MES_CIERRE)/3,0)*3-1,1),"MMMM"),'ER Ppto'!$1:$1,0),,,"ER Ppto"))+INDIRECT(ADDRESS(MATCH($B$40,'ER Ppto'!$B:$B,0)+27,MATCH(TEXT(DATE(YEAR(MES_CIERRE),ROUNDUP(MONTH(MES_CIERRE)/3,0)*3-0,1),"MMMM"),'ER Ppto'!$1:$1,0),,,"ER Ppto"))</f>
        <v>0</v>
      </c>
      <c r="F68" s="329">
        <f ca="1">IF(E$43=0, 0, E68/E$43)</f>
        <v>0</v>
      </c>
      <c r="G68" s="381">
        <f ca="1">INDIRECT(ADDRESS(MATCH($B$40,'ER AA'!$B:$B,0)+27,MATCH(TEXT(DATE(YEAR(MES_CIERRE),ROUNDUP(MONTH(MES_CIERRE)/3,0)*3-2,1),"MMMM"),'ER AA'!$1:$1,0),,,"ER AA"))+INDIRECT(ADDRESS(MATCH($B$40,'ER AA'!$B:$B,0)+27,MATCH(TEXT(DATE(YEAR(MES_CIERRE),ROUNDUP(MONTH(MES_CIERRE)/3,0)*3-1,1),"MMMM"),'ER AA'!$1:$1,0),,,"ER AA"))+INDIRECT(ADDRESS(MATCH($B$40,'ER AA'!$B:$B,0)+27,MATCH(TEXT(DATE(YEAR(MES_CIERRE),ROUNDUP(MONTH(MES_CIERRE)/3,0)*3-0,1),"MMMM"),'ER AA'!$1:$1,0),,,"ER AA"))</f>
        <v>34.399260000000005</v>
      </c>
      <c r="H68" s="329">
        <f ca="1">IF(G$43=0, 0, G68/G$43)</f>
        <v>3.9899853852042595E-2</v>
      </c>
      <c r="I68" s="335">
        <f t="shared" ca="1" si="168"/>
        <v>0</v>
      </c>
      <c r="J68" s="336" t="str">
        <f t="shared" ca="1" si="169"/>
        <v>N.D.</v>
      </c>
      <c r="K68" s="337">
        <f t="shared" ca="1" si="170"/>
        <v>-34.399260000000005</v>
      </c>
      <c r="L68" s="334">
        <f t="shared" ca="1" si="171"/>
        <v>-1</v>
      </c>
      <c r="N68" s="7" t="s">
        <v>191</v>
      </c>
      <c r="O68" s="106">
        <f t="shared" ca="1" si="172"/>
        <v>0</v>
      </c>
      <c r="P68" s="105" t="str">
        <f t="shared" ca="1" si="173"/>
        <v>N.D.</v>
      </c>
      <c r="Q68" s="106">
        <f t="shared" ca="1" si="174"/>
        <v>27.972709999999999</v>
      </c>
      <c r="R68" s="105">
        <f t="shared" ca="1" si="173"/>
        <v>1.0126579024916139E-2</v>
      </c>
      <c r="S68" s="106">
        <f t="shared" ca="1" si="175"/>
        <v>0</v>
      </c>
      <c r="T68" s="105" t="str">
        <f t="shared" ref="T68" ca="1" si="226">IF(S68=0,"N.D.",S68/S$43)</f>
        <v>N.D.</v>
      </c>
      <c r="U68" s="106">
        <f t="shared" si="177"/>
        <v>0</v>
      </c>
      <c r="V68" s="105" t="str">
        <f t="shared" ref="V68" si="227">IF(U68=0,"N.D.",U68/U$43)</f>
        <v>N.D.</v>
      </c>
      <c r="W68" s="106">
        <f t="shared" ca="1" si="92"/>
        <v>27.972709999999999</v>
      </c>
      <c r="X68" s="105">
        <f t="shared" ref="X68" ca="1" si="228">IF(W68=0,"N.D.",W68/W$43)</f>
        <v>4.987062883141634E-3</v>
      </c>
      <c r="AD68" s="7" t="s">
        <v>191</v>
      </c>
      <c r="AE68" s="381"/>
      <c r="AF68" s="329">
        <f>IF(AE$43=0, 0, AE68/AE$43)</f>
        <v>0</v>
      </c>
      <c r="AG68" s="381"/>
      <c r="AH68" s="329">
        <f>IF(AG$43=0, 0, AG68/AG$43)</f>
        <v>0</v>
      </c>
      <c r="AI68" s="381"/>
      <c r="AJ68" s="329">
        <f>IF(AI$43=0, 0, AI68/AI$43)</f>
        <v>0</v>
      </c>
      <c r="AK68" s="335">
        <f t="shared" si="180"/>
        <v>0</v>
      </c>
      <c r="AL68" s="336" t="str">
        <f t="shared" si="181"/>
        <v>N.D.</v>
      </c>
      <c r="AM68" s="337">
        <f t="shared" si="182"/>
        <v>0</v>
      </c>
      <c r="AN68" s="334" t="str">
        <f t="shared" si="183"/>
        <v>N.D.</v>
      </c>
      <c r="AP68" s="7" t="s">
        <v>191</v>
      </c>
      <c r="AQ68" s="106">
        <f t="shared" si="184"/>
        <v>0</v>
      </c>
      <c r="AR68" s="105" t="str">
        <f t="shared" si="185"/>
        <v>N.D.</v>
      </c>
      <c r="AS68" s="541">
        <f t="shared" si="186"/>
        <v>0</v>
      </c>
      <c r="AT68" s="105" t="str">
        <f t="shared" si="185"/>
        <v>N.D.</v>
      </c>
      <c r="AU68" s="516">
        <f t="shared" si="187"/>
        <v>0</v>
      </c>
      <c r="AV68" s="105" t="str">
        <f t="shared" ref="AV68" si="229">IF(AU68=0,"N.D.",AU68/AU$43)</f>
        <v>N.D.</v>
      </c>
      <c r="AW68" s="106">
        <f t="shared" si="189"/>
        <v>0</v>
      </c>
      <c r="AX68" s="105" t="str">
        <f t="shared" ref="AX68" si="230">IF(AW68=0,"N.D.",AW68/AW$43)</f>
        <v>N.D.</v>
      </c>
      <c r="AY68" s="106">
        <f t="shared" si="191"/>
        <v>0</v>
      </c>
      <c r="AZ68" s="105" t="str">
        <f t="shared" ref="AZ68" si="231">IF(AY68=0,"N.D.",AY68/AY$43)</f>
        <v>N.D.</v>
      </c>
      <c r="BA68" s="34"/>
      <c r="BB68" s="34"/>
      <c r="BC68" s="33"/>
    </row>
    <row r="69" spans="1:55" ht="13" x14ac:dyDescent="0.3">
      <c r="A69" s="316"/>
      <c r="B69" s="7" t="s">
        <v>84</v>
      </c>
      <c r="C69" s="381">
        <f ca="1">C67-C68</f>
        <v>-39.782000000000011</v>
      </c>
      <c r="D69" s="334">
        <f ca="1">IF(C43=0,"N.D.",C69/C43)</f>
        <v>-4.6143317790614063E-2</v>
      </c>
      <c r="E69" s="381">
        <f ca="1">E67-E68</f>
        <v>-35.960000000000008</v>
      </c>
      <c r="F69" s="334">
        <f ca="1">IF(E43=0,"N.D.",E69/E43)</f>
        <v>-4.1710163082562007E-2</v>
      </c>
      <c r="G69" s="381">
        <f ca="1">G67-G68</f>
        <v>-74.181260000000009</v>
      </c>
      <c r="H69" s="334">
        <f ca="1">IF(G43=0,"N.D.",G69/G43)</f>
        <v>-8.6043171642656652E-2</v>
      </c>
      <c r="I69" s="335">
        <f t="shared" ca="1" si="168"/>
        <v>-3.8220000000000027</v>
      </c>
      <c r="J69" s="336">
        <f t="shared" ca="1" si="169"/>
        <v>0.10628476084538385</v>
      </c>
      <c r="K69" s="337">
        <f t="shared" ca="1" si="170"/>
        <v>34.399259999999998</v>
      </c>
      <c r="L69" s="334">
        <f t="shared" ca="1" si="171"/>
        <v>-0.46371900396407384</v>
      </c>
      <c r="N69" s="7" t="s">
        <v>84</v>
      </c>
      <c r="O69" s="5">
        <f t="shared" ca="1" si="172"/>
        <v>-39.782000000000011</v>
      </c>
      <c r="P69" s="105">
        <f t="shared" ca="1" si="173"/>
        <v>-4.6143317790614063E-2</v>
      </c>
      <c r="Q69" s="5">
        <f t="shared" ca="1" si="174"/>
        <v>-44.746709999999894</v>
      </c>
      <c r="R69" s="105">
        <f t="shared" ca="1" si="173"/>
        <v>-1.6199041670256625E-2</v>
      </c>
      <c r="S69" s="5">
        <f t="shared" ca="1" si="175"/>
        <v>-55.005000000000102</v>
      </c>
      <c r="T69" s="105">
        <f t="shared" ref="T69" ca="1" si="232">IF(S69=0,"N.D.",S69/S$43)</f>
        <v>-3.4012974461051636E-2</v>
      </c>
      <c r="U69" s="5">
        <f t="shared" ca="1" si="177"/>
        <v>229.35500000000005</v>
      </c>
      <c r="V69" s="105">
        <f t="shared" ref="V69" ca="1" si="233">IF(U69=0,"N.D.",U69/U$43)</f>
        <v>0.62421073831348395</v>
      </c>
      <c r="W69" s="5">
        <f t="shared" ca="1" si="92"/>
        <v>89.821290000000033</v>
      </c>
      <c r="X69" s="105">
        <f t="shared" ref="X69" ca="1" si="234">IF(W69=0,"N.D.",W69/W$43)</f>
        <v>1.6013622615574288E-2</v>
      </c>
      <c r="AD69" s="7" t="s">
        <v>84</v>
      </c>
      <c r="AE69" s="381"/>
      <c r="AF69" s="334" t="str">
        <f>IF(AE43=0,"N.D.",AE69/AE43)</f>
        <v>N.D.</v>
      </c>
      <c r="AG69" s="381"/>
      <c r="AH69" s="334" t="str">
        <f>IF(AG43=0,"N.D.",AG69/AG43)</f>
        <v>N.D.</v>
      </c>
      <c r="AI69" s="381"/>
      <c r="AJ69" s="334" t="str">
        <f>IF(AI43=0,"N.D.",AI69/AI43)</f>
        <v>N.D.</v>
      </c>
      <c r="AK69" s="335">
        <f t="shared" si="180"/>
        <v>0</v>
      </c>
      <c r="AL69" s="336" t="str">
        <f t="shared" si="181"/>
        <v>N.D.</v>
      </c>
      <c r="AM69" s="337">
        <f t="shared" si="182"/>
        <v>0</v>
      </c>
      <c r="AN69" s="334" t="str">
        <f t="shared" si="183"/>
        <v>N.D.</v>
      </c>
      <c r="AP69" s="7" t="s">
        <v>84</v>
      </c>
      <c r="AQ69" s="5">
        <f t="shared" si="184"/>
        <v>0</v>
      </c>
      <c r="AR69" s="105" t="str">
        <f t="shared" si="185"/>
        <v>N.D.</v>
      </c>
      <c r="AS69" s="541">
        <f t="shared" ca="1" si="186"/>
        <v>-26.048716962206413</v>
      </c>
      <c r="AT69" s="105">
        <f t="shared" ca="1" si="185"/>
        <v>-9.2012423038524953E-3</v>
      </c>
      <c r="AU69" s="516">
        <f t="shared" ca="1" si="187"/>
        <v>-76.535776490546709</v>
      </c>
      <c r="AV69" s="105">
        <f t="shared" ref="AV69" ca="1" si="235">IF(AU69=0,"N.D.",AU69/AU$43)</f>
        <v>-4.6868203607193328E-2</v>
      </c>
      <c r="AW69" s="5">
        <f t="shared" si="189"/>
        <v>194</v>
      </c>
      <c r="AX69" s="105">
        <f t="shared" ref="AX69" si="236">IF(AW69=0,"N.D.",AW69/AW$43)</f>
        <v>0.63192182410423448</v>
      </c>
      <c r="AY69" s="5">
        <f t="shared" ca="1" si="191"/>
        <v>91.415506547246878</v>
      </c>
      <c r="AZ69" s="105">
        <f t="shared" ref="AZ69" ca="1" si="237">IF(AY69=0,"N.D.",AY69/AY$43)</f>
        <v>1.916065951524772E-2</v>
      </c>
      <c r="BA69" s="34"/>
      <c r="BB69" s="34"/>
      <c r="BC69" s="33"/>
    </row>
    <row r="70" spans="1:55" ht="13" x14ac:dyDescent="0.3">
      <c r="A70" s="316"/>
      <c r="B70" s="1" t="s">
        <v>193</v>
      </c>
      <c r="C70" s="412" t="str">
        <f ca="1">IF(C68=0,"N.D.",(C67-C65-C66)/C68)</f>
        <v>N.D.</v>
      </c>
      <c r="E70" s="412" t="str">
        <f ca="1">IF(E68=0,"N.D.",(E67-E65-E66)/E68)</f>
        <v>N.D.</v>
      </c>
      <c r="G70" s="412">
        <f ca="1">IF(G68=0,"N.D.",(G67-G65-G66)/G68)</f>
        <v>-1.1564783661043874</v>
      </c>
      <c r="N70" s="1" t="s">
        <v>193</v>
      </c>
      <c r="O70" s="107" t="str">
        <f ca="1">IF(O68=0,"N.D.",(O67-O65-O66)/O68)</f>
        <v>N.D.</v>
      </c>
      <c r="P70" s="108"/>
      <c r="Q70" s="107">
        <f ca="1">IF(Q68=0,"N.D.",(Q67-Q65-Q66)/Q68)</f>
        <v>-0.59965587889052918</v>
      </c>
      <c r="R70" s="108"/>
      <c r="S70" s="107" t="str">
        <f ca="1">IF(S68=0,"N.D.",(S67-S65-S66)/S68)</f>
        <v>N.D.</v>
      </c>
      <c r="T70" s="108"/>
      <c r="U70" s="107" t="str">
        <f>IF(U68=0,"N.D.",(U67-U65-U66)/U68)</f>
        <v>N.D.</v>
      </c>
      <c r="V70" s="108"/>
      <c r="W70" s="107">
        <f ca="1">IF(W68=0,"N.D.",(W67-W65-W66)/W68)</f>
        <v>4.2110328244921584</v>
      </c>
      <c r="AD70" s="1" t="s">
        <v>193</v>
      </c>
      <c r="AE70" s="412" t="str">
        <f>IF(AE68=0,"N.D.",(AE67-AE65-AE66)/AE68)</f>
        <v>N.D.</v>
      </c>
      <c r="AG70" s="412" t="str">
        <f>IF(AG68=0,"N.D.",(AG67-AG65-AG66)/AG68)</f>
        <v>N.D.</v>
      </c>
      <c r="AI70" s="412" t="str">
        <f>IF(AI68=0,"N.D.",(AI67-AI65-AI66)/AI68)</f>
        <v>N.D.</v>
      </c>
      <c r="AP70" s="1" t="s">
        <v>193</v>
      </c>
      <c r="AQ70" s="107" t="str">
        <f>IF(AQ68=0,"N.D.",(AQ67-AQ65-AQ66)/AQ68)</f>
        <v>N.D.</v>
      </c>
      <c r="AR70" s="108"/>
      <c r="AS70" s="107" t="str">
        <f>IF(AS68=0,"N.D.",(AS67-AS65-AS66)/AS68)</f>
        <v>N.D.</v>
      </c>
      <c r="AT70" s="108"/>
      <c r="AU70" s="107" t="str">
        <f>IF(AU68=0,"N.D.",(AU67-AU65-AU66)/AU68)</f>
        <v>N.D.</v>
      </c>
      <c r="AV70" s="108"/>
      <c r="AW70" s="107" t="str">
        <f>IF(AW68=0,"N.D.",(AW67-AW65-AW66)/AW68)</f>
        <v>N.D.</v>
      </c>
      <c r="AX70" s="108"/>
      <c r="AY70" s="107" t="str">
        <f>IF(AY68=0,"N.D.",(AY67-AY65-AY66)/AY68)</f>
        <v>N.D.</v>
      </c>
      <c r="BA70" s="34"/>
      <c r="BB70" s="34"/>
      <c r="BC70" s="33"/>
    </row>
    <row r="71" spans="1:55" ht="13" x14ac:dyDescent="0.3">
      <c r="A71" s="316"/>
      <c r="S71" s="34"/>
      <c r="T71" s="34"/>
      <c r="U71" s="34"/>
      <c r="V71" s="34"/>
      <c r="W71" s="33"/>
      <c r="AU71" s="34"/>
      <c r="AV71" s="34"/>
      <c r="AW71" s="34"/>
      <c r="AX71" s="34"/>
      <c r="AY71" s="34"/>
      <c r="AZ71" s="34"/>
      <c r="BA71" s="34"/>
      <c r="BB71" s="34"/>
      <c r="BC71" s="33"/>
    </row>
    <row r="72" spans="1:55" ht="13" x14ac:dyDescent="0.3">
      <c r="A72" s="316"/>
      <c r="B72" s="281" t="s">
        <v>341</v>
      </c>
      <c r="C72" s="319"/>
      <c r="D72" s="320"/>
      <c r="E72" s="319"/>
      <c r="F72" s="320"/>
      <c r="G72" s="319"/>
      <c r="H72" s="320"/>
      <c r="I72" s="319"/>
      <c r="J72" s="320"/>
      <c r="K72" s="319"/>
      <c r="L72" s="320"/>
      <c r="S72" s="34"/>
      <c r="T72" s="34"/>
      <c r="U72" s="34"/>
      <c r="V72" s="34"/>
      <c r="W72" s="33"/>
      <c r="AD72" s="386" t="str">
        <f>+B72</f>
        <v>POLLOS DEL SUR</v>
      </c>
      <c r="AE72" s="319"/>
      <c r="AF72" s="320"/>
      <c r="AG72" s="319"/>
      <c r="AH72" s="320"/>
      <c r="AI72" s="319"/>
      <c r="AJ72" s="320"/>
      <c r="AK72" s="319"/>
      <c r="AL72" s="320"/>
      <c r="AM72" s="319"/>
      <c r="AN72" s="320"/>
      <c r="AU72" s="34"/>
      <c r="AV72" s="34"/>
      <c r="AW72" s="34"/>
      <c r="AX72" s="34"/>
      <c r="AY72" s="34"/>
      <c r="AZ72" s="34"/>
      <c r="BA72" s="34"/>
      <c r="BB72" s="34"/>
      <c r="BC72" s="33"/>
    </row>
    <row r="73" spans="1:55" ht="13" x14ac:dyDescent="0.3">
      <c r="A73" s="316"/>
      <c r="B73" s="318" t="s">
        <v>430</v>
      </c>
      <c r="C73" s="319"/>
      <c r="D73" s="320"/>
      <c r="E73" s="319"/>
      <c r="F73" s="320"/>
      <c r="G73" s="319"/>
      <c r="H73" s="320"/>
      <c r="I73" s="319"/>
      <c r="J73" s="320"/>
      <c r="K73" s="319"/>
      <c r="L73" s="320"/>
      <c r="S73" s="34"/>
      <c r="T73" s="34"/>
      <c r="U73" s="34"/>
      <c r="V73" s="34"/>
      <c r="W73" s="33"/>
      <c r="Y73" s="34"/>
      <c r="Z73" s="34"/>
      <c r="AD73" s="318" t="s">
        <v>431</v>
      </c>
      <c r="AE73" s="319"/>
      <c r="AF73" s="320"/>
      <c r="AG73" s="319"/>
      <c r="AH73" s="320"/>
      <c r="AI73" s="319"/>
      <c r="AJ73" s="320"/>
      <c r="AK73" s="319"/>
      <c r="AL73" s="320"/>
      <c r="AM73" s="319"/>
      <c r="AN73" s="320"/>
      <c r="AU73" s="32"/>
      <c r="AV73" s="32"/>
      <c r="AW73" s="32"/>
      <c r="AX73" s="32"/>
      <c r="AY73" s="32"/>
      <c r="AZ73" s="32"/>
      <c r="BA73" s="32"/>
      <c r="BB73" s="32"/>
      <c r="BC73" s="27"/>
    </row>
    <row r="74" spans="1:55" ht="13" x14ac:dyDescent="0.3">
      <c r="A74" s="316"/>
      <c r="B74" s="319"/>
      <c r="C74" s="390" t="s">
        <v>500</v>
      </c>
      <c r="D74" s="321"/>
      <c r="E74" s="390" t="s">
        <v>4</v>
      </c>
      <c r="F74" s="321"/>
      <c r="G74" s="390" t="s">
        <v>9</v>
      </c>
      <c r="H74" s="321"/>
      <c r="I74" s="390" t="s">
        <v>6</v>
      </c>
      <c r="J74" s="321"/>
      <c r="K74" s="390" t="s">
        <v>7</v>
      </c>
      <c r="L74" s="320"/>
      <c r="S74" s="34"/>
      <c r="T74" s="34"/>
      <c r="U74" s="34"/>
      <c r="V74" s="34"/>
      <c r="W74" s="34"/>
      <c r="X74" s="34"/>
      <c r="Y74" s="34"/>
      <c r="Z74" s="34"/>
      <c r="AA74" s="33"/>
      <c r="AD74" s="319"/>
      <c r="AE74" s="524" t="s">
        <v>498</v>
      </c>
      <c r="AF74" s="321"/>
      <c r="AG74" s="390" t="s">
        <v>4</v>
      </c>
      <c r="AH74" s="321"/>
      <c r="AI74" s="390" t="s">
        <v>9</v>
      </c>
      <c r="AJ74" s="321"/>
      <c r="AK74" s="390" t="s">
        <v>6</v>
      </c>
      <c r="AL74" s="321"/>
      <c r="AM74" s="390" t="s">
        <v>7</v>
      </c>
      <c r="AN74" s="320"/>
      <c r="AU74" s="32"/>
      <c r="AV74" s="32"/>
      <c r="AW74" s="32"/>
      <c r="AX74" s="32"/>
      <c r="AY74" s="32"/>
      <c r="AZ74" s="32"/>
      <c r="BA74" s="32"/>
      <c r="BB74" s="32"/>
      <c r="BC74" s="27"/>
    </row>
    <row r="75" spans="1:55" ht="13" x14ac:dyDescent="0.3">
      <c r="A75" s="316"/>
      <c r="B75" s="322" t="s">
        <v>38</v>
      </c>
      <c r="C75" s="323">
        <f ca="1">INDIRECT(ADDRESS(MATCH($B$72,'ER Act'!$B:$B,0)+1,MATCH(TEXT(DATE(YEAR(MES_CIERRE),ROUNDUP(MONTH(MES_CIERRE)/3,0)*3-2,1),"MMMM"),'ER Act'!$1:$1,0),,,"ER Act"))+INDIRECT(ADDRESS(MATCH($B$72,'ER Act'!$B:$B,0)+1,MATCH(TEXT(DATE(YEAR(MES_CIERRE),ROUNDUP(MONTH(MES_CIERRE)/3,0)*3-1,1),"MMMM"),'ER Act'!$1:$1,0),,,"ER Act"))+INDIRECT(ADDRESS(MATCH($B$72,'ER Act'!$B:$B,0)+1,MATCH(TEXT(DATE(YEAR(MES_CIERRE),ROUNDUP(MONTH(MES_CIERRE)/3,0)*3-0,1),"MMMM"),'ER Act'!$1:$1,0),,,"ER Act"))</f>
        <v>896.29300000000012</v>
      </c>
      <c r="D75" s="324">
        <f ca="1">IF(C75=0,"N.D.",C75/C75)</f>
        <v>1</v>
      </c>
      <c r="E75" s="526">
        <f ca="1">INDIRECT(ADDRESS(MATCH($B$72,'ER Ppto'!$B:$B,0)+1,MATCH(TEXT(DATE(YEAR(MES_CIERRE),ROUNDUP(MONTH(MES_CIERRE)/3,0)*3-2,1),"MMMM"),'ER Ppto'!$1:$1,0),,,"ER Ppto"))+INDIRECT(ADDRESS(MATCH($B$72,'ER Ppto'!$B:$B,0)+1,MATCH(TEXT(DATE(YEAR(MES_CIERRE),ROUNDUP(MONTH(MES_CIERRE)/3,0)*3-1,1),"MMMM"),'ER Ppto'!$1:$1,0),,,"ER Ppto"))+INDIRECT(ADDRESS(MATCH($B$72,'ER Ppto'!$B:$B,0)+1,MATCH(TEXT(DATE(YEAR(MES_CIERRE),ROUNDUP(MONTH(MES_CIERRE)/3,0)*3-0,1),"MMMM"),'ER Ppto'!$1:$1,0),,,"ER Ppto"))</f>
        <v>927.76599999999996</v>
      </c>
      <c r="F75" s="324">
        <f ca="1">IF(E75=0,"N.D.",E75/E75)</f>
        <v>1</v>
      </c>
      <c r="G75" s="323">
        <f ca="1">INDIRECT(ADDRESS(MATCH($B$72,'ER AA'!$B:$B,0)+1,MATCH(TEXT(DATE(YEAR(MES_CIERRE),ROUNDUP(MONTH(MES_CIERRE)/3,0)*3-2,1),"MMMM"),'ER AA'!$1:$1,0),,,"ER AA"))+INDIRECT(ADDRESS(MATCH($B$72,'ER AA'!$B:$B,0)+1,MATCH(TEXT(DATE(YEAR(MES_CIERRE),ROUNDUP(MONTH(MES_CIERRE)/3,0)*3-1,1),"MMMM"),'ER AA'!$1:$1,0),,,"ER AA"))+INDIRECT(ADDRESS(MATCH($B$72,'ER AA'!$B:$B,0)+1,MATCH(TEXT(DATE(YEAR(MES_CIERRE),ROUNDUP(MONTH(MES_CIERRE)/3,0)*3-0,1),"MMMM"),'ER AA'!$1:$1,0),,,"ER AA"))</f>
        <v>897.79</v>
      </c>
      <c r="H75" s="324">
        <f ca="1">IF(G75=0,"N.D.",G75/G75)</f>
        <v>1</v>
      </c>
      <c r="I75" s="325">
        <f ca="1">C75-E75</f>
        <v>-31.472999999999843</v>
      </c>
      <c r="J75" s="326">
        <f ca="1">IF(E75=0,"N.D.",C75/E75-1)</f>
        <v>-3.3923424656648216E-2</v>
      </c>
      <c r="K75" s="531">
        <f ca="1">C75-G75</f>
        <v>-1.4969999999998436</v>
      </c>
      <c r="L75" s="324">
        <f ca="1">IF(G75=0,"N.D.",C75/G75-1)</f>
        <v>-1.6674277949184635E-3</v>
      </c>
      <c r="M75" s="315" t="s">
        <v>501</v>
      </c>
      <c r="S75" s="34"/>
      <c r="T75" s="34"/>
      <c r="U75" s="34"/>
      <c r="V75" s="34"/>
      <c r="W75" s="34"/>
      <c r="X75" s="34"/>
      <c r="Y75" s="34"/>
      <c r="Z75" s="34"/>
      <c r="AA75" s="33"/>
      <c r="AD75" s="322" t="s">
        <v>38</v>
      </c>
      <c r="AE75" s="323">
        <v>911</v>
      </c>
      <c r="AF75" s="324">
        <f>IF(AE75=0,"N.D.",AE75/AE75)</f>
        <v>1</v>
      </c>
      <c r="AG75" s="526">
        <f ca="1">((INDIRECT(ADDRESS(MATCH($B$72,BDPP!$B:$B,0)+6,MATCH(TEXT(DATE(YEAR(MES_CIERRE),ROUNDUP(MONTH(MES_CIERRE)/3,0)*3,1),"MMMM"),BDPP!$1:$1,0)+1,,,"BDPP")))++(INDIRECT(ADDRESS(MATCH($B$72,BDPP!$B:$B,0)+6,MATCH(TEXT(DATE(YEAR(MES_CIERRE),ROUNDUP(MONTH(MES_CIERRE)/3,0)*3,1),"MMMM"),BDPP!$1:$1,0)+2,,,"BDPP")))+(INDIRECT(ADDRESS(MATCH($B$72,BDPP!$B:$B,0)+6,MATCH(TEXT(DATE(YEAR(MES_CIERRE),ROUNDUP(MONTH(MES_CIERRE)/3,0)*3,1),"MMMM"),BDPP!$1:$1,0)+3,,,"BDPP"))))/1000</f>
        <v>917.279</v>
      </c>
      <c r="AH75" s="324">
        <f ca="1">IF(AG75=0,"N.D.",AG75/AG75)</f>
        <v>1</v>
      </c>
      <c r="AI75" s="323">
        <f ca="1">INDIRECT(ADDRESS(MATCH($B$72,INDIRECT("'"&amp;IF(MONTH(MES_CIERRE)=12,"ER ACT","ER AA")&amp;"'!$B:$B"),0)+1,MATCH(TEXT(DATE(YEAR(MES_CIERRE),ROUNDUP(MONTH(MES_CIERRE)+1,0),1),"MMMM"),'ER AA'!$1:$1,0),,,IF(MONTH(MES_CIERRE)=12,"ER ACT","ER AA")))+INDIRECT(ADDRESS(MATCH($B$72,INDIRECT("'"&amp;IF(MONTH(MES_CIERRE)=12,"ER ACT","ER AA")&amp;"'!$B:$B"),0)+1,MATCH(TEXT(DATE(YEAR(MES_CIERRE),ROUNDUP(MONTH(MES_CIERRE)+2,0),1),"MMMM"),'ER AA'!$1:$1,0),,,IF(MONTH(MES_CIERRE)=12,"ER ACT","ER AA")))+INDIRECT(ADDRESS(MATCH($B$72,INDIRECT("'"&amp;IF(MONTH(MES_CIERRE)=12,"ER ACT","ER AA")&amp;"'!$B:$B"),0)+1,MATCH(TEXT(DATE(YEAR(MES_CIERRE),ROUNDUP(MONTH(MES_CIERRE)+3,0),1),"MMMM"),'ER AA'!$1:$1,0),,,IF(MONTH(MES_CIERRE)=12,"ER ACT","ER AA")))</f>
        <v>879.45114999999998</v>
      </c>
      <c r="AJ75" s="324">
        <f ca="1">IF(AI75=0,"N.D.",AI75/AI75)</f>
        <v>1</v>
      </c>
      <c r="AK75" s="325">
        <f ca="1">AE75-AG75</f>
        <v>-6.2789999999999964</v>
      </c>
      <c r="AL75" s="326">
        <f ca="1">IF(AG75=0,"N.D.",AE75/AG75-1)</f>
        <v>-6.8452455577855398E-3</v>
      </c>
      <c r="AM75" s="327">
        <f ca="1">AE75-AI75</f>
        <v>31.548850000000016</v>
      </c>
      <c r="AN75" s="324">
        <f ca="1">IF(AI75=0,"N.D.",AE75/AI75-1)</f>
        <v>3.5873339866574705E-2</v>
      </c>
      <c r="AO75" s="535">
        <v>930</v>
      </c>
    </row>
    <row r="76" spans="1:55" x14ac:dyDescent="0.25">
      <c r="A76" s="316"/>
      <c r="B76" s="322" t="s">
        <v>39</v>
      </c>
      <c r="C76" s="328">
        <f ca="1">INDIRECT(ADDRESS(MATCH($B$72,'ER Act'!$B:$B,0)+2,MATCH(TEXT(DATE(YEAR(MES_CIERRE),ROUNDUP(MONTH(MES_CIERRE)/3,0)*3-2,1),"MMMM"),'ER Act'!$1:$1,0),,,"ER Act"))+INDIRECT(ADDRESS(MATCH($B$72,'ER Act'!$B:$B,0)+2,MATCH(TEXT(DATE(YEAR(MES_CIERRE),ROUNDUP(MONTH(MES_CIERRE)/3,0)*3-1,1),"MMMM"),'ER Act'!$1:$1,0),,,"ER Act"))+INDIRECT(ADDRESS(MATCH($B$72,'ER Act'!$B:$B,0)+2,MATCH(TEXT(DATE(YEAR(MES_CIERRE),ROUNDUP(MONTH(MES_CIERRE)/3,0)*3-0,1),"MMMM"),'ER Act'!$1:$1,0),,,"ER Act"))</f>
        <v>294.20600000000002</v>
      </c>
      <c r="D76" s="329">
        <f ca="1">IF(C75=0,"N.D.",C76/C75)</f>
        <v>0.32824757082784312</v>
      </c>
      <c r="E76" s="533">
        <f ca="1">INDIRECT(ADDRESS(MATCH($B$72,'ER Ppto'!$B:$B,0)+2,MATCH(TEXT(DATE(YEAR(MES_CIERRE),ROUNDUP(MONTH(MES_CIERRE)/3,0)*3-2,1),"MMMM"),'ER Ppto'!$1:$1,0),,,"ER Ppto"))+INDIRECT(ADDRESS(MATCH($B$72,'ER Ppto'!$B:$B,0)+2,MATCH(TEXT(DATE(YEAR(MES_CIERRE),ROUNDUP(MONTH(MES_CIERRE)/3,0)*3-1,1),"MMMM"),'ER Ppto'!$1:$1,0),,,"ER Ppto"))+INDIRECT(ADDRESS(MATCH($B$72,'ER Ppto'!$B:$B,0)+2,MATCH(TEXT(DATE(YEAR(MES_CIERRE),ROUNDUP(MONTH(MES_CIERRE)/3,0)*3-0,1),"MMMM"),'ER Ppto'!$1:$1,0),,,"ER Ppto"))</f>
        <v>329.82100000000003</v>
      </c>
      <c r="F76" s="329">
        <f ca="1">IF(E75=0,"N.D.",E76/E75)</f>
        <v>0.35550020155944501</v>
      </c>
      <c r="G76" s="328">
        <f ca="1">INDIRECT(ADDRESS(MATCH($B$72,'ER AA'!$B:$B,0)+2,MATCH(TEXT(DATE(YEAR(MES_CIERRE),ROUNDUP(MONTH(MES_CIERRE)/3,0)*3-2,1),"MMMM"),'ER AA'!$1:$1,0),,,"ER AA"))+INDIRECT(ADDRESS(MATCH($B$72,'ER AA'!$B:$B,0)+2,MATCH(TEXT(DATE(YEAR(MES_CIERRE),ROUNDUP(MONTH(MES_CIERRE)/3,0)*3-1,1),"MMMM"),'ER AA'!$1:$1,0),,,"ER AA"))+INDIRECT(ADDRESS(MATCH($B$72,'ER AA'!$B:$B,0)+2,MATCH(TEXT(DATE(YEAR(MES_CIERRE),ROUNDUP(MONTH(MES_CIERRE)/3,0)*3-0,1),"MMMM"),'ER AA'!$1:$1,0),,,"ER AA"))</f>
        <v>317.39800000000002</v>
      </c>
      <c r="H76" s="329">
        <f ca="1">IF(G75=0,"N.D.",G76/G75)</f>
        <v>0.35353256329431165</v>
      </c>
      <c r="I76" s="330">
        <f ca="1">C76-E76</f>
        <v>-35.615000000000009</v>
      </c>
      <c r="J76" s="331">
        <f ca="1">IF(E76=0,"N.D.",C76/E76-1)</f>
        <v>-0.10798281492082074</v>
      </c>
      <c r="K76" s="328">
        <f ca="1">C76-G76</f>
        <v>-23.192000000000007</v>
      </c>
      <c r="L76" s="329">
        <f ca="1">IF(G76=0,"N.D.",C76/G76-1)</f>
        <v>-7.3069143472863751E-2</v>
      </c>
      <c r="AD76" s="322" t="s">
        <v>39</v>
      </c>
      <c r="AE76" s="328">
        <f ca="1">AE75*D76</f>
        <v>299.03353702416507</v>
      </c>
      <c r="AF76" s="329">
        <f ca="1">IF(AE75=0,"N.D.",AE76/AE75)</f>
        <v>0.32824757082784312</v>
      </c>
      <c r="AG76" s="328">
        <f ca="1">((INDIRECT(ADDRESS(MATCH($B$72,BDPP!$B:$B,0)+7,MATCH(TEXT(DATE(YEAR(MES_CIERRE),ROUNDUP(MONTH(MES_CIERRE)/3,0)*3,1),"MMMM"),BDPP!$1:$1,0)+1,,,"BDPP")))+(INDIRECT(ADDRESS(MATCH($B$72,BDPP!$B:$B,0)+7,MATCH(TEXT(DATE(YEAR(MES_CIERRE),ROUNDUP(MONTH(MES_CIERRE)/3,0)*3,1),"MMMM"),BDPP!$1:$1,0)+2,,,"BDPP")))+(INDIRECT(ADDRESS(MATCH($B$72,BDPP!$B:$B,0)+7,MATCH(TEXT(DATE(YEAR(MES_CIERRE),ROUNDUP(MONTH(MES_CIERRE)/3,0)*3,1),"MMMM"),BDPP!$1:$1,0)+3,,,"BDPP"))))/1000</f>
        <v>326.09199999999998</v>
      </c>
      <c r="AH76" s="329">
        <f ca="1">IF(AG75=0,"N.D.",AG76/AG75)</f>
        <v>0.35549925377120811</v>
      </c>
      <c r="AI76" s="328">
        <f ca="1">INDIRECT(ADDRESS(MATCH($B$72,INDIRECT("'"&amp;IF(MONTH(MES_CIERRE)=12,"ER ACT","ER AA")&amp;"'!$B:$B"),0)+2,MATCH(TEXT(DATE(YEAR(MES_CIERRE),ROUNDUP(MONTH(MES_CIERRE)+1,0),1),"MMMM"),'ER AA'!$1:$1,0),,,IF(MONTH(MES_CIERRE)=12,"ER ACT","ER AA")))+INDIRECT(ADDRESS(MATCH($B$72,INDIRECT("'"&amp;IF(MONTH(MES_CIERRE)=12,"ER ACT","ER AA")&amp;"'!$B:$B"),0)+2,MATCH(TEXT(DATE(YEAR(MES_CIERRE),ROUNDUP(MONTH(MES_CIERRE)+2,0),1),"MMMM"),'ER AA'!$1:$1,0),,,IF(MONTH(MES_CIERRE)=12,"ER ACT","ER AA")))+INDIRECT(ADDRESS(MATCH($B$72,INDIRECT("'"&amp;IF(MONTH(MES_CIERRE)=12,"ER ACT","ER AA")&amp;"'!$B:$B"),0)+2,MATCH(TEXT(DATE(YEAR(MES_CIERRE),ROUNDUP(MONTH(MES_CIERRE)+3,0),1),"MMMM"),'ER AA'!$1:$1,0),,,IF(MONTH(MES_CIERRE)=12,"ER ACT","ER AA")))+INDIRECT(ADDRESS(MATCH($B$72,INDIRECT("'"&amp;IF(MONTH(MES_CIERRE)=12,"ER ACT","ER AA")&amp;"'!$B:$B"),0)+3,MATCH(TEXT(DATE(YEAR(MES_CIERRE),ROUNDUP(MONTH(MES_CIERRE)+1,0),1),"MMMM"),'ER AA'!$1:$1,0),,,IF(MONTH(MES_CIERRE)=12,"ER ACT","ER AA")))+INDIRECT(ADDRESS(MATCH($B$72,INDIRECT("'"&amp;IF(MONTH(MES_CIERRE)=12,"ER ACT","ER AA")&amp;"'!$B:$B"),0)+3,MATCH(TEXT(DATE(YEAR(MES_CIERRE),ROUNDUP(MONTH(MES_CIERRE)+2,0),1),"MMMM"),'ER AA'!$1:$1,0),,,IF(MONTH(MES_CIERRE)=12,"ER ACT","ER AA")))+INDIRECT(ADDRESS(MATCH($B$72,INDIRECT("'"&amp;IF(MONTH(MES_CIERRE)=12,"ER ACT","ER AA")&amp;"'!$B:$B"),0)+3,MATCH(TEXT(DATE(YEAR(MES_CIERRE),ROUNDUP(MONTH(MES_CIERRE)+3,0),1),"MMMM"),'ER AA'!$1:$1,0),,,IF(MONTH(MES_CIERRE)=12,"ER ACT","ER AA")))</f>
        <v>316.00712000000004</v>
      </c>
      <c r="AJ76" s="329">
        <f ca="1">IF(AI75=0,"N.D.",AI76/AI75)</f>
        <v>0.3593231073721378</v>
      </c>
      <c r="AK76" s="330">
        <f ca="1">AE76-AG76</f>
        <v>-27.058462975834914</v>
      </c>
      <c r="AL76" s="331">
        <f ca="1">IF(AG76=0,"N.D.",AE76/AG76-1)</f>
        <v>-8.2978003066113026E-2</v>
      </c>
      <c r="AM76" s="328">
        <f ca="1">AE76-AI76</f>
        <v>-16.973582975834972</v>
      </c>
      <c r="AN76" s="329">
        <f ca="1">IF(AI76=0,"N.D.",AE76/AI76-1)</f>
        <v>-5.3712659942076524E-2</v>
      </c>
    </row>
    <row r="77" spans="1:55" ht="13" x14ac:dyDescent="0.3">
      <c r="A77" s="316"/>
      <c r="B77" s="332" t="s">
        <v>40</v>
      </c>
      <c r="C77" s="333">
        <f ca="1">+C75-C76</f>
        <v>602.0870000000001</v>
      </c>
      <c r="D77" s="334">
        <f ca="1">IF(C75=0,"N.D.",C77/C75)</f>
        <v>0.67175242917215694</v>
      </c>
      <c r="E77" s="534">
        <f ca="1">+E75-E76</f>
        <v>597.94499999999994</v>
      </c>
      <c r="F77" s="334">
        <f ca="1">IF(E75=0,"N.D.",E77/E75)</f>
        <v>0.64449979844055505</v>
      </c>
      <c r="G77" s="333">
        <f ca="1">+G75-G76</f>
        <v>580.39199999999994</v>
      </c>
      <c r="H77" s="334">
        <f ca="1">IF(G75=0,"N.D.",G77/G75)</f>
        <v>0.6464674367056884</v>
      </c>
      <c r="I77" s="335">
        <f ca="1">C77-E77</f>
        <v>4.1420000000001664</v>
      </c>
      <c r="J77" s="336">
        <f ca="1">IF(E77=0,"N.D.",C77/E77-1)</f>
        <v>6.9270585087259917E-3</v>
      </c>
      <c r="K77" s="337">
        <f ca="1">C77-G77</f>
        <v>21.695000000000164</v>
      </c>
      <c r="L77" s="334">
        <f ca="1">IF(G77=0,"N.D.",C77/G77-1)</f>
        <v>3.7379908751326907E-2</v>
      </c>
      <c r="N77" s="42"/>
      <c r="O77" s="42"/>
      <c r="P77" s="42"/>
      <c r="Q77" s="42"/>
      <c r="R77" s="42"/>
      <c r="T77" s="42"/>
      <c r="U77" s="42"/>
      <c r="V77" s="42"/>
      <c r="W77" s="42"/>
      <c r="X77" s="42"/>
      <c r="Y77" s="42"/>
      <c r="Z77" s="42"/>
      <c r="AD77" s="332" t="s">
        <v>40</v>
      </c>
      <c r="AE77" s="333">
        <f ca="1">+AE75-AE76</f>
        <v>611.96646297583493</v>
      </c>
      <c r="AF77" s="334">
        <f ca="1">IF(AE75=0,"N.D.",AE77/AE75)</f>
        <v>0.67175242917215694</v>
      </c>
      <c r="AG77" s="333">
        <f ca="1">+AG75-AG76</f>
        <v>591.18700000000001</v>
      </c>
      <c r="AH77" s="334">
        <f ca="1">IF(AG75=0,"N.D.",AG77/AG75)</f>
        <v>0.64450074622879194</v>
      </c>
      <c r="AI77" s="333">
        <f ca="1">+AI75-AI76</f>
        <v>563.44402999999988</v>
      </c>
      <c r="AJ77" s="334">
        <f ca="1">IF(AI75=0,"N.D.",AI77/AI75)</f>
        <v>0.6406768926278622</v>
      </c>
      <c r="AK77" s="335">
        <f ca="1">AE77-AG77</f>
        <v>20.779462975834917</v>
      </c>
      <c r="AL77" s="336">
        <f ca="1">IF(AG77=0,"N.D.",AE77/AG77-1)</f>
        <v>3.5148714325306418E-2</v>
      </c>
      <c r="AM77" s="337">
        <f ca="1">AE77-AI77</f>
        <v>48.522432975835045</v>
      </c>
      <c r="AN77" s="334">
        <f ca="1">IF(AI77=0,"N.D.",AE77/AI77-1)</f>
        <v>8.6117574048721446E-2</v>
      </c>
      <c r="AP77" s="42"/>
      <c r="AQ77" s="42"/>
      <c r="AR77" s="42"/>
      <c r="AS77" s="42"/>
      <c r="AT77" s="42"/>
      <c r="AV77" s="42"/>
      <c r="AW77" s="42"/>
      <c r="AX77" s="42"/>
      <c r="AY77" s="42"/>
      <c r="AZ77" s="42"/>
      <c r="BA77" s="42"/>
      <c r="BB77" s="42"/>
    </row>
    <row r="78" spans="1:55" x14ac:dyDescent="0.25">
      <c r="A78" s="316"/>
      <c r="B78" s="322"/>
      <c r="C78" s="338"/>
      <c r="D78" s="339"/>
      <c r="E78" s="338"/>
      <c r="F78" s="339"/>
      <c r="G78" s="338"/>
      <c r="H78" s="339"/>
      <c r="I78" s="338"/>
      <c r="J78" s="340"/>
      <c r="K78" s="338"/>
      <c r="L78" s="339"/>
      <c r="N78" s="6"/>
      <c r="O78" s="6"/>
      <c r="P78" s="6"/>
      <c r="Q78" s="6"/>
      <c r="R78" s="6"/>
      <c r="T78" s="6"/>
      <c r="U78" s="6"/>
      <c r="V78" s="6"/>
      <c r="W78" s="6"/>
      <c r="X78" s="6"/>
      <c r="Y78" s="6"/>
      <c r="Z78" s="6"/>
      <c r="AD78" s="322"/>
      <c r="AE78" s="338"/>
      <c r="AF78" s="339"/>
      <c r="AG78" s="338"/>
      <c r="AH78" s="339"/>
      <c r="AI78" s="338"/>
      <c r="AJ78" s="339"/>
      <c r="AK78" s="338"/>
      <c r="AL78" s="340"/>
      <c r="AM78" s="338"/>
      <c r="AN78" s="339"/>
      <c r="AP78" s="6"/>
      <c r="AQ78" s="6"/>
      <c r="AR78" s="6"/>
      <c r="AS78" s="6"/>
      <c r="AT78" s="6"/>
      <c r="AV78" s="6"/>
      <c r="AW78" s="6"/>
      <c r="AX78" s="6"/>
      <c r="AY78" s="6"/>
      <c r="AZ78" s="6"/>
      <c r="BA78" s="6"/>
      <c r="BB78" s="6"/>
    </row>
    <row r="79" spans="1:55" x14ac:dyDescent="0.25">
      <c r="A79" s="316"/>
      <c r="B79" s="9" t="s">
        <v>41</v>
      </c>
      <c r="C79" s="327">
        <f ca="1">INDIRECT(ADDRESS(MATCH($B$72,'ER Act'!$B:$B,0)+6,MATCH(TEXT(DATE(YEAR(MES_CIERRE),ROUNDUP(MONTH(MES_CIERRE)/3,0)*3-2,1),"MMMM"),'ER Act'!$1:$1,0),,,"ER Act"))+INDIRECT(ADDRESS(MATCH($B$72,'ER Act'!$B:$B,0)+6,MATCH(TEXT(DATE(YEAR(MES_CIERRE),ROUNDUP(MONTH(MES_CIERRE)/3,0)*3-1,1),"MMMM"),'ER Act'!$1:$1,0),,,"ER Act"))+INDIRECT(ADDRESS(MATCH($B$72,'ER Act'!$B:$B,0)+6,MATCH(TEXT(DATE(YEAR(MES_CIERRE),ROUNDUP(MONTH(MES_CIERRE)/3,0)*3-0,1),"MMMM"),'ER Act'!$1:$1,0),,,"ER Act"))</f>
        <v>571.44399999999996</v>
      </c>
      <c r="D79" s="324">
        <f ca="1">IF(C75=0,"N.D.",C79/C75)</f>
        <v>0.63756383236285441</v>
      </c>
      <c r="E79" s="327">
        <f ca="1">INDIRECT(ADDRESS(MATCH($B$72,'ER Ppto'!$B:$B,0)+6,MATCH(TEXT(DATE(YEAR(MES_CIERRE),ROUNDUP(MONTH(MES_CIERRE)/3,0)*3-2,1),"MMMM"),'ER Ppto'!$1:$1,0),,,"ER Ppto"))+INDIRECT(ADDRESS(MATCH($B$72,'ER Ppto'!$B:$B,0)+6,MATCH(TEXT(DATE(YEAR(MES_CIERRE),ROUNDUP(MONTH(MES_CIERRE)/3,0)*3-1,1),"MMMM"),'ER Ppto'!$1:$1,0),,,"ER Ppto"))+INDIRECT(ADDRESS(MATCH($B$72,'ER Ppto'!$B:$B,0)+6,MATCH(TEXT(DATE(YEAR(MES_CIERRE),ROUNDUP(MONTH(MES_CIERRE)/3,0)*3-0,1),"MMMM"),'ER Ppto'!$1:$1,0),,,"ER Ppto"))</f>
        <v>619.649</v>
      </c>
      <c r="F79" s="324">
        <f ca="1">IF(E75=0,"N.D.",E79/E75)</f>
        <v>0.66789362835025212</v>
      </c>
      <c r="G79" s="327">
        <f ca="1">INDIRECT(ADDRESS(MATCH($B$72,'ER AA'!$B:$B,0)+6,MATCH(TEXT(DATE(YEAR(MES_CIERRE),ROUNDUP(MONTH(MES_CIERRE)/3,0)*3-2,1),"MMMM"),'ER AA'!$1:$1,0),,,"ER AA"))+INDIRECT(ADDRESS(MATCH($B$72,'ER AA'!$B:$B,0)+6,MATCH(TEXT(DATE(YEAR(MES_CIERRE),ROUNDUP(MONTH(MES_CIERRE)/3,0)*3-1,1),"MMMM"),'ER AA'!$1:$1,0),,,"ER AA"))+INDIRECT(ADDRESS(MATCH($B$72,'ER AA'!$B:$B,0)+6,MATCH(TEXT(DATE(YEAR(MES_CIERRE),ROUNDUP(MONTH(MES_CIERRE)/3,0)*3-0,1),"MMMM"),'ER AA'!$1:$1,0),,,"ER AA"))</f>
        <v>614.74300000000005</v>
      </c>
      <c r="H79" s="324">
        <f ca="1">IF(G75=0,"N.D.",G79/G75)</f>
        <v>0.68472916829102581</v>
      </c>
      <c r="I79" s="325">
        <f ca="1">C79-E79</f>
        <v>-48.205000000000041</v>
      </c>
      <c r="J79" s="326">
        <f ca="1">IF(E79=0,"N.D.",C79/E79-1)</f>
        <v>-7.7794041465410357E-2</v>
      </c>
      <c r="K79" s="327">
        <f ca="1">C79-G79</f>
        <v>-43.299000000000092</v>
      </c>
      <c r="L79" s="324">
        <f ca="1">IF(G79=0,"N.D.",C79/G79-1)</f>
        <v>-7.0434311574105068E-2</v>
      </c>
      <c r="N79" s="6"/>
      <c r="O79" s="6"/>
      <c r="P79" s="6"/>
      <c r="Q79" s="6"/>
      <c r="R79" s="6"/>
      <c r="T79" s="6"/>
      <c r="U79" s="6"/>
      <c r="V79" s="6"/>
      <c r="W79" s="6"/>
      <c r="X79" s="6"/>
      <c r="Y79" s="6"/>
      <c r="Z79" s="6"/>
      <c r="AD79" s="9" t="s">
        <v>41</v>
      </c>
      <c r="AE79" s="327">
        <f ca="1">AE75*D79</f>
        <v>580.82065128256033</v>
      </c>
      <c r="AF79" s="324">
        <f ca="1">IF(AE75=0,"N.D.",AE79/AE75)</f>
        <v>0.63756383236285441</v>
      </c>
      <c r="AG79" s="327">
        <f ca="1">((INDIRECT(ADDRESS(MATCH($B$72,BDPP!$B:$B,0)+10,MATCH(TEXT(DATE(YEAR(MES_CIERRE),ROUNDUP(MONTH(MES_CIERRE)/3,0)*3,1),"MMMM"),BDPP!$1:$1,0)+1,,,"BDPP")))+(INDIRECT(ADDRESS(MATCH($B$72,BDPP!$B:$B,0)+10,MATCH(TEXT(DATE(YEAR(MES_CIERRE),ROUNDUP(MONTH(MES_CIERRE)/3,0)*3,1),"MMMM"),BDPP!$1:$1,0)+2,,,"BDPP")))+(INDIRECT(ADDRESS(MATCH($B$72,BDPP!$B:$B,0)+10,MATCH(TEXT(DATE(YEAR(MES_CIERRE),ROUNDUP(MONTH(MES_CIERRE)/3,0)*3,1),"MMMM"),BDPP!$1:$1,0)+3,,,"BDPP"))))/1000</f>
        <v>607.64400000000001</v>
      </c>
      <c r="AH79" s="324">
        <f ca="1">IF(AG75=0,"N.D.",AG79/AG75)</f>
        <v>0.66244185247890774</v>
      </c>
      <c r="AI79" s="327">
        <f ca="1">INDIRECT(ADDRESS(MATCH($B$72,INDIRECT("'"&amp;IF(MONTH(MES_CIERRE)=12,"ER ACT","ER AA")&amp;"'!$B:$B"),0)+6,MATCH(TEXT(DATE(YEAR(MES_CIERRE),ROUNDUP(MONTH(MES_CIERRE)+1,0),1),"MMMM"),'ER AA'!$1:$1,0),,,IF(MONTH(MES_CIERRE)=12,"ER ACT","ER AA")))+INDIRECT(ADDRESS(MATCH($B$72,INDIRECT("'"&amp;IF(MONTH(MES_CIERRE)=12,"ER ACT","ER AA")&amp;"'!$B:$B"),0)+6,MATCH(TEXT(DATE(YEAR(MES_CIERRE),ROUNDUP(MONTH(MES_CIERRE)+2,0),1),"MMMM"),'ER AA'!$1:$1,0),,,IF(MONTH(MES_CIERRE)=12,"ER ACT","ER AA")))+INDIRECT(ADDRESS(MATCH($B$72,INDIRECT("'"&amp;IF(MONTH(MES_CIERRE)=12,"ER ACT","ER AA")&amp;"'!$B:$B"),0)+6,MATCH(TEXT(DATE(YEAR(MES_CIERRE),ROUNDUP(MONTH(MES_CIERRE)+3,0),1),"MMMM"),'ER AA'!$1:$1,0),,,IF(MONTH(MES_CIERRE)=12,"ER ACT","ER AA")))</f>
        <v>583.50818000000004</v>
      </c>
      <c r="AJ79" s="324">
        <f ca="1">IF(AI75=0,"N.D.",AI79/AI75)</f>
        <v>0.66349129226791059</v>
      </c>
      <c r="AK79" s="325">
        <f ca="1">AE79-AG79</f>
        <v>-26.823348717439671</v>
      </c>
      <c r="AL79" s="326">
        <f ca="1">IF(AG79=0,"N.D.",AE79/AG79-1)</f>
        <v>-4.4143196867639012E-2</v>
      </c>
      <c r="AM79" s="327">
        <f ca="1">AE79-AI79</f>
        <v>-2.6875287174397045</v>
      </c>
      <c r="AN79" s="324">
        <f ca="1">IF(AI79=0,"N.D.",AE79/AI79-1)</f>
        <v>-4.6058115542436662E-3</v>
      </c>
      <c r="AP79" s="6"/>
      <c r="AQ79" s="6"/>
      <c r="AR79" s="6"/>
      <c r="AS79" s="6"/>
      <c r="AT79" s="6"/>
      <c r="AV79" s="6"/>
      <c r="AW79" s="6"/>
      <c r="AX79" s="6"/>
      <c r="AY79" s="6"/>
      <c r="AZ79" s="6"/>
      <c r="BA79" s="6"/>
      <c r="BB79" s="6"/>
    </row>
    <row r="80" spans="1:55" x14ac:dyDescent="0.25">
      <c r="A80" s="316"/>
      <c r="B80" s="9" t="s">
        <v>42</v>
      </c>
      <c r="C80" s="328">
        <f ca="1">INDIRECT(ADDRESS(MATCH($B$72,'ER Act'!$B:$B,0)+7,MATCH(TEXT(DATE(YEAR(MES_CIERRE),ROUNDUP(MONTH(MES_CIERRE)/3,0)*3-2,1),"MMMM"),'ER Act'!$1:$1,0),,,"ER Act"))+INDIRECT(ADDRESS(MATCH($B$72,'ER Act'!$B:$B,0)+7,MATCH(TEXT(DATE(YEAR(MES_CIERRE),ROUNDUP(MONTH(MES_CIERRE)/3,0)*3-1,1),"MMMM"),'ER Act'!$1:$1,0),,,"ER Act"))+INDIRECT(ADDRESS(MATCH($B$72,'ER Act'!$B:$B,0)+7,MATCH(TEXT(DATE(YEAR(MES_CIERRE),ROUNDUP(MONTH(MES_CIERRE)/3,0)*3-0,1),"MMMM"),'ER Act'!$1:$1,0),,,"ER Act"))</f>
        <v>31.631999999999998</v>
      </c>
      <c r="D80" s="341">
        <f ca="1">IF(C75=0,"N.D.",C80/C75)</f>
        <v>3.5292030619451444E-2</v>
      </c>
      <c r="E80" s="328">
        <f ca="1">INDIRECT(ADDRESS(MATCH($B$72,'ER Ppto'!$B:$B,0)+7,MATCH(TEXT(DATE(YEAR(MES_CIERRE),ROUNDUP(MONTH(MES_CIERRE)/3,0)*3-2,1),"MMMM"),'ER Ppto'!$1:$1,0),,,"ER Ppto"))+INDIRECT(ADDRESS(MATCH($B$72,'ER Ppto'!$B:$B,0)+7,MATCH(TEXT(DATE(YEAR(MES_CIERRE),ROUNDUP(MONTH(MES_CIERRE)/3,0)*3-1,1),"MMMM"),'ER Ppto'!$1:$1,0),,,"ER Ppto"))+INDIRECT(ADDRESS(MATCH($B$72,'ER Ppto'!$B:$B,0)+7,MATCH(TEXT(DATE(YEAR(MES_CIERRE),ROUNDUP(MONTH(MES_CIERRE)/3,0)*3-0,1),"MMMM"),'ER Ppto'!$1:$1,0),,,"ER Ppto"))</f>
        <v>44.210999999999999</v>
      </c>
      <c r="F80" s="341">
        <f ca="1">IF(E75=0,"N.D.",E80/E75)</f>
        <v>4.7653179788869175E-2</v>
      </c>
      <c r="G80" s="328">
        <f ca="1">INDIRECT(ADDRESS(MATCH($B$72,'ER AA'!$B:$B,0)+7,MATCH(TEXT(DATE(YEAR(MES_CIERRE),ROUNDUP(MONTH(MES_CIERRE)/3,0)*3-2,1),"MMMM"),'ER AA'!$1:$1,0),,,"ER AA"))+INDIRECT(ADDRESS(MATCH($B$72,'ER AA'!$B:$B,0)+7,MATCH(TEXT(DATE(YEAR(MES_CIERRE),ROUNDUP(MONTH(MES_CIERRE)/3,0)*3-1,1),"MMMM"),'ER AA'!$1:$1,0),,,"ER AA"))+INDIRECT(ADDRESS(MATCH($B$72,'ER AA'!$B:$B,0)+7,MATCH(TEXT(DATE(YEAR(MES_CIERRE),ROUNDUP(MONTH(MES_CIERRE)/3,0)*3-0,1),"MMMM"),'ER AA'!$1:$1,0),,,"ER AA"))</f>
        <v>44.210999999999999</v>
      </c>
      <c r="H80" s="341">
        <f ca="1">IF(G75=0,"N.D.",G80/G75)</f>
        <v>4.9244255338108021E-2</v>
      </c>
      <c r="I80" s="330">
        <f ca="1">C80-E80</f>
        <v>-12.579000000000001</v>
      </c>
      <c r="J80" s="331">
        <f ca="1">IF(E80=0,"N.D.",C80/E80-1)</f>
        <v>-0.28452195155051907</v>
      </c>
      <c r="K80" s="328">
        <f ca="1">C80-G80</f>
        <v>-12.579000000000001</v>
      </c>
      <c r="L80" s="341">
        <f ca="1">IF(G80=0,"N.D.",C80/G80-1)</f>
        <v>-0.28452195155051907</v>
      </c>
      <c r="N80" s="6"/>
      <c r="O80" s="6"/>
      <c r="P80" s="6"/>
      <c r="Q80" s="6"/>
      <c r="R80" s="6"/>
      <c r="T80" s="6"/>
      <c r="U80" s="6"/>
      <c r="V80" s="6"/>
      <c r="W80" s="6"/>
      <c r="X80" s="6"/>
      <c r="Y80" s="6"/>
      <c r="Z80" s="6"/>
      <c r="AD80" s="9" t="s">
        <v>42</v>
      </c>
      <c r="AE80" s="328">
        <v>43</v>
      </c>
      <c r="AF80" s="341">
        <f>IF(AE75=0,"N.D.",AE80/AE75)</f>
        <v>4.7200878155872671E-2</v>
      </c>
      <c r="AG80" s="328">
        <f ca="1">((INDIRECT(ADDRESS(MATCH($B$72,BDPP!$B:$B,0)+11,MATCH(TEXT(DATE(YEAR(MES_CIERRE),ROUNDUP(MONTH(MES_CIERRE)/3,0)*3,1),"MMMM"),BDPP!$1:$1,0)+1,,,"BDPP")))+(INDIRECT(ADDRESS(MATCH($B$72,BDPP!$B:$B,0)+11,MATCH(TEXT(DATE(YEAR(MES_CIERRE),ROUNDUP(MONTH(MES_CIERRE)/3,0)*3,1),"MMMM"),BDPP!$1:$1,0)+2,,,"BDPP")))+(INDIRECT(ADDRESS(MATCH($B$72,BDPP!$B:$B,0)+11,MATCH(TEXT(DATE(YEAR(MES_CIERRE),ROUNDUP(MONTH(MES_CIERRE)/3,0)*3,1),"MMMM"),BDPP!$1:$1,0)+3,,,"BDPP"))))/1000</f>
        <v>36.113999999999997</v>
      </c>
      <c r="AH80" s="341">
        <f ca="1">IF(AG75=0,"N.D.",AG80/AG75)</f>
        <v>3.9370791220555576E-2</v>
      </c>
      <c r="AI80" s="328">
        <f ca="1">INDIRECT(ADDRESS(MATCH($B$72,INDIRECT("'"&amp;IF(MONTH(MES_CIERRE)=12,"ER ACT","ER AA")&amp;"'!$B:$B"),0)+7,MATCH(TEXT(DATE(YEAR(MES_CIERRE),ROUNDUP(MONTH(MES_CIERRE)+1,0),1),"MMMM"),'ER AA'!$1:$1,0),,,IF(MONTH(MES_CIERRE)=12,"ER ACT","ER AA")))+INDIRECT(ADDRESS(MATCH($B$72,INDIRECT("'"&amp;IF(MONTH(MES_CIERRE)=12,"ER ACT","ER AA")&amp;"'!$B:$B"),0)+7,MATCH(TEXT(DATE(YEAR(MES_CIERRE),ROUNDUP(MONTH(MES_CIERRE)+2,0),1),"MMMM"),'ER AA'!$1:$1,0),,,IF(MONTH(MES_CIERRE)=12,"ER ACT","ER AA")))+INDIRECT(ADDRESS(MATCH($B$72,INDIRECT("'"&amp;IF(MONTH(MES_CIERRE)=12,"ER ACT","ER AA")&amp;"'!$B:$B"),0)+7,MATCH(TEXT(DATE(YEAR(MES_CIERRE),ROUNDUP(MONTH(MES_CIERRE)+3,0),1),"MMMM"),'ER AA'!$1:$1,0),,,IF(MONTH(MES_CIERRE)=12,"ER ACT","ER AA")))</f>
        <v>44.267329999999994</v>
      </c>
      <c r="AJ80" s="341">
        <f ca="1">IF(AI75=0,"N.D.",AI80/AI75)</f>
        <v>5.0335177798107374E-2</v>
      </c>
      <c r="AK80" s="330">
        <f ca="1">AE80-AG80</f>
        <v>6.8860000000000028</v>
      </c>
      <c r="AL80" s="331">
        <f ca="1">IF(AG80=0,"N.D.",AE80/AG80-1)</f>
        <v>0.19067397685108278</v>
      </c>
      <c r="AM80" s="328">
        <f ca="1">AE80-AI80</f>
        <v>-1.2673299999999941</v>
      </c>
      <c r="AN80" s="341">
        <f ca="1">IF(AI80=0,"N.D.",AE80/AI80-1)</f>
        <v>-2.8629013767037526E-2</v>
      </c>
      <c r="AP80" s="6"/>
      <c r="AQ80" s="6"/>
      <c r="AR80" s="6"/>
      <c r="AS80" s="6"/>
      <c r="AT80" s="6"/>
      <c r="AV80" s="6"/>
      <c r="AW80" s="6"/>
      <c r="AX80" s="6"/>
      <c r="AY80" s="6"/>
      <c r="AZ80" s="6"/>
      <c r="BA80" s="6"/>
      <c r="BB80" s="6"/>
    </row>
    <row r="81" spans="1:54" ht="13" x14ac:dyDescent="0.3">
      <c r="A81" s="316"/>
      <c r="B81" s="9" t="s">
        <v>43</v>
      </c>
      <c r="C81" s="342">
        <f ca="1">INDIRECT(ADDRESS(MATCH($B$72,'ER Act'!$B:$B,0)+8,MATCH(TEXT(DATE(YEAR(MES_CIERRE),ROUNDUP(MONTH(MES_CIERRE)/3,0)*3-2,1),"MMMM"),'ER Act'!$1:$1,0),,,"ER Act"))+INDIRECT(ADDRESS(MATCH($B$72,'ER Act'!$B:$B,0)+8,MATCH(TEXT(DATE(YEAR(MES_CIERRE),ROUNDUP(MONTH(MES_CIERRE)/3,0)*3-1,1),"MMMM"),'ER Act'!$1:$1,0),,,"ER Act"))+INDIRECT(ADDRESS(MATCH($B$72,'ER Act'!$B:$B,0)+8,MATCH(TEXT(DATE(YEAR(MES_CIERRE),ROUNDUP(MONTH(MES_CIERRE)/3,0)*3-0,1),"MMMM"),'ER Act'!$1:$1,0),,,"ER Act"))</f>
        <v>4.8330000000000002</v>
      </c>
      <c r="D81" s="329">
        <f ca="1">IF(C75=0,"N.D.",C81/C75)</f>
        <v>5.3922099134992678E-3</v>
      </c>
      <c r="E81" s="342">
        <f ca="1">INDIRECT(ADDRESS(MATCH($B$72,'ER Ppto'!$B:$B,0)+8,MATCH(TEXT(DATE(YEAR(MES_CIERRE),ROUNDUP(MONTH(MES_CIERRE)/3,0)*3-2,1),"MMMM"),'ER Ppto'!$1:$1,0),,,"ER Ppto"))+INDIRECT(ADDRESS(MATCH($B$72,'ER Ppto'!$B:$B,0)+8,MATCH(TEXT(DATE(YEAR(MES_CIERRE),ROUNDUP(MONTH(MES_CIERRE)/3,0)*3-1,1),"MMMM"),'ER Ppto'!$1:$1,0),,,"ER Ppto"))+INDIRECT(ADDRESS(MATCH($B$72,'ER Ppto'!$B:$B,0)+8,MATCH(TEXT(DATE(YEAR(MES_CIERRE),ROUNDUP(MONTH(MES_CIERRE)/3,0)*3-0,1),"MMMM"),'ER Ppto'!$1:$1,0),,,"ER Ppto"))</f>
        <v>0</v>
      </c>
      <c r="F81" s="329">
        <f ca="1">IF(E75=0,"N.D.",E81/E75)</f>
        <v>0</v>
      </c>
      <c r="G81" s="342">
        <f ca="1">INDIRECT(ADDRESS(MATCH($B$72,'ER AA'!$B:$B,0)+8,MATCH(TEXT(DATE(YEAR(MES_CIERRE),ROUNDUP(MONTH(MES_CIERRE)/3,0)*3-2,1),"MMMM"),'ER AA'!$1:$1,0),,,"ER AA"))+INDIRECT(ADDRESS(MATCH($B$72,'ER AA'!$B:$B,0)+8,MATCH(TEXT(DATE(YEAR(MES_CIERRE),ROUNDUP(MONTH(MES_CIERRE)/3,0)*3-1,1),"MMMM"),'ER AA'!$1:$1,0),,,"ER AA"))+INDIRECT(ADDRESS(MATCH($B$72,'ER AA'!$B:$B,0)+8,MATCH(TEXT(DATE(YEAR(MES_CIERRE),ROUNDUP(MONTH(MES_CIERRE)/3,0)*3-0,1),"MMMM"),'ER AA'!$1:$1,0),,,"ER AA"))</f>
        <v>5.5890000000000004</v>
      </c>
      <c r="H81" s="329">
        <f ca="1">IF(G75=0,"N.D.",G81/G75)</f>
        <v>6.2252865369407107E-3</v>
      </c>
      <c r="I81" s="330">
        <f ca="1">C81-E81</f>
        <v>4.8330000000000002</v>
      </c>
      <c r="J81" s="331" t="str">
        <f ca="1">IF(E81=0,"N.D.",C81/E81-1)</f>
        <v>N.D.</v>
      </c>
      <c r="K81" s="342">
        <f ca="1">C81-G81</f>
        <v>-0.75600000000000023</v>
      </c>
      <c r="L81" s="329">
        <f ca="1">IF(G81=0,"N.D.",C81/G81-1)</f>
        <v>-0.13526570048309183</v>
      </c>
      <c r="N81" s="39"/>
      <c r="O81" s="39"/>
      <c r="P81" s="39"/>
      <c r="Q81" s="39"/>
      <c r="R81" s="39"/>
      <c r="T81" s="39"/>
      <c r="U81" s="39"/>
      <c r="V81" s="39"/>
      <c r="W81" s="39"/>
      <c r="X81" s="39"/>
      <c r="Y81" s="39"/>
      <c r="Z81" s="39"/>
      <c r="AD81" s="9" t="s">
        <v>43</v>
      </c>
      <c r="AE81" s="342">
        <v>0</v>
      </c>
      <c r="AF81" s="329">
        <f>IF(AE75=0,"N.D.",AE81/AE75)</f>
        <v>0</v>
      </c>
      <c r="AG81" s="342">
        <f ca="1">((INDIRECT(ADDRESS(MATCH($B$72,BDPP!$B:$B,0)+12,MATCH(TEXT(DATE(YEAR(MES_CIERRE),ROUNDUP(MONTH(MES_CIERRE)/3,0)*3,1),"MMMM"),BDPP!$1:$1,0)+1,,,"BDPP")))+(INDIRECT(ADDRESS(MATCH($B$72,BDPP!$B:$B,0)+12,MATCH(TEXT(DATE(YEAR(MES_CIERRE),ROUNDUP(MONTH(MES_CIERRE)/3,0)*3,1),"MMMM"),BDPP!$1:$1,0)+2,,,"BDPP")))+(INDIRECT(ADDRESS(MATCH($B$72,BDPP!$B:$B,0)+12,MATCH(TEXT(DATE(YEAR(MES_CIERRE),ROUNDUP(MONTH(MES_CIERRE)/3,0)*3,1),"MMMM"),BDPP!$1:$1,0)+3,,,"BDPP"))))/1000</f>
        <v>0</v>
      </c>
      <c r="AH81" s="329">
        <f ca="1">IF(AG75=0,"N.D.",AG81/AG75)</f>
        <v>0</v>
      </c>
      <c r="AI81" s="342">
        <f ca="1">INDIRECT(ADDRESS(MATCH($B$72,INDIRECT("'"&amp;IF(MONTH(MES_CIERRE)=12,"ER ACT","ER AA")&amp;"'!$B:$B"),0)+8,MATCH(TEXT(DATE(YEAR(MES_CIERRE),ROUNDUP(MONTH(MES_CIERRE)+1,0),1),"MMMM"),'ER AA'!$1:$1,0),,,IF(MONTH(MES_CIERRE)=12,"ER ACT","ER AA")))+INDIRECT(ADDRESS(MATCH($B$72,INDIRECT("'"&amp;IF(MONTH(MES_CIERRE)=12,"ER ACT","ER AA")&amp;"'!$B:$B"),0)+8,MATCH(TEXT(DATE(YEAR(MES_CIERRE),ROUNDUP(MONTH(MES_CIERRE)+2,0),1),"MMMM"),'ER AA'!$1:$1,0),,,IF(MONTH(MES_CIERRE)=12,"ER ACT","ER AA")))+INDIRECT(ADDRESS(MATCH($B$72,INDIRECT("'"&amp;IF(MONTH(MES_CIERRE)=12,"ER ACT","ER AA")&amp;"'!$B:$B"),0)+8,MATCH(TEXT(DATE(YEAR(MES_CIERRE),ROUNDUP(MONTH(MES_CIERRE)+3,0),1),"MMMM"),'ER AA'!$1:$1,0),,,IF(MONTH(MES_CIERRE)=12,"ER ACT","ER AA")))</f>
        <v>5.5899599999999996</v>
      </c>
      <c r="AJ81" s="329">
        <f ca="1">IF(AI75=0,"N.D.",AI81/AI75)</f>
        <v>6.3561915860818417E-3</v>
      </c>
      <c r="AK81" s="330">
        <f ca="1">AE81-AG81</f>
        <v>0</v>
      </c>
      <c r="AL81" s="331" t="str">
        <f ca="1">IF(AG81=0,"N.D.",AE81/AG81-1)</f>
        <v>N.D.</v>
      </c>
      <c r="AM81" s="342">
        <f ca="1">AE81-AI81</f>
        <v>-5.5899599999999996</v>
      </c>
      <c r="AN81" s="329">
        <f ca="1">IF(AI81=0,"N.D.",AE81/AI81-1)</f>
        <v>-1</v>
      </c>
      <c r="AP81" s="39"/>
      <c r="AQ81" s="39"/>
      <c r="AR81" s="39"/>
      <c r="AS81" s="39"/>
      <c r="AT81" s="39"/>
      <c r="AV81" s="39"/>
      <c r="AW81" s="39"/>
      <c r="AX81" s="39"/>
      <c r="AY81" s="39"/>
      <c r="AZ81" s="39"/>
      <c r="BA81" s="39"/>
      <c r="BB81" s="39"/>
    </row>
    <row r="82" spans="1:54" ht="12.5" hidden="1" customHeight="1" x14ac:dyDescent="0.3">
      <c r="A82" s="316"/>
      <c r="B82" s="9" t="s">
        <v>44</v>
      </c>
      <c r="C82" s="337">
        <f ca="1">+C79+C80+C81</f>
        <v>607.90899999999988</v>
      </c>
      <c r="D82" s="334">
        <f ca="1">IF(C75=0,"N.D.",C82/C75)</f>
        <v>0.67824807289580502</v>
      </c>
      <c r="E82" s="337">
        <f ca="1">+E79+E80+E81</f>
        <v>663.86</v>
      </c>
      <c r="F82" s="334">
        <f ca="1">IF(E75=0,"N.D.",E82/E75)</f>
        <v>0.7155468081391213</v>
      </c>
      <c r="G82" s="337">
        <f ca="1">+G79+G80+G81</f>
        <v>664.54300000000012</v>
      </c>
      <c r="H82" s="334">
        <f ca="1">IF(G75=0,"N.D.",G82/G75)</f>
        <v>0.74019871016607464</v>
      </c>
      <c r="I82" s="335">
        <f ca="1">C82-E82</f>
        <v>-55.951000000000136</v>
      </c>
      <c r="J82" s="336">
        <f ca="1">IF(E82=0,"N.D.",C82/E82-1)</f>
        <v>-8.4281324375621525E-2</v>
      </c>
      <c r="K82" s="337">
        <f ca="1">C82-G82</f>
        <v>-56.634000000000242</v>
      </c>
      <c r="L82" s="334">
        <f ca="1">IF(G82=0,"N.D.",C82/G82-1)</f>
        <v>-8.5222476197928887E-2</v>
      </c>
      <c r="N82" s="6"/>
      <c r="O82" s="6"/>
      <c r="P82" s="6"/>
      <c r="Q82" s="6"/>
      <c r="R82" s="6"/>
      <c r="T82" s="6"/>
      <c r="U82" s="6"/>
      <c r="V82" s="6"/>
      <c r="W82" s="6"/>
      <c r="X82" s="6"/>
      <c r="Y82" s="6"/>
      <c r="Z82" s="6"/>
      <c r="AD82" s="9" t="s">
        <v>44</v>
      </c>
      <c r="AE82" s="337">
        <f ca="1">+AE79+AE80+AE81</f>
        <v>623.82065128256033</v>
      </c>
      <c r="AF82" s="334">
        <f ca="1">IF(AE75=0,"N.D.",AE82/AE75)</f>
        <v>0.684764710518727</v>
      </c>
      <c r="AG82" s="337">
        <f ca="1">+AG79+AG80+AG81</f>
        <v>643.75800000000004</v>
      </c>
      <c r="AH82" s="334">
        <f ca="1">IF(AG75=0,"N.D.",AG82/AG75)</f>
        <v>0.70181264369946339</v>
      </c>
      <c r="AI82" s="337">
        <f ca="1">+AI79+AI80+AI81</f>
        <v>633.36547000000007</v>
      </c>
      <c r="AJ82" s="334">
        <f ca="1">IF(AI75=0,"N.D.",AI82/AI75)</f>
        <v>0.72018266165209976</v>
      </c>
      <c r="AK82" s="335">
        <f ca="1">AE82-AG82</f>
        <v>-19.937348717439704</v>
      </c>
      <c r="AL82" s="336">
        <f ca="1">IF(AG82=0,"N.D.",AE82/AG82-1)</f>
        <v>-3.0970253911314027E-2</v>
      </c>
      <c r="AM82" s="337">
        <f ca="1">AE82-AI82</f>
        <v>-9.544818717439739</v>
      </c>
      <c r="AN82" s="334">
        <f ca="1">IF(AI82=0,"N.D.",AE82/AI82-1)</f>
        <v>-1.5070001712344294E-2</v>
      </c>
      <c r="AP82" s="6"/>
      <c r="AQ82" s="6"/>
      <c r="AR82" s="6"/>
      <c r="AS82" s="6"/>
      <c r="AT82" s="6"/>
      <c r="AV82" s="6"/>
      <c r="AW82" s="6"/>
      <c r="AX82" s="6"/>
      <c r="AY82" s="6"/>
      <c r="AZ82" s="6"/>
      <c r="BA82" s="6"/>
      <c r="BB82" s="6"/>
    </row>
    <row r="83" spans="1:54" ht="13" x14ac:dyDescent="0.3">
      <c r="A83" s="316"/>
      <c r="B83" s="9" t="s">
        <v>45</v>
      </c>
      <c r="C83" s="337">
        <f ca="1">+C77-C82</f>
        <v>-5.8219999999997754</v>
      </c>
      <c r="D83" s="334">
        <f ca="1">IF(C75=0,"N.D.",C83/C75)</f>
        <v>-6.4956437236481533E-3</v>
      </c>
      <c r="E83" s="337">
        <f ca="1">+E77-E82</f>
        <v>-65.915000000000077</v>
      </c>
      <c r="F83" s="334">
        <f ca="1">IF(E75=0,"N.D.",E83/E75)</f>
        <v>-7.1047009698566324E-2</v>
      </c>
      <c r="G83" s="337">
        <f ca="1">+G77-G82</f>
        <v>-84.151000000000181</v>
      </c>
      <c r="H83" s="334">
        <f ca="1">IF(G75=0,"N.D.",G83/G75)</f>
        <v>-9.3731273460386261E-2</v>
      </c>
      <c r="I83" s="335">
        <f ca="1">C83-E83</f>
        <v>60.093000000000302</v>
      </c>
      <c r="J83" s="336">
        <f ca="1">IF(E83=0,"N.D.",C83/E83-1)</f>
        <v>-0.91167412576803808</v>
      </c>
      <c r="K83" s="337">
        <f ca="1">C83-G83</f>
        <v>78.329000000000406</v>
      </c>
      <c r="L83" s="334">
        <f ca="1">IF(G83=0,"N.D.",C83/G83-1)</f>
        <v>-0.93081484474338083</v>
      </c>
      <c r="N83" s="6"/>
      <c r="O83" s="6"/>
      <c r="P83" s="6"/>
      <c r="Q83" s="6"/>
      <c r="R83" s="6"/>
      <c r="T83" s="6"/>
      <c r="U83" s="6"/>
      <c r="V83" s="6"/>
      <c r="W83" s="6"/>
      <c r="X83" s="6"/>
      <c r="Y83" s="6"/>
      <c r="Z83" s="6"/>
      <c r="AD83" s="9" t="s">
        <v>45</v>
      </c>
      <c r="AE83" s="337">
        <f ca="1">+AE77-AE82</f>
        <v>-11.854188306725405</v>
      </c>
      <c r="AF83" s="334">
        <f ca="1">IF(AE75=0,"N.D.",AE83/AE75)</f>
        <v>-1.3012281346570148E-2</v>
      </c>
      <c r="AG83" s="337">
        <f ca="1">+AG77-AG82</f>
        <v>-52.571000000000026</v>
      </c>
      <c r="AH83" s="334">
        <f ca="1">IF(AG75=0,"N.D.",AG83/AG75)</f>
        <v>-5.731189747067144E-2</v>
      </c>
      <c r="AI83" s="337">
        <f ca="1">+AI77-AI82</f>
        <v>-69.921440000000189</v>
      </c>
      <c r="AJ83" s="334">
        <f ca="1">IF(AI75=0,"N.D.",AI83/AI75)</f>
        <v>-7.9505769024237657E-2</v>
      </c>
      <c r="AK83" s="335">
        <f ca="1">AE83-AG83</f>
        <v>40.716811693274622</v>
      </c>
      <c r="AL83" s="336">
        <f ca="1">IF(AG83=0,"N.D.",AE83/AG83-1)</f>
        <v>-0.77451088419993153</v>
      </c>
      <c r="AM83" s="337">
        <f ca="1">AE83-AI83</f>
        <v>58.067251693274784</v>
      </c>
      <c r="AN83" s="334">
        <f ca="1">IF(AI83=0,"N.D.",AE83/AI83-1)</f>
        <v>-0.8304641851379867</v>
      </c>
      <c r="AP83" s="6"/>
      <c r="AQ83" s="6"/>
      <c r="AR83" s="6"/>
      <c r="AS83" s="6"/>
      <c r="AT83" s="6"/>
      <c r="AV83" s="6"/>
      <c r="AW83" s="6"/>
      <c r="AX83" s="6"/>
      <c r="AY83" s="6"/>
      <c r="AZ83" s="6"/>
      <c r="BA83" s="6"/>
      <c r="BB83" s="6"/>
    </row>
    <row r="84" spans="1:54" x14ac:dyDescent="0.25">
      <c r="A84" s="316"/>
      <c r="B84" s="322"/>
      <c r="C84" s="338"/>
      <c r="D84" s="339"/>
      <c r="E84" s="338"/>
      <c r="F84" s="339"/>
      <c r="G84" s="338"/>
      <c r="H84" s="339"/>
      <c r="I84" s="338"/>
      <c r="J84" s="340"/>
      <c r="K84" s="338"/>
      <c r="L84" s="339"/>
      <c r="N84" s="6"/>
      <c r="O84" s="6"/>
      <c r="P84" s="6"/>
      <c r="Q84" s="6"/>
      <c r="R84" s="6"/>
      <c r="T84" s="6"/>
      <c r="U84" s="6"/>
      <c r="V84" s="6"/>
      <c r="W84" s="6"/>
      <c r="X84" s="6"/>
      <c r="Y84" s="6"/>
      <c r="Z84" s="6"/>
      <c r="AD84" s="322"/>
      <c r="AE84" s="338"/>
      <c r="AF84" s="339"/>
      <c r="AG84" s="338"/>
      <c r="AH84" s="339"/>
      <c r="AI84" s="338"/>
      <c r="AJ84" s="339"/>
      <c r="AK84" s="338"/>
      <c r="AL84" s="340"/>
      <c r="AM84" s="338"/>
      <c r="AN84" s="339"/>
      <c r="AP84" s="6"/>
      <c r="AQ84" s="6"/>
      <c r="AR84" s="6"/>
      <c r="AS84" s="6"/>
      <c r="AT84" s="6"/>
      <c r="AV84" s="6"/>
      <c r="AW84" s="6"/>
      <c r="AX84" s="6"/>
      <c r="AY84" s="6"/>
      <c r="AZ84" s="6"/>
      <c r="BA84" s="6"/>
      <c r="BB84" s="6"/>
    </row>
    <row r="85" spans="1:54" x14ac:dyDescent="0.25">
      <c r="A85" s="316"/>
      <c r="B85" s="322"/>
      <c r="C85" s="327"/>
      <c r="D85" s="343"/>
      <c r="E85" s="327"/>
      <c r="F85" s="343"/>
      <c r="G85" s="327"/>
      <c r="H85" s="343"/>
      <c r="I85" s="325"/>
      <c r="J85" s="326"/>
      <c r="K85" s="327"/>
      <c r="L85" s="324"/>
      <c r="N85" s="6"/>
      <c r="O85" s="6"/>
      <c r="P85" s="6"/>
      <c r="Q85" s="6"/>
      <c r="R85" s="6"/>
      <c r="T85" s="6"/>
      <c r="U85" s="6"/>
      <c r="V85" s="6"/>
      <c r="W85" s="6"/>
      <c r="X85" s="6"/>
      <c r="Y85" s="6"/>
      <c r="Z85" s="6"/>
      <c r="AD85" s="1"/>
      <c r="AE85" s="327"/>
      <c r="AF85" s="343"/>
      <c r="AG85" s="327"/>
      <c r="AH85" s="343"/>
      <c r="AI85" s="327"/>
      <c r="AJ85" s="343"/>
      <c r="AK85" s="325"/>
      <c r="AL85" s="326"/>
      <c r="AM85" s="327"/>
      <c r="AN85" s="324"/>
      <c r="AP85" s="6"/>
      <c r="AQ85" s="6"/>
      <c r="AR85" s="6"/>
      <c r="AS85" s="6"/>
      <c r="AT85" s="6"/>
      <c r="AV85" s="6"/>
      <c r="AW85" s="6"/>
      <c r="AX85" s="6"/>
      <c r="AY85" s="6"/>
      <c r="AZ85" s="6"/>
      <c r="BA85" s="6"/>
      <c r="BB85" s="6"/>
    </row>
    <row r="86" spans="1:54" ht="13" x14ac:dyDescent="0.3">
      <c r="A86" s="316"/>
      <c r="B86" s="9" t="s">
        <v>52</v>
      </c>
      <c r="C86" s="328">
        <f ca="1">INDIRECT(ADDRESS(MATCH($B$72,'ER Act'!$B:$B,0)+13,MATCH(TEXT(DATE(YEAR(MES_CIERRE),ROUNDUP(MONTH(MES_CIERRE)/3,0)*3-2,1),"MMMM"),'ER Act'!$1:$1,0),,,"ER Act"))+INDIRECT(ADDRESS(MATCH($B$72,'ER Act'!$B:$B,0)+13,MATCH(TEXT(DATE(YEAR(MES_CIERRE),ROUNDUP(MONTH(MES_CIERRE)/3,0)*3-1,1),"MMMM"),'ER Act'!$1:$1,0),,,"ER Act"))+INDIRECT(ADDRESS(MATCH($B$72,'ER Act'!$B:$B,0)+13,MATCH(TEXT(DATE(YEAR(MES_CIERRE),ROUNDUP(MONTH(MES_CIERRE)/3,0)*3-0,1),"MMMM"),'ER Act'!$1:$1,0),,,"ER Act"))</f>
        <v>-5.8959999999999999</v>
      </c>
      <c r="D86" s="344">
        <f ca="1">IF(C75=0,"N.D.",C86/C75)</f>
        <v>-6.5782060107576418E-3</v>
      </c>
      <c r="E86" s="328">
        <f ca="1">INDIRECT(ADDRESS(MATCH($B$72,'ER Ppto'!$B:$B,0)+13,MATCH(TEXT(DATE(YEAR(MES_CIERRE),ROUNDUP(MONTH(MES_CIERRE)/3,0)*3-2,1),"MMMM"),'ER Ppto'!$1:$1,0),,,"ER Ppto"))+INDIRECT(ADDRESS(MATCH($B$72,'ER Ppto'!$B:$B,0)+13,MATCH(TEXT(DATE(YEAR(MES_CIERRE),ROUNDUP(MONTH(MES_CIERRE)/3,0)*3-1,1),"MMMM"),'ER Ppto'!$1:$1,0),,,"ER Ppto"))+INDIRECT(ADDRESS(MATCH($B$72,'ER Ppto'!$B:$B,0)+13,MATCH(TEXT(DATE(YEAR(MES_CIERRE),ROUNDUP(MONTH(MES_CIERRE)/3,0)*3-0,1),"MMMM"),'ER Ppto'!$1:$1,0),,,"ER Ppto"))</f>
        <v>-4.6500000000000004</v>
      </c>
      <c r="F86" s="344">
        <f ca="1">IF(E75=0,"N.D.",E86/E75)</f>
        <v>-5.0120396737970575E-3</v>
      </c>
      <c r="G86" s="328">
        <f ca="1">INDIRECT(ADDRESS(MATCH($B$72,'ER AA'!$B:$B,0)+13,MATCH(TEXT(DATE(YEAR(MES_CIERRE),ROUNDUP(MONTH(MES_CIERRE)/3,0)*3-2,1),"MMMM"),'ER AA'!$1:$1,0),,,"ER AA"))+INDIRECT(ADDRESS(MATCH($B$72,'ER AA'!$B:$B,0)+13,MATCH(TEXT(DATE(YEAR(MES_CIERRE),ROUNDUP(MONTH(MES_CIERRE)/3,0)*3-1,1),"MMMM"),'ER AA'!$1:$1,0),,,"ER AA"))+INDIRECT(ADDRESS(MATCH($B$72,'ER AA'!$B:$B,0)+13,MATCH(TEXT(DATE(YEAR(MES_CIERRE),ROUNDUP(MONTH(MES_CIERRE)/3,0)*3-0,1),"MMMM"),'ER AA'!$1:$1,0),,,"ER AA"))</f>
        <v>-5.08</v>
      </c>
      <c r="H86" s="344">
        <f ca="1">IF(G75=0,"N.D.",G86/G75)</f>
        <v>-5.658338809743927E-3</v>
      </c>
      <c r="I86" s="330">
        <f t="shared" ref="I86:I91" ca="1" si="238">C86-E86</f>
        <v>-1.2459999999999996</v>
      </c>
      <c r="J86" s="331">
        <f t="shared" ref="J86:J91" ca="1" si="239">IF(E86=0,"N.D.",C86/E86-1)</f>
        <v>0.26795698924731171</v>
      </c>
      <c r="K86" s="328">
        <f t="shared" ref="K86:K91" ca="1" si="240">C86-G86</f>
        <v>-0.81599999999999984</v>
      </c>
      <c r="L86" s="341">
        <f t="shared" ref="L86:L91" ca="1" si="241">IF(G86=0,"N.D.",C86/G86-1)</f>
        <v>0.16062992125984255</v>
      </c>
      <c r="N86" s="39"/>
      <c r="O86" s="39"/>
      <c r="P86" s="39"/>
      <c r="Q86" s="39"/>
      <c r="R86" s="39"/>
      <c r="T86" s="39"/>
      <c r="U86" s="39"/>
      <c r="V86" s="39"/>
      <c r="W86" s="39"/>
      <c r="X86" s="39"/>
      <c r="Y86" s="39"/>
      <c r="Z86" s="39"/>
      <c r="AD86" s="9" t="s">
        <v>52</v>
      </c>
      <c r="AE86" s="328">
        <v>-5</v>
      </c>
      <c r="AF86" s="344">
        <f>IF(AE75=0,"N.D.",AE86/AE75)</f>
        <v>-5.4884742041712408E-3</v>
      </c>
      <c r="AG86" s="328">
        <f ca="1">((INDIRECT(ADDRESS(MATCH($B$72,BDPP!$B:$B,0)+16,MATCH(TEXT(DATE(YEAR(MES_CIERRE),ROUNDUP(MONTH(MES_CIERRE)/3,0)*3,1),"MMMM"),BDPP!$1:$1,0)+1,,,"BDPP")))+(INDIRECT(ADDRESS(MATCH($B$72,BDPP!$B:$B,0)+16,MATCH(TEXT(DATE(YEAR(MES_CIERRE),ROUNDUP(MONTH(MES_CIERRE)/3,0)*3,1),"MMMM"),BDPP!$1:$1,0)+2,,,"BDPP")))+(INDIRECT(ADDRESS(MATCH($B$72,BDPP!$B:$B,0)+16,MATCH(TEXT(DATE(YEAR(MES_CIERRE),ROUNDUP(MONTH(MES_CIERRE)/3,0)*3,1),"MMMM"),BDPP!$1:$1,0)+3,,,"BDPP"))))/1000</f>
        <v>-4.6500000000000004</v>
      </c>
      <c r="AH86" s="344">
        <f ca="1">IF(AG75=0,"N.D.",AG86/AG75)</f>
        <v>-5.0693409529706888E-3</v>
      </c>
      <c r="AI86" s="328">
        <f ca="1">INDIRECT(ADDRESS(MATCH($B$72,INDIRECT("'"&amp;IF(MONTH(MES_CIERRE)=12,"ER ACT","ER AA")&amp;"'!$B:$B"),0)+13,MATCH(TEXT(DATE(YEAR(MES_CIERRE),ROUNDUP(MONTH(MES_CIERRE)+1,0),1),"MMMM"),'ER AA'!$1:$1,0),,,IF(MONTH(MES_CIERRE)=12,"ER ACT","ER AA")))+INDIRECT(ADDRESS(MATCH($B$72,INDIRECT("'"&amp;IF(MONTH(MES_CIERRE)=12,"ER ACT","ER AA")&amp;"'!$B:$B"),0)+13,MATCH(TEXT(DATE(YEAR(MES_CIERRE),ROUNDUP(MONTH(MES_CIERRE)+2,0),1),"MMMM"),'ER AA'!$1:$1,0),,,IF(MONTH(MES_CIERRE)=12,"ER ACT","ER AA")))+INDIRECT(ADDRESS(MATCH($B$72,INDIRECT("'"&amp;IF(MONTH(MES_CIERRE)=12,"ER ACT","ER AA")&amp;"'!$B:$B"),0)+13,MATCH(TEXT(DATE(YEAR(MES_CIERRE),ROUNDUP(MONTH(MES_CIERRE)+3,0),1),"MMMM"),'ER AA'!$1:$1,0),,,IF(MONTH(MES_CIERRE)=12,"ER ACT","ER AA")))</f>
        <v>-10.844899999999999</v>
      </c>
      <c r="AJ86" s="344">
        <f ca="1">IF(AI75=0,"N.D.",AI86/AI75)</f>
        <v>-1.2331441035695955E-2</v>
      </c>
      <c r="AK86" s="330">
        <f t="shared" ref="AK86:AK91" ca="1" si="242">AE86-AG86</f>
        <v>-0.34999999999999964</v>
      </c>
      <c r="AL86" s="331">
        <f t="shared" ref="AL86:AL91" ca="1" si="243">IF(AG86=0,"N.D.",AE86/AG86-1)</f>
        <v>7.5268817204301008E-2</v>
      </c>
      <c r="AM86" s="328">
        <f t="shared" ref="AM86:AM91" ca="1" si="244">AE86-AI86</f>
        <v>5.8448999999999991</v>
      </c>
      <c r="AN86" s="341">
        <f t="shared" ref="AN86:AN91" ca="1" si="245">IF(AI86=0,"N.D.",AE86/AI86-1)</f>
        <v>-0.53895379394922949</v>
      </c>
      <c r="AP86" s="39"/>
      <c r="AQ86" s="39"/>
      <c r="AR86" s="39"/>
      <c r="AS86" s="39"/>
      <c r="AT86" s="39"/>
      <c r="AV86" s="39"/>
      <c r="AW86" s="39"/>
      <c r="AX86" s="39"/>
      <c r="AY86" s="39"/>
      <c r="AZ86" s="39"/>
      <c r="BA86" s="39"/>
      <c r="BB86" s="39"/>
    </row>
    <row r="87" spans="1:54" ht="13" x14ac:dyDescent="0.3">
      <c r="A87" s="316"/>
      <c r="B87" s="9" t="s">
        <v>184</v>
      </c>
      <c r="C87" s="328">
        <f ca="1">INDIRECT(ADDRESS(MATCH($B$72,'ER Act'!$B:$B,0)+14,MATCH(TEXT(DATE(YEAR(MES_CIERRE),ROUNDUP(MONTH(MES_CIERRE)/3,0)*3-2,1),"MMMM"),'ER Act'!$1:$1,0),,,"ER Act"))+INDIRECT(ADDRESS(MATCH($B$72,'ER Act'!$B:$B,0)+14,MATCH(TEXT(DATE(YEAR(MES_CIERRE),ROUNDUP(MONTH(MES_CIERRE)/3,0)*3-1,1),"MMMM"),'ER Act'!$1:$1,0),,,"ER Act"))+INDIRECT(ADDRESS(MATCH($B$72,'ER Act'!$B:$B,0)+14,MATCH(TEXT(DATE(YEAR(MES_CIERRE),ROUNDUP(MONTH(MES_CIERRE)/3,0)*3-0,1),"MMMM"),'ER Act'!$1:$1,0),,,"ER Act"))</f>
        <v>1.421</v>
      </c>
      <c r="D87" s="344">
        <f ca="1">IF(C75=0,"N.D.",C87/C75)</f>
        <v>1.5854190538138755E-3</v>
      </c>
      <c r="E87" s="328">
        <f ca="1">INDIRECT(ADDRESS(MATCH($B$72,'ER Ppto'!$B:$B,0)+14,MATCH(TEXT(DATE(YEAR(MES_CIERRE),ROUNDUP(MONTH(MES_CIERRE)/3,0)*3-2,1),"MMMM"),'ER Ppto'!$1:$1,0),,,"ER Ppto"))+INDIRECT(ADDRESS(MATCH($B$72,'ER Ppto'!$B:$B,0)+14,MATCH(TEXT(DATE(YEAR(MES_CIERRE),ROUNDUP(MONTH(MES_CIERRE)/3,0)*3-1,1),"MMMM"),'ER Ppto'!$1:$1,0),,,"ER Ppto"))+INDIRECT(ADDRESS(MATCH($B$72,'ER Ppto'!$B:$B,0)+14,MATCH(TEXT(DATE(YEAR(MES_CIERRE),ROUNDUP(MONTH(MES_CIERRE)/3,0)*3-0,1),"MMMM"),'ER Ppto'!$1:$1,0),,,"ER Ppto"))</f>
        <v>2.6230000000000002</v>
      </c>
      <c r="F87" s="344">
        <f ca="1">IF(E75=0,"N.D.",E87/E75)</f>
        <v>2.827221519219286E-3</v>
      </c>
      <c r="G87" s="328">
        <f ca="1">INDIRECT(ADDRESS(MATCH($B$72,'ER AA'!$B:$B,0)+14,MATCH(TEXT(DATE(YEAR(MES_CIERRE),ROUNDUP(MONTH(MES_CIERRE)/3,0)*3-2,1),"MMMM"),'ER AA'!$1:$1,0),,,"ER AA"))+INDIRECT(ADDRESS(MATCH($B$72,'ER AA'!$B:$B,0)+14,MATCH(TEXT(DATE(YEAR(MES_CIERRE),ROUNDUP(MONTH(MES_CIERRE)/3,0)*3-1,1),"MMMM"),'ER AA'!$1:$1,0),,,"ER AA"))+INDIRECT(ADDRESS(MATCH($B$72,'ER AA'!$B:$B,0)+14,MATCH(TEXT(DATE(YEAR(MES_CIERRE),ROUNDUP(MONTH(MES_CIERRE)/3,0)*3-0,1),"MMMM"),'ER AA'!$1:$1,0),,,"ER AA"))</f>
        <v>3.1190000000000002</v>
      </c>
      <c r="H87" s="344">
        <f ca="1">IF(G75=0,"N.D.",G87/G75)</f>
        <v>3.4740863676360847E-3</v>
      </c>
      <c r="I87" s="330">
        <f t="shared" ca="1" si="238"/>
        <v>-1.2020000000000002</v>
      </c>
      <c r="J87" s="331">
        <f t="shared" ca="1" si="239"/>
        <v>-0.45825390773922992</v>
      </c>
      <c r="K87" s="328">
        <f t="shared" ca="1" si="240"/>
        <v>-1.6980000000000002</v>
      </c>
      <c r="L87" s="341">
        <f t="shared" ca="1" si="241"/>
        <v>-0.54440525809554341</v>
      </c>
      <c r="N87" s="39"/>
      <c r="O87" s="39"/>
      <c r="P87" s="39"/>
      <c r="Q87" s="39"/>
      <c r="R87" s="39"/>
      <c r="T87" s="39"/>
      <c r="U87" s="39"/>
      <c r="V87" s="39"/>
      <c r="W87" s="39"/>
      <c r="X87" s="39"/>
      <c r="Y87" s="39"/>
      <c r="Z87" s="39"/>
      <c r="AD87" s="9" t="s">
        <v>184</v>
      </c>
      <c r="AE87" s="328">
        <v>3</v>
      </c>
      <c r="AF87" s="344">
        <f>IF(AE75=0,"N.D.",AE87/AE75)</f>
        <v>3.2930845225027441E-3</v>
      </c>
      <c r="AG87" s="328">
        <f ca="1">((INDIRECT(ADDRESS(MATCH($B$72,BDPP!$B:$B,0)+17,MATCH(TEXT(DATE(YEAR(MES_CIERRE),ROUNDUP(MONTH(MES_CIERRE)/3,0)*3,1),"MMMM"),BDPP!$1:$1,0)+1,,,"BDPP")))+(INDIRECT(ADDRESS(MATCH($B$72,BDPP!$B:$B,0)+17,MATCH(TEXT(DATE(YEAR(MES_CIERRE),ROUNDUP(MONTH(MES_CIERRE)/3,0)*3,1),"MMMM"),BDPP!$1:$1,0)+2,,,"BDPP")))+(INDIRECT(ADDRESS(MATCH($B$72,BDPP!$B:$B,0)+17,MATCH(TEXT(DATE(YEAR(MES_CIERRE),ROUNDUP(MONTH(MES_CIERRE)/3,0)*3,1),"MMMM"),BDPP!$1:$1,0)+3,,,"BDPP"))))/1000</f>
        <v>2.5939999999999999</v>
      </c>
      <c r="AH87" s="344">
        <f ca="1">IF(AG75=0,"N.D.",AG87/AG75)</f>
        <v>2.8279291251625729E-3</v>
      </c>
      <c r="AI87" s="328">
        <f ca="1">INDIRECT(ADDRESS(MATCH($B$72,INDIRECT("'"&amp;IF(MONTH(MES_CIERRE)=12,"ER ACT","ER AA")&amp;"'!$B:$B"),0)+14,MATCH(TEXT(DATE(YEAR(MES_CIERRE),ROUNDUP(MONTH(MES_CIERRE)+1,0),1),"MMMM"),'ER AA'!$1:$1,0),,,IF(MONTH(MES_CIERRE)=12,"ER ACT","ER AA")))+INDIRECT(ADDRESS(MATCH($B$72,INDIRECT("'"&amp;IF(MONTH(MES_CIERRE)=12,"ER ACT","ER AA")&amp;"'!$B:$B"),0)+14,MATCH(TEXT(DATE(YEAR(MES_CIERRE),ROUNDUP(MONTH(MES_CIERRE)+2,0),1),"MMMM"),'ER AA'!$1:$1,0),,,IF(MONTH(MES_CIERRE)=12,"ER ACT","ER AA")))+INDIRECT(ADDRESS(MATCH($B$72,INDIRECT("'"&amp;IF(MONTH(MES_CIERRE)=12,"ER ACT","ER AA")&amp;"'!$B:$B"),0)+14,MATCH(TEXT(DATE(YEAR(MES_CIERRE),ROUNDUP(MONTH(MES_CIERRE)+3,0),1),"MMMM"),'ER AA'!$1:$1,0),,,IF(MONTH(MES_CIERRE)=12,"ER ACT","ER AA")))</f>
        <v>8.0270500000000009</v>
      </c>
      <c r="AJ87" s="344">
        <f ca="1">IF(AI75=0,"N.D.",AI87/AI75)</f>
        <v>9.1273403872403833E-3</v>
      </c>
      <c r="AK87" s="330">
        <f t="shared" ca="1" si="242"/>
        <v>0.40600000000000014</v>
      </c>
      <c r="AL87" s="331">
        <f t="shared" ca="1" si="243"/>
        <v>0.15651503469545114</v>
      </c>
      <c r="AM87" s="328">
        <f t="shared" ca="1" si="244"/>
        <v>-5.0270500000000009</v>
      </c>
      <c r="AN87" s="341">
        <f t="shared" ca="1" si="245"/>
        <v>-0.62626369587831143</v>
      </c>
      <c r="AP87" s="39"/>
      <c r="AQ87" s="39"/>
      <c r="AR87" s="39"/>
      <c r="AS87" s="39"/>
      <c r="AT87" s="39"/>
      <c r="AV87" s="39"/>
      <c r="AW87" s="39"/>
      <c r="AX87" s="39"/>
      <c r="AY87" s="39"/>
      <c r="AZ87" s="39"/>
      <c r="BA87" s="39"/>
      <c r="BB87" s="39"/>
    </row>
    <row r="88" spans="1:54" x14ac:dyDescent="0.25">
      <c r="A88" s="316"/>
      <c r="B88" s="9" t="s">
        <v>47</v>
      </c>
      <c r="C88" s="328">
        <f ca="1">INDIRECT(ADDRESS(MATCH($B$72,'ER Act'!$B:$B,0)+15,MATCH(TEXT(DATE(YEAR(MES_CIERRE),ROUNDUP(MONTH(MES_CIERRE)/3,0)*3-2,1),"MMMM"),'ER Act'!$1:$1,0),,,"ER Act"))+INDIRECT(ADDRESS(MATCH($B$72,'ER Act'!$B:$B,0)+15,MATCH(TEXT(DATE(YEAR(MES_CIERRE),ROUNDUP(MONTH(MES_CIERRE)/3,0)*3-1,1),"MMMM"),'ER Act'!$1:$1,0),,,"ER Act"))+INDIRECT(ADDRESS(MATCH($B$72,'ER Act'!$B:$B,0)+15,MATCH(TEXT(DATE(YEAR(MES_CIERRE),ROUNDUP(MONTH(MES_CIERRE)/3,0)*3-0,1),"MMMM"),'ER Act'!$1:$1,0),,,"ER Act"))</f>
        <v>0</v>
      </c>
      <c r="D88" s="344">
        <f ca="1">IF(C75=0,"N.D.",C88/C75)</f>
        <v>0</v>
      </c>
      <c r="E88" s="328">
        <f ca="1">INDIRECT(ADDRESS(MATCH($B$72,'ER Ppto'!$B:$B,0)+15,MATCH(TEXT(DATE(YEAR(MES_CIERRE),ROUNDUP(MONTH(MES_CIERRE)/3,0)*3-2,1),"MMMM"),'ER Ppto'!$1:$1,0),,,"ER Ppto"))+INDIRECT(ADDRESS(MATCH($B$72,'ER Ppto'!$B:$B,0)+15,MATCH(TEXT(DATE(YEAR(MES_CIERRE),ROUNDUP(MONTH(MES_CIERRE)/3,0)*3-1,1),"MMMM"),'ER Ppto'!$1:$1,0),,,"ER Ppto"))+INDIRECT(ADDRESS(MATCH($B$72,'ER Ppto'!$B:$B,0)+15,MATCH(TEXT(DATE(YEAR(MES_CIERRE),ROUNDUP(MONTH(MES_CIERRE)/3,0)*3-0,1),"MMMM"),'ER Ppto'!$1:$1,0),,,"ER Ppto"))</f>
        <v>0</v>
      </c>
      <c r="F88" s="344">
        <f ca="1">IF(E75=0,"N.D.",E88/E75)</f>
        <v>0</v>
      </c>
      <c r="G88" s="328">
        <f ca="1">INDIRECT(ADDRESS(MATCH($B$72,'ER AA'!$B:$B,0)+15,MATCH(TEXT(DATE(YEAR(MES_CIERRE),ROUNDUP(MONTH(MES_CIERRE)/3,0)*3-2,1),"MMMM"),'ER AA'!$1:$1,0),,,"ER AA"))+INDIRECT(ADDRESS(MATCH($B$72,'ER AA'!$B:$B,0)+15,MATCH(TEXT(DATE(YEAR(MES_CIERRE),ROUNDUP(MONTH(MES_CIERRE)/3,0)*3-1,1),"MMMM"),'ER AA'!$1:$1,0),,,"ER AA"))+INDIRECT(ADDRESS(MATCH($B$72,'ER AA'!$B:$B,0)+15,MATCH(TEXT(DATE(YEAR(MES_CIERRE),ROUNDUP(MONTH(MES_CIERRE)/3,0)*3-0,1),"MMMM"),'ER AA'!$1:$1,0),,,"ER AA"))</f>
        <v>0</v>
      </c>
      <c r="H88" s="344">
        <f ca="1">IF(G75=0,"N.D.",G88/G75)</f>
        <v>0</v>
      </c>
      <c r="I88" s="330">
        <f t="shared" ca="1" si="238"/>
        <v>0</v>
      </c>
      <c r="J88" s="331" t="str">
        <f t="shared" ca="1" si="239"/>
        <v>N.D.</v>
      </c>
      <c r="K88" s="328">
        <f t="shared" ca="1" si="240"/>
        <v>0</v>
      </c>
      <c r="L88" s="341" t="str">
        <f t="shared" ca="1" si="241"/>
        <v>N.D.</v>
      </c>
      <c r="N88" s="6"/>
      <c r="O88" s="6"/>
      <c r="P88" s="6"/>
      <c r="Q88" s="6"/>
      <c r="R88" s="6"/>
      <c r="T88" s="6"/>
      <c r="U88" s="6"/>
      <c r="V88" s="6"/>
      <c r="W88" s="6"/>
      <c r="X88" s="6"/>
      <c r="Y88" s="6"/>
      <c r="Z88" s="6"/>
      <c r="AD88" s="9" t="s">
        <v>47</v>
      </c>
      <c r="AE88" s="328">
        <v>0</v>
      </c>
      <c r="AF88" s="344">
        <f>IF(AE75=0,"N.D.",AE88/AE75)</f>
        <v>0</v>
      </c>
      <c r="AG88" s="328">
        <f ca="1">((INDIRECT(ADDRESS(MATCH($B$72,BDPP!$B:$B,0)+18,MATCH(TEXT(DATE(YEAR(MES_CIERRE),ROUNDUP(MONTH(MES_CIERRE)/3,0)*3,1),"MMMM"),BDPP!$1:$1,0)+1,,,"BDPP")))+(INDIRECT(ADDRESS(MATCH($B$72,BDPP!$B:$B,0)+18,MATCH(TEXT(DATE(YEAR(MES_CIERRE),ROUNDUP(MONTH(MES_CIERRE)/3,0)*3,1),"MMMM"),BDPP!$1:$1,0)+2,,,"BDPP")))+(INDIRECT(ADDRESS(MATCH($B$72,BDPP!$B:$B,0)+18,MATCH(TEXT(DATE(YEAR(MES_CIERRE),ROUNDUP(MONTH(MES_CIERRE)/3,0)*3,1),"MMMM"),BDPP!$1:$1,0)+3,,,"BDPP"))))/1000</f>
        <v>0</v>
      </c>
      <c r="AH88" s="344">
        <f ca="1">IF(AG75=0,"N.D.",AG88/AG75)</f>
        <v>0</v>
      </c>
      <c r="AI88" s="328">
        <f ca="1">INDIRECT(ADDRESS(MATCH($B$72,INDIRECT("'"&amp;IF(MONTH(MES_CIERRE)=12,"ER ACT","ER AA")&amp;"'!$B:$B"),0)+15,MATCH(TEXT(DATE(YEAR(MES_CIERRE),ROUNDUP(MONTH(MES_CIERRE)+1,0),1),"MMMM"),'ER AA'!$1:$1,0),,,IF(MONTH(MES_CIERRE)=12,"ER ACT","ER AA")))+INDIRECT(ADDRESS(MATCH($B$72,INDIRECT("'"&amp;IF(MONTH(MES_CIERRE)=12,"ER ACT","ER AA")&amp;"'!$B:$B"),0)+15,MATCH(TEXT(DATE(YEAR(MES_CIERRE),ROUNDUP(MONTH(MES_CIERRE)+2,0),1),"MMMM"),'ER AA'!$1:$1,0),,,IF(MONTH(MES_CIERRE)=12,"ER ACT","ER AA")))+INDIRECT(ADDRESS(MATCH($B$72,INDIRECT("'"&amp;IF(MONTH(MES_CIERRE)=12,"ER ACT","ER AA")&amp;"'!$B:$B"),0)+15,MATCH(TEXT(DATE(YEAR(MES_CIERRE),ROUNDUP(MONTH(MES_CIERRE)+3,0),1),"MMMM"),'ER AA'!$1:$1,0),,,IF(MONTH(MES_CIERRE)=12,"ER ACT","ER AA")))</f>
        <v>0</v>
      </c>
      <c r="AJ88" s="344">
        <f ca="1">IF(AI75=0,"N.D.",AI88/AI75)</f>
        <v>0</v>
      </c>
      <c r="AK88" s="330">
        <f t="shared" ca="1" si="242"/>
        <v>0</v>
      </c>
      <c r="AL88" s="331" t="str">
        <f t="shared" ca="1" si="243"/>
        <v>N.D.</v>
      </c>
      <c r="AM88" s="328">
        <f t="shared" ca="1" si="244"/>
        <v>0</v>
      </c>
      <c r="AN88" s="341" t="str">
        <f t="shared" ca="1" si="245"/>
        <v>N.D.</v>
      </c>
      <c r="AP88" s="6"/>
      <c r="AQ88" s="6"/>
      <c r="AR88" s="6"/>
      <c r="AS88" s="6"/>
      <c r="AT88" s="6"/>
      <c r="AV88" s="6"/>
      <c r="AW88" s="6"/>
      <c r="AX88" s="6"/>
      <c r="AY88" s="6"/>
      <c r="AZ88" s="6"/>
      <c r="BA88" s="6"/>
      <c r="BB88" s="6"/>
    </row>
    <row r="89" spans="1:54" x14ac:dyDescent="0.25">
      <c r="A89" s="316"/>
      <c r="B89" s="322"/>
      <c r="C89" s="342"/>
      <c r="D89" s="345"/>
      <c r="E89" s="342"/>
      <c r="F89" s="345"/>
      <c r="G89" s="342"/>
      <c r="H89" s="345"/>
      <c r="I89" s="330"/>
      <c r="J89" s="331"/>
      <c r="K89" s="342"/>
      <c r="L89" s="329"/>
      <c r="N89" s="6"/>
      <c r="O89" s="6"/>
      <c r="P89" s="6"/>
      <c r="Q89" s="6"/>
      <c r="R89" s="6"/>
      <c r="T89" s="6"/>
      <c r="U89" s="6"/>
      <c r="V89" s="6"/>
      <c r="W89" s="6"/>
      <c r="X89" s="6"/>
      <c r="Y89" s="6"/>
      <c r="Z89" s="6"/>
      <c r="AD89" s="9"/>
      <c r="AE89" s="342"/>
      <c r="AF89" s="345"/>
      <c r="AG89" s="342"/>
      <c r="AH89" s="345"/>
      <c r="AI89" s="342"/>
      <c r="AJ89" s="345"/>
      <c r="AK89" s="330"/>
      <c r="AL89" s="331"/>
      <c r="AM89" s="342"/>
      <c r="AN89" s="329"/>
      <c r="AP89" s="6"/>
      <c r="AQ89" s="6"/>
      <c r="AR89" s="6"/>
      <c r="AS89" s="6"/>
      <c r="AT89" s="6"/>
      <c r="AV89" s="6"/>
      <c r="AW89" s="6"/>
      <c r="AX89" s="6"/>
      <c r="AY89" s="6"/>
      <c r="AZ89" s="6"/>
      <c r="BA89" s="6"/>
      <c r="BB89" s="6"/>
    </row>
    <row r="90" spans="1:54" ht="13" x14ac:dyDescent="0.3">
      <c r="B90" s="9" t="s">
        <v>48</v>
      </c>
      <c r="C90" s="335">
        <f ca="1">+C85+C86+C87-C88-C89</f>
        <v>-4.4749999999999996</v>
      </c>
      <c r="D90" s="334">
        <f ca="1">IF(C75=0,"N.D.",C90/C75)</f>
        <v>-4.9927869569437663E-3</v>
      </c>
      <c r="E90" s="335">
        <f ca="1">+E85+E86+E87-E88-E89</f>
        <v>-2.0270000000000001</v>
      </c>
      <c r="F90" s="334">
        <f ca="1">IF(E75=0,"N.D.",E90/E75)</f>
        <v>-2.184818154577771E-3</v>
      </c>
      <c r="G90" s="335">
        <f ca="1">+G85+G86+G87-G88-G89</f>
        <v>-1.9609999999999999</v>
      </c>
      <c r="H90" s="334">
        <f ca="1">IF(G75=0,"N.D.",G90/G75)</f>
        <v>-2.1842524421078423E-3</v>
      </c>
      <c r="I90" s="335">
        <f t="shared" ca="1" si="238"/>
        <v>-2.4479999999999995</v>
      </c>
      <c r="J90" s="336">
        <f t="shared" ca="1" si="239"/>
        <v>1.2076961026147011</v>
      </c>
      <c r="K90" s="337">
        <f t="shared" ca="1" si="240"/>
        <v>-2.5139999999999998</v>
      </c>
      <c r="L90" s="334">
        <f t="shared" ca="1" si="241"/>
        <v>1.2819989801121876</v>
      </c>
      <c r="N90" s="6"/>
      <c r="O90" s="6"/>
      <c r="P90" s="6"/>
      <c r="Q90" s="6"/>
      <c r="R90" s="6"/>
      <c r="T90" s="6"/>
      <c r="U90" s="6"/>
      <c r="V90" s="6"/>
      <c r="W90" s="6"/>
      <c r="X90" s="6"/>
      <c r="Y90" s="6"/>
      <c r="Z90" s="6"/>
      <c r="AD90" s="9" t="s">
        <v>48</v>
      </c>
      <c r="AE90" s="335">
        <f>+AE85+AE86+AE87-AE88-AE89</f>
        <v>-2</v>
      </c>
      <c r="AF90" s="334">
        <f>IF(AE75=0,"N.D.",AE90/AE75)</f>
        <v>-2.1953896816684962E-3</v>
      </c>
      <c r="AG90" s="335">
        <f ca="1">+AG85+AG86+AG87-AG88-AG89</f>
        <v>-2.0560000000000005</v>
      </c>
      <c r="AH90" s="334">
        <f ca="1">IF(AG75=0,"N.D.",AG90/AG75)</f>
        <v>-2.2414118278081155E-3</v>
      </c>
      <c r="AI90" s="335">
        <f ca="1">+AI85+AI86+AI87-AI88-AI89</f>
        <v>-2.8178499999999982</v>
      </c>
      <c r="AJ90" s="334">
        <f ca="1">IF(AI75=0,"N.D.",AI90/AI75)</f>
        <v>-3.2041006484555719E-3</v>
      </c>
      <c r="AK90" s="335">
        <f t="shared" ca="1" si="242"/>
        <v>5.6000000000000494E-2</v>
      </c>
      <c r="AL90" s="336">
        <f t="shared" ca="1" si="243"/>
        <v>-2.7237354085603349E-2</v>
      </c>
      <c r="AM90" s="337">
        <f t="shared" ca="1" si="244"/>
        <v>0.81784999999999819</v>
      </c>
      <c r="AN90" s="334">
        <f t="shared" ca="1" si="245"/>
        <v>-0.2902390120127043</v>
      </c>
      <c r="AP90" s="6"/>
      <c r="AQ90" s="6"/>
      <c r="AR90" s="6"/>
      <c r="AS90" s="6"/>
      <c r="AT90" s="6"/>
      <c r="AV90" s="6"/>
      <c r="AW90" s="6"/>
      <c r="AX90" s="6"/>
      <c r="AY90" s="6"/>
      <c r="AZ90" s="6"/>
      <c r="BA90" s="6"/>
      <c r="BB90" s="6"/>
    </row>
    <row r="91" spans="1:54" ht="13" x14ac:dyDescent="0.3">
      <c r="B91" s="332" t="s">
        <v>49</v>
      </c>
      <c r="C91" s="337">
        <f ca="1">+C83-C90</f>
        <v>-1.3469999999997757</v>
      </c>
      <c r="D91" s="334">
        <f ca="1">IF(C75=0,"N.D.",C91/C75)</f>
        <v>-1.5028567667043874E-3</v>
      </c>
      <c r="E91" s="337">
        <f ca="1">+E83-E90</f>
        <v>-63.888000000000076</v>
      </c>
      <c r="F91" s="334">
        <f ca="1">IF(E75=0,"N.D.",E91/E75)</f>
        <v>-6.8862191543988552E-2</v>
      </c>
      <c r="G91" s="337">
        <f ca="1">+G83-G90</f>
        <v>-82.190000000000182</v>
      </c>
      <c r="H91" s="334">
        <f ca="1">IF(G75=0,"N.D.",G91/G75)</f>
        <v>-9.1547021018278427E-2</v>
      </c>
      <c r="I91" s="335">
        <f t="shared" ca="1" si="238"/>
        <v>62.541000000000302</v>
      </c>
      <c r="J91" s="336">
        <f t="shared" ca="1" si="239"/>
        <v>-0.97891622839970305</v>
      </c>
      <c r="K91" s="337">
        <f t="shared" ca="1" si="240"/>
        <v>80.843000000000401</v>
      </c>
      <c r="L91" s="334">
        <f t="shared" ca="1" si="241"/>
        <v>-0.98361114490814239</v>
      </c>
      <c r="N91" s="6"/>
      <c r="O91" s="6"/>
      <c r="P91" s="6"/>
      <c r="Q91" s="6"/>
      <c r="R91" s="6"/>
      <c r="T91" s="6"/>
      <c r="U91" s="6"/>
      <c r="V91" s="6"/>
      <c r="W91" s="6"/>
      <c r="X91" s="6"/>
      <c r="Y91" s="6"/>
      <c r="Z91" s="6"/>
      <c r="AD91" s="332" t="s">
        <v>49</v>
      </c>
      <c r="AE91" s="337">
        <f ca="1">+AE83-AE90</f>
        <v>-9.8541883067254048</v>
      </c>
      <c r="AF91" s="334">
        <f ca="1">IF(AE75=0,"N.D.",AE91/AE75)</f>
        <v>-1.0816891664901651E-2</v>
      </c>
      <c r="AG91" s="337">
        <f ca="1">+AG83-AG90</f>
        <v>-50.515000000000029</v>
      </c>
      <c r="AH91" s="334">
        <f ca="1">IF(AG75=0,"N.D.",AG91/AG75)</f>
        <v>-5.5070485642863327E-2</v>
      </c>
      <c r="AI91" s="337">
        <f ca="1">+AI83-AI90</f>
        <v>-67.103590000000196</v>
      </c>
      <c r="AJ91" s="334">
        <f ca="1">IF(AI75=0,"N.D.",AI91/AI75)</f>
        <v>-7.6301668375782103E-2</v>
      </c>
      <c r="AK91" s="335">
        <f t="shared" ca="1" si="242"/>
        <v>40.660811693274624</v>
      </c>
      <c r="AL91" s="336">
        <f t="shared" ca="1" si="243"/>
        <v>-0.80492550120310002</v>
      </c>
      <c r="AM91" s="337">
        <f t="shared" ca="1" si="244"/>
        <v>57.249401693274791</v>
      </c>
      <c r="AN91" s="334">
        <f t="shared" ca="1" si="245"/>
        <v>-0.85314961082223206</v>
      </c>
      <c r="AP91" s="6"/>
      <c r="AQ91" s="6"/>
      <c r="AR91" s="6"/>
      <c r="AS91" s="6"/>
      <c r="AT91" s="6"/>
      <c r="AV91" s="6"/>
      <c r="AW91" s="6"/>
      <c r="AX91" s="6"/>
      <c r="AY91" s="6"/>
      <c r="AZ91" s="6"/>
      <c r="BA91" s="6"/>
      <c r="BB91" s="6"/>
    </row>
    <row r="92" spans="1:54" x14ac:dyDescent="0.25">
      <c r="B92" s="322"/>
      <c r="C92" s="338"/>
      <c r="D92" s="339"/>
      <c r="E92" s="338"/>
      <c r="F92" s="339"/>
      <c r="G92" s="338"/>
      <c r="H92" s="339"/>
      <c r="I92" s="338"/>
      <c r="J92" s="340"/>
      <c r="K92" s="338"/>
      <c r="L92" s="339"/>
      <c r="N92" s="6"/>
      <c r="O92" s="6"/>
      <c r="P92" s="6"/>
      <c r="Q92" s="6"/>
      <c r="R92" s="6"/>
      <c r="T92" s="6"/>
      <c r="U92" s="6"/>
      <c r="V92" s="6"/>
      <c r="W92" s="6"/>
      <c r="X92" s="6"/>
      <c r="Y92" s="6"/>
      <c r="Z92" s="6"/>
      <c r="AD92" s="322"/>
      <c r="AE92" s="338"/>
      <c r="AF92" s="339"/>
      <c r="AG92" s="338"/>
      <c r="AH92" s="339"/>
      <c r="AI92" s="338"/>
      <c r="AJ92" s="339"/>
      <c r="AK92" s="338"/>
      <c r="AL92" s="340"/>
      <c r="AM92" s="338"/>
      <c r="AN92" s="339"/>
      <c r="AP92" s="6"/>
      <c r="AQ92" s="6"/>
      <c r="AR92" s="6"/>
      <c r="AS92" s="6"/>
      <c r="AT92" s="6"/>
      <c r="AV92" s="6"/>
      <c r="AW92" s="6"/>
      <c r="AX92" s="6"/>
      <c r="AY92" s="6"/>
      <c r="AZ92" s="6"/>
      <c r="BA92" s="6"/>
      <c r="BB92" s="6"/>
    </row>
    <row r="93" spans="1:54" x14ac:dyDescent="0.25">
      <c r="A93" s="317"/>
      <c r="B93" s="9" t="s">
        <v>213</v>
      </c>
      <c r="C93" s="327">
        <f ca="1">INDIRECT(ADDRESS(MATCH($B$72,'ER Act'!$B:$B,0)+20,MATCH(TEXT(DATE(YEAR(MES_CIERRE),ROUNDUP(MONTH(MES_CIERRE)/3,0)*3-2,1),"MMMM"),'ER Act'!$1:$1,0),,,"ER Act"))+INDIRECT(ADDRESS(MATCH($B$72,'ER Act'!$B:$B,0)+20,MATCH(TEXT(DATE(YEAR(MES_CIERRE),ROUNDUP(MONTH(MES_CIERRE)/3,0)*3-1,1),"MMMM"),'ER Act'!$1:$1,0),,,"ER Act"))+INDIRECT(ADDRESS(MATCH($B$72,'ER Act'!$B:$B,0)+20,MATCH(TEXT(DATE(YEAR(MES_CIERRE),ROUNDUP(MONTH(MES_CIERRE)/3,0)*3-0,1),"MMMM"),'ER Act'!$1:$1,0),,,"ER Act"))</f>
        <v>0</v>
      </c>
      <c r="D93" s="343">
        <f ca="1">IF(C75=0,"N.D.",C93/C75)</f>
        <v>0</v>
      </c>
      <c r="E93" s="327">
        <f ca="1">INDIRECT(ADDRESS(MATCH($B$72,'ER Ppto'!$B:$B,0)+20,MATCH(TEXT(DATE(YEAR(MES_CIERRE),ROUNDUP(MONTH(MES_CIERRE)/3,0)*3-2,1),"MMMM"),'ER Ppto'!$1:$1,0),,,"ER Ppto"))+INDIRECT(ADDRESS(MATCH($B$72,'ER Ppto'!$B:$B,0)+20,MATCH(TEXT(DATE(YEAR(MES_CIERRE),ROUNDUP(MONTH(MES_CIERRE)/3,0)*3-1,1),"MMMM"),'ER Ppto'!$1:$1,0),,,"ER Ppto"))+INDIRECT(ADDRESS(MATCH($B$72,'ER Ppto'!$B:$B,0)+20,MATCH(TEXT(DATE(YEAR(MES_CIERRE),ROUNDUP(MONTH(MES_CIERRE)/3,0)*3-0,1),"MMMM"),'ER Ppto'!$1:$1,0),,,"ER Ppto"))</f>
        <v>0</v>
      </c>
      <c r="F93" s="343">
        <f ca="1">IF(E75=0,"N.D.",E93/E75)</f>
        <v>0</v>
      </c>
      <c r="G93" s="327">
        <f ca="1">INDIRECT(ADDRESS(MATCH($B$72,'ER AA'!$B:$B,0)+20,MATCH(TEXT(DATE(YEAR(MES_CIERRE),ROUNDUP(MONTH(MES_CIERRE)/3,0)*3-2,1),"MMMM"),'ER AA'!$1:$1,0),,,"ER AA"))+INDIRECT(ADDRESS(MATCH($B$72,'ER AA'!$B:$B,0)+20,MATCH(TEXT(DATE(YEAR(MES_CIERRE),ROUNDUP(MONTH(MES_CIERRE)/3,0)*3-1,1),"MMMM"),'ER AA'!$1:$1,0),,,"ER AA"))+INDIRECT(ADDRESS(MATCH($B$72,'ER AA'!$B:$B,0)+20,MATCH(TEXT(DATE(YEAR(MES_CIERRE),ROUNDUP(MONTH(MES_CIERRE)/3,0)*3-0,1),"MMMM"),'ER AA'!$1:$1,0),,,"ER AA"))</f>
        <v>0</v>
      </c>
      <c r="H93" s="343">
        <f ca="1">IF(G75=0,"N.D.",G93/G75)</f>
        <v>0</v>
      </c>
      <c r="I93" s="325">
        <f t="shared" ref="I93:I101" ca="1" si="246">C93-E93</f>
        <v>0</v>
      </c>
      <c r="J93" s="326" t="str">
        <f t="shared" ref="J93:J101" ca="1" si="247">IF(E93=0,"N.D.",C93/E93-1)</f>
        <v>N.D.</v>
      </c>
      <c r="K93" s="327">
        <f t="shared" ref="K93:K101" ca="1" si="248">C93-G93</f>
        <v>0</v>
      </c>
      <c r="L93" s="324" t="str">
        <f t="shared" ref="L93:L101" ca="1" si="249">IF(G93=0,"N.D.",C93/G93-1)</f>
        <v>N.D.</v>
      </c>
      <c r="N93" s="6"/>
      <c r="O93" s="6"/>
      <c r="P93" s="6"/>
      <c r="Q93" s="6"/>
      <c r="R93" s="6"/>
      <c r="T93" s="6"/>
      <c r="U93" s="6"/>
      <c r="V93" s="6"/>
      <c r="W93" s="6"/>
      <c r="X93" s="6"/>
      <c r="Y93" s="6"/>
      <c r="Z93" s="6"/>
      <c r="AD93" s="9" t="s">
        <v>213</v>
      </c>
      <c r="AE93" s="327">
        <v>0</v>
      </c>
      <c r="AF93" s="343">
        <f>IF(AE75=0,"N.D.",AE93/AE75)</f>
        <v>0</v>
      </c>
      <c r="AG93" s="327">
        <f ca="1">((INDIRECT(ADDRESS(MATCH($B$72,BDPP!$B:$B,0)+22,MATCH(TEXT(DATE(YEAR(MES_CIERRE),ROUNDUP(MONTH(MES_CIERRE)/3,0)*3,1),"MMMM"),BDPP!$1:$1,0)+1,,,"BDPP")))+(INDIRECT(ADDRESS(MATCH($B$72,BDPP!$B:$B,0)+22,MATCH(TEXT(DATE(YEAR(MES_CIERRE),ROUNDUP(MONTH(MES_CIERRE)/3,0)*3,1),"MMMM"),BDPP!$1:$1,0)+2,,,"BDPP")))+(INDIRECT(ADDRESS(MATCH($B$72,BDPP!$B:$B,0)+22,MATCH(TEXT(DATE(YEAR(MES_CIERRE),ROUNDUP(MONTH(MES_CIERRE)/3,0)*3,1),"MMMM"),BDPP!$1:$1,0)+3,,,"BDPP"))))/1000</f>
        <v>0</v>
      </c>
      <c r="AH93" s="343">
        <f ca="1">IF(AG75=0,"N.D.",AG93/AG75)</f>
        <v>0</v>
      </c>
      <c r="AI93" s="327">
        <f ca="1">INDIRECT(ADDRESS(MATCH($B$72,INDIRECT("'"&amp;IF(MONTH(MES_CIERRE)=12,"ER ACT","ER AA")&amp;"'!$B:$B"),0)+20,MATCH(TEXT(DATE(YEAR(MES_CIERRE),ROUNDUP(MONTH(MES_CIERRE)+1,0),1),"MMMM"),'ER AA'!$1:$1,0),,,IF(MONTH(MES_CIERRE)=12,"ER ACT","ER AA")))+INDIRECT(ADDRESS(MATCH($B$72,INDIRECT("'"&amp;IF(MONTH(MES_CIERRE)=12,"ER ACT","ER AA")&amp;"'!$B:$B"),0)+20,MATCH(TEXT(DATE(YEAR(MES_CIERRE),ROUNDUP(MONTH(MES_CIERRE)+2,0),1),"MMMM"),'ER AA'!$1:$1,0),,,IF(MONTH(MES_CIERRE)=12,"ER ACT","ER AA")))+INDIRECT(ADDRESS(MATCH($B$72,INDIRECT("'"&amp;IF(MONTH(MES_CIERRE)=12,"ER ACT","ER AA")&amp;"'!$B:$B"),0)+20,MATCH(TEXT(DATE(YEAR(MES_CIERRE),ROUNDUP(MONTH(MES_CIERRE)+3,0),1),"MMMM"),'ER AA'!$1:$1,0),,,IF(MONTH(MES_CIERRE)=12,"ER ACT","ER AA")))</f>
        <v>0</v>
      </c>
      <c r="AJ93" s="343">
        <f ca="1">IF(AI75=0,"N.D.",AI93/AI75)</f>
        <v>0</v>
      </c>
      <c r="AK93" s="325">
        <f t="shared" ref="AK93:AK101" ca="1" si="250">AE93-AG93</f>
        <v>0</v>
      </c>
      <c r="AL93" s="326" t="str">
        <f t="shared" ref="AL93:AL101" ca="1" si="251">IF(AG93=0,"N.D.",AE93/AG93-1)</f>
        <v>N.D.</v>
      </c>
      <c r="AM93" s="327">
        <f t="shared" ref="AM93:AM101" ca="1" si="252">AE93-AI93</f>
        <v>0</v>
      </c>
      <c r="AN93" s="324" t="str">
        <f t="shared" ref="AN93:AN101" ca="1" si="253">IF(AI93=0,"N.D.",AE93/AI93-1)</f>
        <v>N.D.</v>
      </c>
      <c r="AP93" s="6"/>
      <c r="AQ93" s="6"/>
      <c r="AR93" s="6"/>
      <c r="AS93" s="6"/>
      <c r="AT93" s="6"/>
      <c r="AV93" s="6"/>
      <c r="AW93" s="6"/>
      <c r="AX93" s="6"/>
      <c r="AY93" s="6"/>
      <c r="AZ93" s="6"/>
      <c r="BA93" s="6"/>
      <c r="BB93" s="6"/>
    </row>
    <row r="94" spans="1:54" ht="13" x14ac:dyDescent="0.3">
      <c r="A94" s="317"/>
      <c r="B94" s="9" t="s">
        <v>51</v>
      </c>
      <c r="C94" s="342">
        <f ca="1">INDIRECT(ADDRESS(MATCH($B$72,'ER Act'!$B:$B,0)+21,MATCH(TEXT(DATE(YEAR(MES_CIERRE),ROUNDUP(MONTH(MES_CIERRE)/3,0)*3-2,1),"MMMM"),'ER Act'!$1:$1,0),,,"ER Act"))+INDIRECT(ADDRESS(MATCH($B$72,'ER Act'!$B:$B,0)+21,MATCH(TEXT(DATE(YEAR(MES_CIERRE),ROUNDUP(MONTH(MES_CIERRE)/3,0)*3-1,1),"MMMM"),'ER Act'!$1:$1,0),,,"ER Act"))+INDIRECT(ADDRESS(MATCH($B$72,'ER Act'!$B:$B,0)+21,MATCH(TEXT(DATE(YEAR(MES_CIERRE),ROUNDUP(MONTH(MES_CIERRE)/3,0)*3-0,1),"MMMM"),'ER Act'!$1:$1,0),,,"ER Act"))</f>
        <v>0</v>
      </c>
      <c r="D94" s="345">
        <f ca="1">IF(C75=0,"N.D.",C94/C75)</f>
        <v>0</v>
      </c>
      <c r="E94" s="342">
        <f ca="1">INDIRECT(ADDRESS(MATCH($B$72,'ER Ppto'!$B:$B,0)+21,MATCH(TEXT(DATE(YEAR(MES_CIERRE),ROUNDUP(MONTH(MES_CIERRE)/3,0)*3-2,1),"MMMM"),'ER Ppto'!$1:$1,0),,,"ER Ppto"))+INDIRECT(ADDRESS(MATCH($B$72,'ER Ppto'!$B:$B,0)+21,MATCH(TEXT(DATE(YEAR(MES_CIERRE),ROUNDUP(MONTH(MES_CIERRE)/3,0)*3-1,1),"MMMM"),'ER Ppto'!$1:$1,0),,,"ER Ppto"))+INDIRECT(ADDRESS(MATCH($B$72,'ER Ppto'!$B:$B,0)+21,MATCH(TEXT(DATE(YEAR(MES_CIERRE),ROUNDUP(MONTH(MES_CIERRE)/3,0)*3-0,1),"MMMM"),'ER Ppto'!$1:$1,0),,,"ER Ppto"))</f>
        <v>0</v>
      </c>
      <c r="F94" s="345">
        <f ca="1">IF(E75=0,"N.D.",E94/E75)</f>
        <v>0</v>
      </c>
      <c r="G94" s="342">
        <f ca="1">INDIRECT(ADDRESS(MATCH($B$72,'ER AA'!$B:$B,0)+21,MATCH(TEXT(DATE(YEAR(MES_CIERRE),ROUNDUP(MONTH(MES_CIERRE)/3,0)*3-2,1),"MMMM"),'ER AA'!$1:$1,0),,,"ER AA"))+INDIRECT(ADDRESS(MATCH($B$72,'ER AA'!$B:$B,0)+21,MATCH(TEXT(DATE(YEAR(MES_CIERRE),ROUNDUP(MONTH(MES_CIERRE)/3,0)*3-1,1),"MMMM"),'ER AA'!$1:$1,0),,,"ER AA"))+INDIRECT(ADDRESS(MATCH($B$72,'ER AA'!$B:$B,0)+21,MATCH(TEXT(DATE(YEAR(MES_CIERRE),ROUNDUP(MONTH(MES_CIERRE)/3,0)*3-0,1),"MMMM"),'ER AA'!$1:$1,0),,,"ER AA"))</f>
        <v>0</v>
      </c>
      <c r="H94" s="345">
        <f ca="1">IF(G75=0,"N.D.",G94/G75)</f>
        <v>0</v>
      </c>
      <c r="I94" s="330">
        <f t="shared" ca="1" si="246"/>
        <v>0</v>
      </c>
      <c r="J94" s="331" t="str">
        <f t="shared" ca="1" si="247"/>
        <v>N.D.</v>
      </c>
      <c r="K94" s="342">
        <f t="shared" ca="1" si="248"/>
        <v>0</v>
      </c>
      <c r="L94" s="329" t="str">
        <f t="shared" ca="1" si="249"/>
        <v>N.D.</v>
      </c>
      <c r="N94" s="39"/>
      <c r="O94" s="39"/>
      <c r="P94" s="39"/>
      <c r="Q94" s="39"/>
      <c r="R94" s="39"/>
      <c r="T94" s="39"/>
      <c r="U94" s="39"/>
      <c r="V94" s="39"/>
      <c r="W94" s="39"/>
      <c r="X94" s="39"/>
      <c r="Y94" s="39"/>
      <c r="Z94" s="39"/>
      <c r="AD94" s="9" t="s">
        <v>51</v>
      </c>
      <c r="AE94" s="342">
        <v>0</v>
      </c>
      <c r="AF94" s="345">
        <f>IF(AE75=0,"N.D.",AE94/AE75)</f>
        <v>0</v>
      </c>
      <c r="AG94" s="342">
        <f ca="1">((INDIRECT(ADDRESS(MATCH($B$72,BDPP!$B:$B,0)+23,MATCH(TEXT(DATE(YEAR(MES_CIERRE),ROUNDUP(MONTH(MES_CIERRE)/3,0)*3,1),"MMMM"),BDPP!$1:$1,0)+1,,,"BDPP")))+(INDIRECT(ADDRESS(MATCH($B$72,BDPP!$B:$B,0)+23,MATCH(TEXT(DATE(YEAR(MES_CIERRE),ROUNDUP(MONTH(MES_CIERRE)/3,0)*3,1),"MMMM"),BDPP!$1:$1,0)+2,,,"BDPP")))+(INDIRECT(ADDRESS(MATCH($B$72,BDPP!$B:$B,0)+23,MATCH(TEXT(DATE(YEAR(MES_CIERRE),ROUNDUP(MONTH(MES_CIERRE)/3,0)*3,1),"MMMM"),BDPP!$1:$1,0)+3,,,"BDPP"))))/1000</f>
        <v>0</v>
      </c>
      <c r="AH94" s="345">
        <f ca="1">IF(AG75=0,"N.D.",AG94/AG75)</f>
        <v>0</v>
      </c>
      <c r="AI94" s="342">
        <f ca="1">INDIRECT(ADDRESS(MATCH($B$72,INDIRECT("'"&amp;IF(MONTH(MES_CIERRE)=12,"ER ACT","ER AA")&amp;"'!$B:$B"),0)+21,MATCH(TEXT(DATE(YEAR(MES_CIERRE),ROUNDUP(MONTH(MES_CIERRE)+1,0),1),"MMMM"),'ER AA'!$1:$1,0),,,IF(MONTH(MES_CIERRE)=12,"ER ACT","ER AA")))+INDIRECT(ADDRESS(MATCH($B$72,INDIRECT("'"&amp;IF(MONTH(MES_CIERRE)=12,"ER ACT","ER AA")&amp;"'!$B:$B"),0)+21,MATCH(TEXT(DATE(YEAR(MES_CIERRE),ROUNDUP(MONTH(MES_CIERRE)+2,0),1),"MMMM"),'ER AA'!$1:$1,0),,,IF(MONTH(MES_CIERRE)=12,"ER ACT","ER AA")))+INDIRECT(ADDRESS(MATCH($B$72,INDIRECT("'"&amp;IF(MONTH(MES_CIERRE)=12,"ER ACT","ER AA")&amp;"'!$B:$B"),0)+21,MATCH(TEXT(DATE(YEAR(MES_CIERRE),ROUNDUP(MONTH(MES_CIERRE)+3,0),1),"MMMM"),'ER AA'!$1:$1,0),,,IF(MONTH(MES_CIERRE)=12,"ER ACT","ER AA")))</f>
        <v>0</v>
      </c>
      <c r="AJ94" s="345">
        <f ca="1">IF(AI75=0,"N.D.",AI94/AI75)</f>
        <v>0</v>
      </c>
      <c r="AK94" s="330">
        <f t="shared" ca="1" si="250"/>
        <v>0</v>
      </c>
      <c r="AL94" s="331" t="str">
        <f t="shared" ca="1" si="251"/>
        <v>N.D.</v>
      </c>
      <c r="AM94" s="342">
        <f t="shared" ca="1" si="252"/>
        <v>0</v>
      </c>
      <c r="AN94" s="329" t="str">
        <f t="shared" ca="1" si="253"/>
        <v>N.D.</v>
      </c>
      <c r="AP94" s="39"/>
      <c r="AQ94" s="39"/>
      <c r="AR94" s="39"/>
      <c r="AS94" s="39"/>
      <c r="AT94" s="39"/>
      <c r="AV94" s="39"/>
      <c r="AW94" s="39"/>
      <c r="AX94" s="39"/>
      <c r="AY94" s="39"/>
      <c r="AZ94" s="39"/>
      <c r="BA94" s="39"/>
      <c r="BB94" s="39"/>
    </row>
    <row r="95" spans="1:54" ht="13" x14ac:dyDescent="0.3">
      <c r="B95" s="87" t="s">
        <v>53</v>
      </c>
      <c r="C95" s="337">
        <f ca="1">+C91-C93-C94</f>
        <v>-1.3469999999997757</v>
      </c>
      <c r="D95" s="334">
        <f ca="1">IF(C75=0,"N.D.",C95/C75)</f>
        <v>-1.5028567667043874E-3</v>
      </c>
      <c r="E95" s="337">
        <f ca="1">+E91-E93-E94</f>
        <v>-63.888000000000076</v>
      </c>
      <c r="F95" s="334">
        <f ca="1">IF(E75=0,"N.D.",E95/E75)</f>
        <v>-6.8862191543988552E-2</v>
      </c>
      <c r="G95" s="337">
        <f ca="1">+G91-G93-G94</f>
        <v>-82.190000000000182</v>
      </c>
      <c r="H95" s="334">
        <f ca="1">IF(G75=0,"N.D.",G95/G75)</f>
        <v>-9.1547021018278427E-2</v>
      </c>
      <c r="I95" s="335">
        <f t="shared" ca="1" si="246"/>
        <v>62.541000000000302</v>
      </c>
      <c r="J95" s="336">
        <f t="shared" ca="1" si="247"/>
        <v>-0.97891622839970305</v>
      </c>
      <c r="K95" s="337">
        <f t="shared" ca="1" si="248"/>
        <v>80.843000000000401</v>
      </c>
      <c r="L95" s="334">
        <f t="shared" ca="1" si="249"/>
        <v>-0.98361114490814239</v>
      </c>
      <c r="N95" s="39"/>
      <c r="O95" s="39"/>
      <c r="P95" s="39"/>
      <c r="Q95" s="39"/>
      <c r="R95" s="39"/>
      <c r="T95" s="39"/>
      <c r="U95" s="39"/>
      <c r="V95" s="39"/>
      <c r="W95" s="39"/>
      <c r="X95" s="39"/>
      <c r="Y95" s="39"/>
      <c r="Z95" s="39"/>
      <c r="AD95" s="87" t="s">
        <v>53</v>
      </c>
      <c r="AE95" s="337">
        <f ca="1">+AE91-AE93-AE94</f>
        <v>-9.8541883067254048</v>
      </c>
      <c r="AF95" s="334">
        <f ca="1">IF(AE75=0,"N.D.",AE95/AE75)</f>
        <v>-1.0816891664901651E-2</v>
      </c>
      <c r="AG95" s="337">
        <f ca="1">+AG91-AG93-AG94</f>
        <v>-50.515000000000029</v>
      </c>
      <c r="AH95" s="334">
        <f ca="1">IF(AG75=0,"N.D.",AG95/AG75)</f>
        <v>-5.5070485642863327E-2</v>
      </c>
      <c r="AI95" s="337">
        <f ca="1">+AI91-AI93-AI94</f>
        <v>-67.103590000000196</v>
      </c>
      <c r="AJ95" s="334">
        <f ca="1">IF(AI75=0,"N.D.",AI95/AI75)</f>
        <v>-7.6301668375782103E-2</v>
      </c>
      <c r="AK95" s="335">
        <f t="shared" ca="1" si="250"/>
        <v>40.660811693274624</v>
      </c>
      <c r="AL95" s="336">
        <f t="shared" ca="1" si="251"/>
        <v>-0.80492550120310002</v>
      </c>
      <c r="AM95" s="337">
        <f t="shared" ca="1" si="252"/>
        <v>57.249401693274791</v>
      </c>
      <c r="AN95" s="334">
        <f t="shared" ca="1" si="253"/>
        <v>-0.85314961082223206</v>
      </c>
      <c r="AP95" s="39"/>
      <c r="AQ95" s="39"/>
      <c r="AR95" s="39"/>
      <c r="AS95" s="39"/>
      <c r="AT95" s="39"/>
      <c r="AV95" s="39"/>
      <c r="AW95" s="39"/>
      <c r="AX95" s="39"/>
      <c r="AY95" s="39"/>
      <c r="AZ95" s="39"/>
      <c r="BA95" s="39"/>
      <c r="BB95" s="39"/>
    </row>
    <row r="96" spans="1:54" ht="13" x14ac:dyDescent="0.3">
      <c r="A96" s="316"/>
      <c r="B96" s="7" t="s">
        <v>122</v>
      </c>
      <c r="C96" s="337">
        <f ca="1">+C83+C81</f>
        <v>-0.98899999999977517</v>
      </c>
      <c r="D96" s="334">
        <f ca="1">IF(C75=0,"N.D.",C96/C75)</f>
        <v>-1.1034338101488855E-3</v>
      </c>
      <c r="E96" s="337">
        <f ca="1">+E83+E81</f>
        <v>-65.915000000000077</v>
      </c>
      <c r="F96" s="334">
        <f ca="1">IF(E75=0,"N.D.",E96/E75)</f>
        <v>-7.1047009698566324E-2</v>
      </c>
      <c r="G96" s="337">
        <f ca="1">+G83+G81</f>
        <v>-78.562000000000182</v>
      </c>
      <c r="H96" s="334">
        <f ca="1">IF(G75=0,"N.D.",G96/G75)</f>
        <v>-8.750598692344555E-2</v>
      </c>
      <c r="I96" s="335">
        <f t="shared" ca="1" si="246"/>
        <v>64.9260000000003</v>
      </c>
      <c r="J96" s="336">
        <f t="shared" ca="1" si="247"/>
        <v>-0.98499582796025531</v>
      </c>
      <c r="K96" s="337">
        <f t="shared" ca="1" si="248"/>
        <v>77.573000000000405</v>
      </c>
      <c r="L96" s="334">
        <f t="shared" ca="1" si="249"/>
        <v>-0.98741121661872444</v>
      </c>
      <c r="N96" s="6"/>
      <c r="O96" s="6"/>
      <c r="P96" s="6"/>
      <c r="Q96" s="6"/>
      <c r="R96" s="6"/>
      <c r="T96" s="6"/>
      <c r="U96" s="6"/>
      <c r="V96" s="6"/>
      <c r="W96" s="6"/>
      <c r="X96" s="6"/>
      <c r="Y96" s="6"/>
      <c r="Z96" s="6"/>
      <c r="AD96" s="7" t="s">
        <v>122</v>
      </c>
      <c r="AE96" s="337">
        <f ca="1">+AE83+AE81</f>
        <v>-11.854188306725405</v>
      </c>
      <c r="AF96" s="334">
        <f ca="1">IF(AE75=0,"N.D.",AE96/AE75)</f>
        <v>-1.3012281346570148E-2</v>
      </c>
      <c r="AG96" s="337">
        <f ca="1">+AG83+AG81</f>
        <v>-52.571000000000026</v>
      </c>
      <c r="AH96" s="334">
        <f ca="1">IF(AG75=0,"N.D.",AG96/AG75)</f>
        <v>-5.731189747067144E-2</v>
      </c>
      <c r="AI96" s="337">
        <f ca="1">+AI83+AI81</f>
        <v>-64.331480000000184</v>
      </c>
      <c r="AJ96" s="334">
        <f ca="1">IF(AI75=0,"N.D.",AI96/AI75)</f>
        <v>-7.3149577438155811E-2</v>
      </c>
      <c r="AK96" s="335">
        <f t="shared" ca="1" si="250"/>
        <v>40.716811693274622</v>
      </c>
      <c r="AL96" s="336">
        <f t="shared" ca="1" si="251"/>
        <v>-0.77451088419993153</v>
      </c>
      <c r="AM96" s="337">
        <f t="shared" ca="1" si="252"/>
        <v>52.477291693274779</v>
      </c>
      <c r="AN96" s="334">
        <f t="shared" ca="1" si="253"/>
        <v>-0.81573269716901631</v>
      </c>
      <c r="AP96" s="6"/>
      <c r="AQ96" s="6"/>
      <c r="AR96" s="6"/>
      <c r="AS96" s="6"/>
      <c r="AT96" s="6"/>
      <c r="AV96" s="6"/>
      <c r="AW96" s="6"/>
      <c r="AX96" s="6"/>
      <c r="AY96" s="6"/>
      <c r="AZ96" s="6"/>
      <c r="BA96" s="6"/>
      <c r="BB96" s="6"/>
    </row>
    <row r="97" spans="1:55" ht="13" x14ac:dyDescent="0.3">
      <c r="A97" s="317"/>
      <c r="B97" s="1" t="s">
        <v>194</v>
      </c>
      <c r="C97" s="373">
        <f ca="1">INDIRECT(ADDRESS(MATCH($B$72,'ER Act'!$B:$B,0)+24,MATCH(TEXT(DATE(YEAR(MES_CIERRE),ROUNDUP(MONTH(MES_CIERRE)/3,0)*3-2,1),"MMMM"),'ER Act'!$1:$1,0),,,"ER Act"))+INDIRECT(ADDRESS(MATCH($B$72,'ER Act'!$B:$B,0)+24,MATCH(TEXT(DATE(YEAR(MES_CIERRE),ROUNDUP(MONTH(MES_CIERRE)/3,0)*3-1,1),"MMMM"),'ER Act'!$1:$1,0),,,"ER Act"))+INDIRECT(ADDRESS(MATCH($B$72,'ER Act'!$B:$B,0)+24,MATCH(TEXT(DATE(YEAR(MES_CIERRE),ROUNDUP(MONTH(MES_CIERRE)/3,0)*3-0,1),"MMMM"),'ER Act'!$1:$1,0),,,"ER Act"))</f>
        <v>0</v>
      </c>
      <c r="D97" s="324">
        <f ca="1">IF(C$75=0, 0, C97/C$75)</f>
        <v>0</v>
      </c>
      <c r="E97" s="447">
        <f ca="1">INDIRECT(ADDRESS(MATCH($B$72,'ER Ppto'!$B:$B,0)+24,MATCH(TEXT(DATE(YEAR(MES_CIERRE),ROUNDUP(MONTH(MES_CIERRE)/3,0)*3-2,1),"MMMM"),'ER Ppto'!$1:$1,0),,,"ER Ppto"))+INDIRECT(ADDRESS(MATCH($B$72,'ER Ppto'!$B:$B,0)+24,MATCH(TEXT(DATE(YEAR(MES_CIERRE),ROUNDUP(MONTH(MES_CIERRE)/3,0)*3-1,1),"MMMM"),'ER Ppto'!$1:$1,0),,,"ER Ppto"))+INDIRECT(ADDRESS(MATCH($B$72,'ER Ppto'!$B:$B,0)+24,MATCH(TEXT(DATE(YEAR(MES_CIERRE),ROUNDUP(MONTH(MES_CIERRE)/3,0)*3-0,1),"MMMM"),'ER Ppto'!$1:$1,0),,,"ER Ppto"))</f>
        <v>0</v>
      </c>
      <c r="F97" s="324">
        <f ca="1">IF(E$75=0, 0, E97/E$75)</f>
        <v>0</v>
      </c>
      <c r="G97" s="447">
        <f ca="1">INDIRECT(ADDRESS(MATCH($B$72,'ER AA'!$B:$B,0)+24,MATCH(TEXT(DATE(YEAR(MES_CIERRE),ROUNDUP(MONTH(MES_CIERRE)/3,0)*3-2,1),"MMMM"),'ER AA'!$1:$1,0),,,"ER AA"))+INDIRECT(ADDRESS(MATCH($B$72,'ER AA'!$B:$B,0)+24,MATCH(TEXT(DATE(YEAR(MES_CIERRE),ROUNDUP(MONTH(MES_CIERRE)/3,0)*3-1,1),"MMMM"),'ER AA'!$1:$1,0),,,"ER AA"))+INDIRECT(ADDRESS(MATCH($B$72,'ER AA'!$B:$B,0)+24,MATCH(TEXT(DATE(YEAR(MES_CIERRE),ROUNDUP(MONTH(MES_CIERRE)/3,0)*3-0,1),"MMMM"),'ER AA'!$1:$1,0),,,"ER AA"))</f>
        <v>0</v>
      </c>
      <c r="H97" s="324">
        <f ca="1">IF(G$75=0, 0, G97/G$75)</f>
        <v>0</v>
      </c>
      <c r="I97" s="370">
        <f t="shared" ca="1" si="246"/>
        <v>0</v>
      </c>
      <c r="J97" s="326" t="str">
        <f t="shared" ca="1" si="247"/>
        <v>N.D.</v>
      </c>
      <c r="K97" s="370">
        <f t="shared" ca="1" si="248"/>
        <v>0</v>
      </c>
      <c r="L97" s="324" t="str">
        <f t="shared" ca="1" si="249"/>
        <v>N.D.</v>
      </c>
      <c r="S97" s="34"/>
      <c r="T97" s="34"/>
      <c r="U97" s="34"/>
      <c r="V97" s="34"/>
      <c r="W97" s="34"/>
      <c r="X97" s="34"/>
      <c r="Y97" s="34"/>
      <c r="Z97" s="34"/>
      <c r="AA97" s="33"/>
      <c r="AD97" s="1" t="s">
        <v>194</v>
      </c>
      <c r="AE97" s="373">
        <v>0</v>
      </c>
      <c r="AF97" s="324">
        <f>IF(AE$75=0, 0, AE97/AE$75)</f>
        <v>0</v>
      </c>
      <c r="AG97" s="447">
        <v>0</v>
      </c>
      <c r="AH97" s="324">
        <f ca="1">IF(AG$75=0, 0, AG97/AG$75)</f>
        <v>0</v>
      </c>
      <c r="AI97" s="447">
        <f ca="1">INDIRECT(ADDRESS(MATCH($B$72,INDIRECT("'"&amp;IF(MONTH(MES_CIERRE)=12,"ER ACT","ER AA")&amp;"'!$B:$B"),0)+24,MATCH(TEXT(DATE(YEAR(MES_CIERRE),ROUNDUP(MONTH(MES_CIERRE)+1,0),1),"MMMM"),'ER AA'!$1:$1,0),,,IF(MONTH(MES_CIERRE)=12,"ER ACT","ER AA")))+INDIRECT(ADDRESS(MATCH($B$72,INDIRECT("'"&amp;IF(MONTH(MES_CIERRE)=12,"ER ACT","ER AA")&amp;"'!$B:$B"),0)+24,MATCH(TEXT(DATE(YEAR(MES_CIERRE),ROUNDUP(MONTH(MES_CIERRE)+2,0),1),"MMMM"),'ER AA'!$1:$1,0),,,IF(MONTH(MES_CIERRE)=12,"ER ACT","ER AA")))+INDIRECT(ADDRESS(MATCH($B$72,INDIRECT("'"&amp;IF(MONTH(MES_CIERRE)=12,"ER ACT","ER AA")&amp;"'!$B:$B"),0)+24,MATCH(TEXT(DATE(YEAR(MES_CIERRE),ROUNDUP(MONTH(MES_CIERRE)+3,0),1),"MMMM"),'ER AA'!$1:$1,0),,,IF(MONTH(MES_CIERRE)=12,"ER ACT","ER AA")))</f>
        <v>0</v>
      </c>
      <c r="AJ97" s="324">
        <f ca="1">IF(AI$75=0, 0, AI97/AI$75)</f>
        <v>0</v>
      </c>
      <c r="AK97" s="370">
        <f t="shared" si="250"/>
        <v>0</v>
      </c>
      <c r="AL97" s="326" t="str">
        <f t="shared" si="251"/>
        <v>N.D.</v>
      </c>
      <c r="AM97" s="370">
        <f t="shared" ca="1" si="252"/>
        <v>0</v>
      </c>
      <c r="AN97" s="324" t="str">
        <f t="shared" ca="1" si="253"/>
        <v>N.D.</v>
      </c>
      <c r="AU97" s="34"/>
      <c r="AV97" s="34"/>
      <c r="AW97" s="34"/>
      <c r="AX97" s="34"/>
      <c r="AY97" s="34"/>
      <c r="AZ97" s="34"/>
      <c r="BA97" s="34"/>
      <c r="BB97" s="34"/>
      <c r="BC97" s="33"/>
    </row>
    <row r="98" spans="1:55" ht="13" x14ac:dyDescent="0.3">
      <c r="A98" s="317"/>
      <c r="B98" s="1" t="s">
        <v>123</v>
      </c>
      <c r="C98" s="408">
        <f ca="1">INDIRECT(ADDRESS(MATCH($B$72,'ER Act'!$B:$B,0)+25,MATCH(TEXT(DATE(YEAR(MES_CIERRE),ROUNDUP(MONTH(MES_CIERRE)/3,0)*3-2,1),"MMMM"),'ER Act'!$1:$1,0),,,"ER Act"))+INDIRECT(ADDRESS(MATCH($B$72,'ER Act'!$B:$B,0)+25,MATCH(TEXT(DATE(YEAR(MES_CIERRE),ROUNDUP(MONTH(MES_CIERRE)/3,0)*3-1,1),"MMMM"),'ER Act'!$1:$1,0),,,"ER Act"))+INDIRECT(ADDRESS(MATCH($B$72,'ER Act'!$B:$B,0)+25,MATCH(TEXT(DATE(YEAR(MES_CIERRE),ROUNDUP(MONTH(MES_CIERRE)/3,0)*3-0,1),"MMMM"),'ER Act'!$1:$1,0),,,"ER Act"))</f>
        <v>0</v>
      </c>
      <c r="D98" s="329">
        <f ca="1">IF(C$75=0, 0, C98/C$75)</f>
        <v>0</v>
      </c>
      <c r="E98" s="448">
        <f ca="1">INDIRECT(ADDRESS(MATCH($B$72,'ER Ppto'!$B:$B,0)+25,MATCH(TEXT(DATE(YEAR(MES_CIERRE),ROUNDUP(MONTH(MES_CIERRE)/3,0)*3-2,1),"MMMM"),'ER Ppto'!$1:$1,0),,,"ER Ppto"))+INDIRECT(ADDRESS(MATCH($B$72,'ER Ppto'!$B:$B,0)+25,MATCH(TEXT(DATE(YEAR(MES_CIERRE),ROUNDUP(MONTH(MES_CIERRE)/3,0)*3-1,1),"MMMM"),'ER Ppto'!$1:$1,0),,,"ER Ppto"))+INDIRECT(ADDRESS(MATCH($B$72,'ER Ppto'!$B:$B,0)+25,MATCH(TEXT(DATE(YEAR(MES_CIERRE),ROUNDUP(MONTH(MES_CIERRE)/3,0)*3-0,1),"MMMM"),'ER Ppto'!$1:$1,0),,,"ER Ppto"))</f>
        <v>0</v>
      </c>
      <c r="F98" s="329">
        <f ca="1">IF(E$75=0, 0, E98/E$75)</f>
        <v>0</v>
      </c>
      <c r="G98" s="448">
        <f ca="1">INDIRECT(ADDRESS(MATCH($B$72,'ER AA'!$B:$B,0)+25,MATCH(TEXT(DATE(YEAR(MES_CIERRE),ROUNDUP(MONTH(MES_CIERRE)/3,0)*3-2,1),"MMMM"),'ER AA'!$1:$1,0),,,"ER AA"))+INDIRECT(ADDRESS(MATCH($B$72,'ER AA'!$B:$B,0)+25,MATCH(TEXT(DATE(YEAR(MES_CIERRE),ROUNDUP(MONTH(MES_CIERRE)/3,0)*3-1,1),"MMMM"),'ER AA'!$1:$1,0),,,"ER AA"))+INDIRECT(ADDRESS(MATCH($B$72,'ER AA'!$B:$B,0)+25,MATCH(TEXT(DATE(YEAR(MES_CIERRE),ROUNDUP(MONTH(MES_CIERRE)/3,0)*3-0,1),"MMMM"),'ER AA'!$1:$1,0),,,"ER AA"))</f>
        <v>0</v>
      </c>
      <c r="H98" s="329">
        <f ca="1">IF(G$75=0, 0, G98/G$75)</f>
        <v>0</v>
      </c>
      <c r="I98" s="371">
        <f t="shared" ca="1" si="246"/>
        <v>0</v>
      </c>
      <c r="J98" s="372" t="str">
        <f t="shared" ca="1" si="247"/>
        <v>N.D.</v>
      </c>
      <c r="K98" s="371">
        <f t="shared" ca="1" si="248"/>
        <v>0</v>
      </c>
      <c r="L98" s="329" t="str">
        <f t="shared" ca="1" si="249"/>
        <v>N.D.</v>
      </c>
      <c r="S98" s="34"/>
      <c r="T98" s="34"/>
      <c r="U98" s="34"/>
      <c r="V98" s="34"/>
      <c r="W98" s="34"/>
      <c r="X98" s="34"/>
      <c r="Y98" s="34"/>
      <c r="Z98" s="34"/>
      <c r="AA98" s="33"/>
      <c r="AD98" s="1" t="s">
        <v>123</v>
      </c>
      <c r="AE98" s="408">
        <v>0</v>
      </c>
      <c r="AF98" s="329">
        <f>IF(AE$75=0, 0, AE98/AE$75)</f>
        <v>0</v>
      </c>
      <c r="AG98" s="448">
        <v>0</v>
      </c>
      <c r="AH98" s="329">
        <f ca="1">IF(AG$75=0, 0, AG98/AG$75)</f>
        <v>0</v>
      </c>
      <c r="AI98" s="448">
        <f ca="1">INDIRECT(ADDRESS(MATCH($B$72,INDIRECT("'"&amp;IF(MONTH(MES_CIERRE)=12,"ER ACT","ER AA")&amp;"'!$B:$B"),0)+25,MATCH(TEXT(DATE(YEAR(MES_CIERRE),ROUNDUP(MONTH(MES_CIERRE)+1,0),1),"MMMM"),'ER AA'!$1:$1,0),,,IF(MONTH(MES_CIERRE)=12,"ER ACT","ER AA")))+INDIRECT(ADDRESS(MATCH($B$72,INDIRECT("'"&amp;IF(MONTH(MES_CIERRE)=12,"ER ACT","ER AA")&amp;"'!$B:$B"),0)+25,MATCH(TEXT(DATE(YEAR(MES_CIERRE),ROUNDUP(MONTH(MES_CIERRE)+2,0),1),"MMMM"),'ER AA'!$1:$1,0),,,IF(MONTH(MES_CIERRE)=12,"ER ACT","ER AA")))+INDIRECT(ADDRESS(MATCH($B$72,INDIRECT("'"&amp;IF(MONTH(MES_CIERRE)=12,"ER ACT","ER AA")&amp;"'!$B:$B"),0)+25,MATCH(TEXT(DATE(YEAR(MES_CIERRE),ROUNDUP(MONTH(MES_CIERRE)+3,0),1),"MMMM"),'ER AA'!$1:$1,0),,,IF(MONTH(MES_CIERRE)=12,"ER ACT","ER AA")))</f>
        <v>0</v>
      </c>
      <c r="AJ98" s="329">
        <f ca="1">IF(AI$75=0, 0, AI98/AI$75)</f>
        <v>0</v>
      </c>
      <c r="AK98" s="371">
        <f t="shared" si="250"/>
        <v>0</v>
      </c>
      <c r="AL98" s="372" t="str">
        <f t="shared" si="251"/>
        <v>N.D.</v>
      </c>
      <c r="AM98" s="371">
        <f t="shared" ca="1" si="252"/>
        <v>0</v>
      </c>
      <c r="AN98" s="329" t="str">
        <f t="shared" ca="1" si="253"/>
        <v>N.D.</v>
      </c>
      <c r="AU98" s="34"/>
      <c r="AV98" s="34"/>
      <c r="AW98" s="34"/>
      <c r="AX98" s="34"/>
      <c r="AY98" s="34"/>
      <c r="AZ98" s="34"/>
      <c r="BA98" s="34"/>
      <c r="BB98" s="34"/>
      <c r="BC98" s="33"/>
    </row>
    <row r="99" spans="1:55" ht="13" x14ac:dyDescent="0.3">
      <c r="A99" s="317"/>
      <c r="B99" s="7" t="s">
        <v>190</v>
      </c>
      <c r="C99" s="410">
        <f ca="1">+C95+C81+C97+C98</f>
        <v>3.4860000000002245</v>
      </c>
      <c r="D99" s="334">
        <f ca="1">IF(C75=0,"N.D.",C99/C75)</f>
        <v>3.8893531467948808E-3</v>
      </c>
      <c r="E99" s="410">
        <f ca="1">+E95+E81+E97+E98</f>
        <v>-63.888000000000076</v>
      </c>
      <c r="F99" s="334">
        <f ca="1">IF(E75=0,"N.D.",E99/E75)</f>
        <v>-6.8862191543988552E-2</v>
      </c>
      <c r="G99" s="410">
        <f ca="1">+G95+G81+G97+G98</f>
        <v>-76.601000000000184</v>
      </c>
      <c r="H99" s="334">
        <f ca="1">IF(G75=0,"N.D.",G99/G75)</f>
        <v>-8.5321734481337716E-2</v>
      </c>
      <c r="I99" s="367">
        <f t="shared" ca="1" si="246"/>
        <v>67.374000000000308</v>
      </c>
      <c r="J99" s="368">
        <f t="shared" ca="1" si="247"/>
        <v>-1.0545642374154804</v>
      </c>
      <c r="K99" s="369">
        <f t="shared" ca="1" si="248"/>
        <v>80.087000000000415</v>
      </c>
      <c r="L99" s="366">
        <f t="shared" ca="1" si="249"/>
        <v>-1.0455085442748817</v>
      </c>
      <c r="S99" s="34"/>
      <c r="T99" s="34"/>
      <c r="U99" s="34"/>
      <c r="V99" s="34"/>
      <c r="W99" s="34"/>
      <c r="X99" s="34"/>
      <c r="Y99" s="34"/>
      <c r="Z99" s="34"/>
      <c r="AA99" s="33"/>
      <c r="AD99" s="7" t="s">
        <v>190</v>
      </c>
      <c r="AE99" s="410">
        <f ca="1">+AE95+AE81+AE97+AE98</f>
        <v>-9.8541883067254048</v>
      </c>
      <c r="AF99" s="334">
        <f ca="1">IF(AE75=0,"N.D.",AE99/AE75)</f>
        <v>-1.0816891664901651E-2</v>
      </c>
      <c r="AG99" s="410">
        <f ca="1">+AG95+AG81+AG97+AG98</f>
        <v>-50.515000000000029</v>
      </c>
      <c r="AH99" s="334">
        <f ca="1">IF(AG75=0,"N.D.",AG99/AG75)</f>
        <v>-5.5070485642863327E-2</v>
      </c>
      <c r="AI99" s="410">
        <f ca="1">+AI95+AI81+AI97+AI98</f>
        <v>-61.513630000000198</v>
      </c>
      <c r="AJ99" s="334">
        <f ca="1">IF(AI75=0,"N.D.",AI99/AI75)</f>
        <v>-6.9945476789700256E-2</v>
      </c>
      <c r="AK99" s="367">
        <f t="shared" ca="1" si="250"/>
        <v>40.660811693274624</v>
      </c>
      <c r="AL99" s="368">
        <f t="shared" ca="1" si="251"/>
        <v>-0.80492550120310002</v>
      </c>
      <c r="AM99" s="369">
        <f t="shared" ca="1" si="252"/>
        <v>51.659441693274793</v>
      </c>
      <c r="AN99" s="366">
        <f t="shared" ca="1" si="253"/>
        <v>-0.83980479924976992</v>
      </c>
      <c r="AU99" s="34"/>
      <c r="AV99" s="34"/>
      <c r="AW99" s="34"/>
      <c r="AX99" s="34"/>
      <c r="AY99" s="34"/>
      <c r="AZ99" s="34"/>
      <c r="BA99" s="34"/>
      <c r="BB99" s="34"/>
      <c r="BC99" s="33"/>
    </row>
    <row r="100" spans="1:55" ht="13" x14ac:dyDescent="0.3">
      <c r="B100" s="7" t="s">
        <v>191</v>
      </c>
      <c r="C100" s="381">
        <f ca="1">INDIRECT(ADDRESS(MATCH($B$72,'ER Act'!$B:$B,0)+27,MATCH(TEXT(DATE(YEAR(MES_CIERRE),ROUNDUP(MONTH(MES_CIERRE)/3,0)*3-2,1),"MMMM"),'ER Act'!$1:$1,0),,,"ER Act"))+INDIRECT(ADDRESS(MATCH($B$72,'ER Act'!$B:$B,0)+27,MATCH(TEXT(DATE(YEAR(MES_CIERRE),ROUNDUP(MONTH(MES_CIERRE)/3,0)*3-1,1),"MMMM"),'ER Act'!$1:$1,0),,,"ER Act"))+INDIRECT(ADDRESS(MATCH($B$72,'ER Act'!$B:$B,0)+27,MATCH(TEXT(DATE(YEAR(MES_CIERRE),ROUNDUP(MONTH(MES_CIERRE)/3,0)*3-0,1),"MMMM"),'ER Act'!$1:$1,0),,,"ER Act"))</f>
        <v>1.18232</v>
      </c>
      <c r="D100" s="329">
        <f ca="1">IF(C$75=0, 0, C100/C$75)</f>
        <v>1.3191222066891071E-3</v>
      </c>
      <c r="E100" s="381">
        <f ca="1">INDIRECT(ADDRESS(MATCH($B$72,'ER Ppto'!$B:$B,0)+27,MATCH(TEXT(DATE(YEAR(MES_CIERRE),ROUNDUP(MONTH(MES_CIERRE)/3,0)*3-2,1),"MMMM"),'ER Ppto'!$1:$1,0),,,"ER Ppto"))+INDIRECT(ADDRESS(MATCH($B$72,'ER Ppto'!$B:$B,0)+27,MATCH(TEXT(DATE(YEAR(MES_CIERRE),ROUNDUP(MONTH(MES_CIERRE)/3,0)*3-1,1),"MMMM"),'ER Ppto'!$1:$1,0),,,"ER Ppto"))+INDIRECT(ADDRESS(MATCH($B$72,'ER Ppto'!$B:$B,0)+27,MATCH(TEXT(DATE(YEAR(MES_CIERRE),ROUNDUP(MONTH(MES_CIERRE)/3,0)*3-0,1),"MMMM"),'ER Ppto'!$1:$1,0),,,"ER Ppto"))</f>
        <v>1.18232</v>
      </c>
      <c r="F100" s="329">
        <f ca="1">IF(E$75=0, 0, E100/E$75)</f>
        <v>1.2743730638975776E-3</v>
      </c>
      <c r="G100" s="381">
        <f ca="1">INDIRECT(ADDRESS(MATCH($B$72,'ER AA'!$B:$B,0)+27,MATCH(TEXT(DATE(YEAR(MES_CIERRE),ROUNDUP(MONTH(MES_CIERRE)/3,0)*3-2,1),"MMMM"),'ER AA'!$1:$1,0),,,"ER AA"))+INDIRECT(ADDRESS(MATCH($B$72,'ER AA'!$B:$B,0)+27,MATCH(TEXT(DATE(YEAR(MES_CIERRE),ROUNDUP(MONTH(MES_CIERRE)/3,0)*3-1,1),"MMMM"),'ER AA'!$1:$1,0),,,"ER AA"))+INDIRECT(ADDRESS(MATCH($B$72,'ER AA'!$B:$B,0)+27,MATCH(TEXT(DATE(YEAR(MES_CIERRE),ROUNDUP(MONTH(MES_CIERRE)/3,0)*3-0,1),"MMMM"),'ER AA'!$1:$1,0),,,"ER AA"))</f>
        <v>3.5596100000000002</v>
      </c>
      <c r="H100" s="329">
        <f ca="1">IF(G$75=0, 0, G100/G$75)</f>
        <v>3.9648581516835788E-3</v>
      </c>
      <c r="I100" s="335">
        <f t="shared" ca="1" si="246"/>
        <v>0</v>
      </c>
      <c r="J100" s="336">
        <f t="shared" ca="1" si="247"/>
        <v>0</v>
      </c>
      <c r="K100" s="337">
        <f t="shared" ca="1" si="248"/>
        <v>-2.3772900000000003</v>
      </c>
      <c r="L100" s="334">
        <f t="shared" ca="1" si="249"/>
        <v>-0.66785125336764417</v>
      </c>
      <c r="S100" s="34"/>
      <c r="T100" s="34"/>
      <c r="U100" s="34"/>
      <c r="V100" s="34"/>
      <c r="W100" s="34"/>
      <c r="X100" s="34"/>
      <c r="Y100" s="34"/>
      <c r="Z100" s="34"/>
      <c r="AA100" s="33"/>
      <c r="AD100" s="7" t="s">
        <v>191</v>
      </c>
      <c r="AE100" s="381">
        <v>2</v>
      </c>
      <c r="AF100" s="329">
        <f>IF(AE$75=0, 0, AE100/AE$75)</f>
        <v>2.1953896816684962E-3</v>
      </c>
      <c r="AG100" s="381">
        <f ca="1">+C100</f>
        <v>1.18232</v>
      </c>
      <c r="AH100" s="329">
        <f ca="1">IF(AG$75=0, 0, AG100/AG$75)</f>
        <v>1.2889426226916783E-3</v>
      </c>
      <c r="AI100" s="381">
        <f ca="1">INDIRECT(ADDRESS(MATCH($B$72,INDIRECT("'"&amp;IF(MONTH(MES_CIERRE)=12,"ER ACT","ER AA")&amp;"'!$B:$B"),0)+27,MATCH(TEXT(DATE(YEAR(MES_CIERRE),ROUNDUP(MONTH(MES_CIERRE)/3,0)*3-2,1),"MMMM"),'ER AA'!$1:$1,0),,,IF(MONTH(MES_CIERRE)=12,"ER ACT","ER AA")))+INDIRECT(ADDRESS(MATCH($B$72,INDIRECT("'"&amp;IF(MONTH(MES_CIERRE)=12,"ER ACT","ER AA")&amp;"'!$B:$B"),0)+27,MATCH(TEXT(DATE(YEAR(MES_CIERRE),ROUNDUP(MONTH(MES_CIERRE)/3,0)*3-1,1),"MMMM"),'ER AA'!$1:$1,0),,,IF(MONTH(MES_CIERRE)=12,"ER ACT","ER AA")))+INDIRECT(ADDRESS(MATCH($B$72,INDIRECT("'"&amp;IF(MONTH(MES_CIERRE)=12,"ER ACT","ER AA")&amp;"'!$B:$B"),0)+27,MATCH(TEXT(DATE(YEAR(MES_CIERRE),ROUNDUP(MONTH(MES_CIERRE)/3,0)*3-0,1),"MMMM"),'ER AA'!$1:$1,0),,,IF(MONTH(MES_CIERRE)=12,"ER ACT","ER AA")))</f>
        <v>3.5596100000000002</v>
      </c>
      <c r="AJ100" s="329">
        <f ca="1">IF(AI$75=0, 0, AI100/AI$75)</f>
        <v>4.0475357841080776E-3</v>
      </c>
      <c r="AK100" s="335">
        <f t="shared" ca="1" si="250"/>
        <v>0.81767999999999996</v>
      </c>
      <c r="AL100" s="336">
        <f t="shared" ca="1" si="251"/>
        <v>0.69158941741660462</v>
      </c>
      <c r="AM100" s="337">
        <f t="shared" ca="1" si="252"/>
        <v>-1.5596100000000002</v>
      </c>
      <c r="AN100" s="334">
        <f t="shared" ca="1" si="253"/>
        <v>-0.43814069518851784</v>
      </c>
      <c r="AU100" s="34"/>
      <c r="AV100" s="34"/>
      <c r="AW100" s="34"/>
      <c r="AX100" s="34"/>
      <c r="AY100" s="34"/>
      <c r="AZ100" s="34"/>
      <c r="BA100" s="34"/>
      <c r="BB100" s="34"/>
      <c r="BC100" s="33"/>
    </row>
    <row r="101" spans="1:55" ht="13" x14ac:dyDescent="0.3">
      <c r="A101" s="316"/>
      <c r="B101" s="7" t="s">
        <v>84</v>
      </c>
      <c r="C101" s="381">
        <f ca="1">C99-C100</f>
        <v>2.3036800000002247</v>
      </c>
      <c r="D101" s="334">
        <f ca="1">IF(C75=0,"N.D.",C101/C75)</f>
        <v>2.5702309401057738E-3</v>
      </c>
      <c r="E101" s="381">
        <f ca="1">E99-E100</f>
        <v>-65.070320000000081</v>
      </c>
      <c r="F101" s="334">
        <f ca="1">IF(E75=0,"N.D.",E101/E75)</f>
        <v>-7.0136564607886129E-2</v>
      </c>
      <c r="G101" s="381">
        <f ca="1">G99-G100</f>
        <v>-80.16061000000019</v>
      </c>
      <c r="H101" s="334">
        <f ca="1">IF(G75=0,"N.D.",G101/G75)</f>
        <v>-8.92865926330213E-2</v>
      </c>
      <c r="I101" s="335">
        <f t="shared" ca="1" si="246"/>
        <v>67.374000000000308</v>
      </c>
      <c r="J101" s="336">
        <f t="shared" ca="1" si="247"/>
        <v>-1.0354029302453134</v>
      </c>
      <c r="K101" s="337">
        <f t="shared" ca="1" si="248"/>
        <v>82.464290000000418</v>
      </c>
      <c r="L101" s="334">
        <f t="shared" ca="1" si="249"/>
        <v>-1.0287383042619089</v>
      </c>
      <c r="S101" s="34"/>
      <c r="T101" s="34"/>
      <c r="U101" s="34"/>
      <c r="V101" s="34"/>
      <c r="W101" s="34"/>
      <c r="X101" s="34"/>
      <c r="Y101" s="34"/>
      <c r="Z101" s="34"/>
      <c r="AA101" s="33"/>
      <c r="AD101" s="7" t="s">
        <v>84</v>
      </c>
      <c r="AE101" s="381">
        <f ca="1">AE99-AE100</f>
        <v>-11.854188306725405</v>
      </c>
      <c r="AF101" s="334">
        <f ca="1">IF(AE75=0,"N.D.",AE101/AE75)</f>
        <v>-1.3012281346570148E-2</v>
      </c>
      <c r="AG101" s="381">
        <f ca="1">AG99-AG100</f>
        <v>-51.697320000000026</v>
      </c>
      <c r="AH101" s="334">
        <f ca="1">IF(AG75=0,"N.D.",AG101/AG75)</f>
        <v>-5.6359428265555005E-2</v>
      </c>
      <c r="AI101" s="381">
        <f ca="1">AI99-AI100</f>
        <v>-65.073240000000197</v>
      </c>
      <c r="AJ101" s="334">
        <f ca="1">IF(AI75=0,"N.D.",AI101/AI75)</f>
        <v>-7.3993012573808331E-2</v>
      </c>
      <c r="AK101" s="335">
        <f t="shared" ca="1" si="250"/>
        <v>39.843131693274621</v>
      </c>
      <c r="AL101" s="336">
        <f t="shared" ca="1" si="251"/>
        <v>-0.77070013867787734</v>
      </c>
      <c r="AM101" s="337">
        <f t="shared" ca="1" si="252"/>
        <v>53.219051693274793</v>
      </c>
      <c r="AN101" s="334">
        <f t="shared" ca="1" si="253"/>
        <v>-0.81783313222569876</v>
      </c>
      <c r="AU101" s="34"/>
      <c r="AV101" s="34"/>
      <c r="AW101" s="34"/>
      <c r="AX101" s="34"/>
      <c r="AY101" s="34"/>
      <c r="AZ101" s="34"/>
      <c r="BA101" s="34"/>
      <c r="BB101" s="34"/>
      <c r="BC101" s="33"/>
    </row>
    <row r="102" spans="1:55" ht="13" x14ac:dyDescent="0.3">
      <c r="A102" s="316"/>
      <c r="B102" s="1" t="s">
        <v>193</v>
      </c>
      <c r="C102" s="412">
        <f ca="1">IF(C100=0,"N.D.",(C99-C97-C98)/C100)</f>
        <v>2.9484403545573317</v>
      </c>
      <c r="E102" s="412">
        <f ca="1">IF(E100=0,"N.D.",(E99-E97-E98)/E100)</f>
        <v>-54.036132349956084</v>
      </c>
      <c r="G102" s="412">
        <f ca="1">IF(G100=0,"N.D.",(G99-G97-G98)/G100)</f>
        <v>-21.519492303932221</v>
      </c>
      <c r="S102" s="34"/>
      <c r="T102" s="34"/>
      <c r="U102" s="34"/>
      <c r="V102" s="34"/>
      <c r="W102" s="34"/>
      <c r="X102" s="34"/>
      <c r="Y102" s="34"/>
      <c r="Z102" s="34"/>
      <c r="AA102" s="33"/>
      <c r="AD102" s="1" t="s">
        <v>193</v>
      </c>
      <c r="AE102" s="412">
        <f ca="1">IF(AE100=0,"N.D.",(AE99-AE97-AE98)/AE100)</f>
        <v>-4.9270941533627024</v>
      </c>
      <c r="AG102" s="412">
        <f ca="1">IF(AG100=0,"N.D.",(AG99-AG97-AG98)/AG100)</f>
        <v>-42.725319710399916</v>
      </c>
      <c r="AI102" s="412">
        <f ca="1">IF(AI100=0,"N.D.",(AI99-AI97-AI98)/AI100)</f>
        <v>-17.281002694115422</v>
      </c>
      <c r="AU102" s="34"/>
      <c r="AV102" s="34"/>
      <c r="AW102" s="34"/>
      <c r="AX102" s="34"/>
      <c r="AY102" s="34"/>
      <c r="AZ102" s="34"/>
      <c r="BA102" s="34"/>
      <c r="BB102" s="34"/>
      <c r="BC102" s="33"/>
    </row>
    <row r="103" spans="1:55" x14ac:dyDescent="0.25">
      <c r="A103" s="316"/>
      <c r="N103" s="6"/>
      <c r="O103" s="6"/>
      <c r="P103" s="6"/>
      <c r="Q103" s="6"/>
      <c r="R103" s="6"/>
      <c r="T103" s="6"/>
      <c r="U103" s="6"/>
      <c r="V103" s="6"/>
      <c r="W103" s="6"/>
      <c r="X103" s="6"/>
      <c r="Y103" s="6"/>
      <c r="Z103" s="6"/>
      <c r="AP103" s="6"/>
      <c r="AQ103" s="6"/>
      <c r="AR103" s="6"/>
      <c r="AS103" s="6"/>
      <c r="AT103" s="6"/>
      <c r="AV103" s="6"/>
      <c r="AW103" s="6"/>
      <c r="AX103" s="6"/>
      <c r="AY103" s="6"/>
      <c r="AZ103" s="6"/>
      <c r="BA103" s="6"/>
      <c r="BB103" s="6"/>
    </row>
    <row r="104" spans="1:55" x14ac:dyDescent="0.25">
      <c r="A104" s="316"/>
      <c r="N104" s="6"/>
      <c r="O104" s="6"/>
      <c r="P104" s="6"/>
      <c r="Q104" s="6"/>
      <c r="R104" s="6"/>
      <c r="T104" s="6"/>
      <c r="U104" s="6"/>
      <c r="V104" s="6"/>
      <c r="W104" s="6"/>
      <c r="X104" s="6"/>
      <c r="Y104" s="6"/>
      <c r="Z104" s="6"/>
      <c r="AP104" s="6"/>
      <c r="AQ104" s="6"/>
      <c r="AR104" s="6"/>
      <c r="AS104" s="6"/>
      <c r="AT104" s="6"/>
      <c r="AV104" s="6"/>
      <c r="AW104" s="6"/>
      <c r="AX104" s="6"/>
      <c r="AY104" s="6"/>
      <c r="AZ104" s="6"/>
      <c r="BA104" s="6"/>
      <c r="BB104" s="6"/>
    </row>
    <row r="105" spans="1:55" ht="13" x14ac:dyDescent="0.3">
      <c r="A105" s="316"/>
      <c r="N105" s="39"/>
      <c r="O105" s="39"/>
      <c r="P105" s="39"/>
      <c r="Q105" s="39"/>
      <c r="R105" s="39"/>
      <c r="T105" s="39"/>
      <c r="U105" s="39"/>
      <c r="V105" s="39"/>
      <c r="W105" s="39"/>
      <c r="X105" s="39"/>
      <c r="Y105" s="39"/>
      <c r="Z105" s="39"/>
      <c r="AP105" s="39"/>
      <c r="AQ105" s="39"/>
      <c r="AR105" s="39"/>
      <c r="AS105" s="39"/>
      <c r="AT105" s="39"/>
      <c r="AV105" s="39"/>
      <c r="AW105" s="39"/>
      <c r="AX105" s="39"/>
      <c r="AY105" s="39"/>
      <c r="AZ105" s="39"/>
      <c r="BA105" s="39"/>
      <c r="BB105" s="39"/>
    </row>
    <row r="106" spans="1:55" ht="13" x14ac:dyDescent="0.3">
      <c r="A106" s="316"/>
      <c r="B106" s="281" t="s">
        <v>342</v>
      </c>
      <c r="C106" s="319"/>
      <c r="D106" s="320"/>
      <c r="E106" s="319"/>
      <c r="F106" s="320"/>
      <c r="G106" s="319"/>
      <c r="H106" s="320"/>
      <c r="I106" s="319"/>
      <c r="J106" s="320"/>
      <c r="K106" s="319"/>
      <c r="L106" s="320"/>
      <c r="N106" s="39"/>
      <c r="O106" s="39"/>
      <c r="P106" s="39"/>
      <c r="Q106" s="39"/>
      <c r="R106" s="39"/>
      <c r="T106" s="39"/>
      <c r="U106" s="39"/>
      <c r="V106" s="39"/>
      <c r="W106" s="39"/>
      <c r="X106" s="39"/>
      <c r="Y106" s="39"/>
      <c r="Z106" s="39"/>
      <c r="AD106" s="386" t="str">
        <f>+B106</f>
        <v>POLLOS DEL CENTRO</v>
      </c>
      <c r="AE106" s="319"/>
      <c r="AF106" s="320"/>
      <c r="AG106" s="319"/>
      <c r="AH106" s="320"/>
      <c r="AI106" s="319"/>
      <c r="AJ106" s="320"/>
      <c r="AK106" s="319"/>
      <c r="AL106" s="320"/>
      <c r="AM106" s="319"/>
      <c r="AN106" s="320"/>
      <c r="AP106" s="39"/>
      <c r="AQ106" s="39"/>
      <c r="AR106" s="39"/>
      <c r="AS106" s="39"/>
      <c r="AT106" s="39"/>
      <c r="AV106" s="39"/>
      <c r="AW106" s="39"/>
      <c r="AX106" s="39"/>
      <c r="AY106" s="39"/>
      <c r="AZ106" s="39"/>
      <c r="BA106" s="39"/>
      <c r="BB106" s="39"/>
    </row>
    <row r="107" spans="1:55" ht="13" x14ac:dyDescent="0.3">
      <c r="A107" s="316"/>
      <c r="B107" s="318" t="s">
        <v>430</v>
      </c>
      <c r="C107" s="319"/>
      <c r="D107" s="320"/>
      <c r="E107" s="319"/>
      <c r="F107" s="320"/>
      <c r="G107" s="319"/>
      <c r="H107" s="320"/>
      <c r="I107" s="319"/>
      <c r="J107" s="320"/>
      <c r="K107" s="319"/>
      <c r="L107" s="320"/>
      <c r="AD107" s="318" t="s">
        <v>431</v>
      </c>
      <c r="AE107" s="319"/>
      <c r="AF107" s="320"/>
      <c r="AG107" s="319"/>
      <c r="AH107" s="320"/>
      <c r="AI107" s="319"/>
      <c r="AJ107" s="320"/>
      <c r="AK107" s="319"/>
      <c r="AL107" s="320"/>
      <c r="AM107" s="319"/>
      <c r="AN107" s="320"/>
    </row>
    <row r="108" spans="1:55" ht="13" x14ac:dyDescent="0.3">
      <c r="A108" s="316"/>
      <c r="B108" s="319"/>
      <c r="C108" s="390" t="s">
        <v>0</v>
      </c>
      <c r="D108" s="321"/>
      <c r="E108" s="390" t="s">
        <v>4</v>
      </c>
      <c r="F108" s="321"/>
      <c r="G108" s="390" t="s">
        <v>9</v>
      </c>
      <c r="H108" s="321"/>
      <c r="I108" s="390" t="s">
        <v>6</v>
      </c>
      <c r="J108" s="321"/>
      <c r="K108" s="390" t="s">
        <v>7</v>
      </c>
      <c r="L108" s="320"/>
      <c r="AD108" s="319"/>
      <c r="AE108" s="524" t="s">
        <v>498</v>
      </c>
      <c r="AF108" s="321"/>
      <c r="AG108" s="390" t="s">
        <v>4</v>
      </c>
      <c r="AH108" s="321"/>
      <c r="AI108" s="390" t="s">
        <v>9</v>
      </c>
      <c r="AJ108" s="321"/>
      <c r="AK108" s="390" t="s">
        <v>6</v>
      </c>
      <c r="AL108" s="321"/>
      <c r="AM108" s="390" t="s">
        <v>7</v>
      </c>
      <c r="AN108" s="320"/>
    </row>
    <row r="109" spans="1:55" x14ac:dyDescent="0.25">
      <c r="A109" s="316"/>
      <c r="B109" s="322" t="s">
        <v>38</v>
      </c>
      <c r="C109" s="323">
        <f ca="1">INDIRECT(ADDRESS(MATCH($B$106,'ER Act'!$B:$B,0)+1,MATCH(TEXT(DATE(YEAR(MES_CIERRE),ROUNDUP(MONTH(MES_CIERRE)/3,0)*3-2,1),"MMMM"),'ER Act'!$1:$1,0),,,"ER Act"))+INDIRECT(ADDRESS(MATCH($B$106,'ER Act'!$B:$B,0)+1,MATCH(TEXT(DATE(YEAR(MES_CIERRE),ROUNDUP(MONTH(MES_CIERRE)/3,0)*3-1,1),"MMMM"),'ER Act'!$1:$1,0),,,"ER Act"))+INDIRECT(ADDRESS(MATCH($B$106,'ER Act'!$B:$B,0)+1,MATCH(TEXT(DATE(YEAR(MES_CIERRE),ROUNDUP(MONTH(MES_CIERRE)/3,0)*3-0,1),"MMMM"),'ER Act'!$1:$1,0),,,"ER Act"))</f>
        <v>1866.0129999999999</v>
      </c>
      <c r="D109" s="324">
        <f ca="1">IF(C109=0,"N.D.",C109/C109)</f>
        <v>1</v>
      </c>
      <c r="E109" s="323">
        <f ca="1">INDIRECT(ADDRESS(MATCH($B$106,'ER Ppto'!$B:$B,0)+1,MATCH(TEXT(DATE(YEAR(MES_CIERRE),ROUNDUP(MONTH(MES_CIERRE)/3,0)*3-2,1),"MMMM"),'ER Ppto'!$1:$1,0),,,"ER Ppto"))+INDIRECT(ADDRESS(MATCH($B$106,'ER Ppto'!$B:$B,0)+1,MATCH(TEXT(DATE(YEAR(MES_CIERRE),ROUNDUP(MONTH(MES_CIERRE)/3,0)*3-1,1),"MMMM"),'ER Ppto'!$1:$1,0),,,"ER Ppto"))+INDIRECT(ADDRESS(MATCH($B$106,'ER Ppto'!$B:$B,0)+1,MATCH(TEXT(DATE(YEAR(MES_CIERRE),ROUNDUP(MONTH(MES_CIERRE)/3,0)*3-0,1),"MMMM"),'ER Ppto'!$1:$1,0),,,"ER Ppto"))</f>
        <v>2047.08</v>
      </c>
      <c r="F109" s="324">
        <f ca="1">IF(E109=0,"N.D.",E109/E109)</f>
        <v>1</v>
      </c>
      <c r="G109" s="323">
        <f ca="1">INDIRECT(ADDRESS(MATCH($B$106,'ER AA'!$B:$B,0)+1,MATCH(TEXT(DATE(YEAR(MES_CIERRE),ROUNDUP(MONTH(MES_CIERRE)/3,0)*3-2,1),"MMMM"),'ER AA'!$1:$1,0),,,"ER AA"))+INDIRECT(ADDRESS(MATCH($B$106,'ER AA'!$B:$B,0)+1,MATCH(TEXT(DATE(YEAR(MES_CIERRE),ROUNDUP(MONTH(MES_CIERRE)/3,0)*3-1,1),"MMMM"),'ER AA'!$1:$1,0),,,"ER AA"))+INDIRECT(ADDRESS(MATCH($B$106,'ER AA'!$B:$B,0)+1,MATCH(TEXT(DATE(YEAR(MES_CIERRE),ROUNDUP(MONTH(MES_CIERRE)/3,0)*3-0,1),"MMMM"),'ER AA'!$1:$1,0),,,"ER AA"))</f>
        <v>1950.8000000000002</v>
      </c>
      <c r="H109" s="324">
        <f ca="1">IF(G109=0,"N.D.",G109/G109)</f>
        <v>1</v>
      </c>
      <c r="I109" s="325">
        <f ca="1">C109-E109</f>
        <v>-181.06700000000001</v>
      </c>
      <c r="J109" s="326">
        <f ca="1">IF(E109=0,"N.D.",C109/E109-1)</f>
        <v>-8.8451355100924278E-2</v>
      </c>
      <c r="K109" s="327">
        <f ca="1">C109-G109</f>
        <v>-84.787000000000262</v>
      </c>
      <c r="L109" s="532">
        <f ca="1">IF(G109=0,"N.D.",C109/G109-1)</f>
        <v>-4.3462681976625062E-2</v>
      </c>
      <c r="AD109" s="322" t="s">
        <v>38</v>
      </c>
      <c r="AE109" s="323">
        <v>1920</v>
      </c>
      <c r="AF109" s="324">
        <f>IF(AE109=0,"N.D.",AE109/AE109)</f>
        <v>1</v>
      </c>
      <c r="AG109" s="526">
        <f ca="1">((INDIRECT(ADDRESS(MATCH($B$106,BDPP!$B:$B,0)+6,MATCH(TEXT(DATE(YEAR(MES_CIERRE),ROUNDUP(MONTH(MES_CIERRE)/3,0)*3,1),"MMMM"),BDPP!$1:$1,0)+1,,,"BDPP")))++(INDIRECT(ADDRESS(MATCH($B$106,BDPP!$B:$B,0)+6,MATCH(TEXT(DATE(YEAR(MES_CIERRE),ROUNDUP(MONTH(MES_CIERRE)/3,0)*3,1),"MMMM"),BDPP!$1:$1,0)+2,,,"BDPP")))+(INDIRECT(ADDRESS(MATCH($B$106,BDPP!$B:$B,0)+6,MATCH(TEXT(DATE(YEAR(MES_CIERRE),ROUNDUP(MONTH(MES_CIERRE)/3,0)*3,1),"MMMM"),BDPP!$1:$1,0)+3,,,"BDPP"))))/1000</f>
        <v>2021.57</v>
      </c>
      <c r="AH109" s="324">
        <f ca="1">IF(AG109=0,"N.D.",AG109/AG109)</f>
        <v>1</v>
      </c>
      <c r="AI109" s="323">
        <f ca="1">INDIRECT(ADDRESS(MATCH($B$106,INDIRECT("'"&amp;IF(MONTH(MES_CIERRE)=12,"ER ACT","ER AA")&amp;"'!$B:$B"),0)+1,MATCH(TEXT(DATE(YEAR(MES_CIERRE),ROUNDUP(MONTH(MES_CIERRE)+1,0),1),"MMMM"),'ER AA'!$1:$1,0),,,IF(MONTH(MES_CIERRE)=12,"ER ACT","ER AA")))+INDIRECT(ADDRESS(MATCH($B$106,INDIRECT("'"&amp;IF(MONTH(MES_CIERRE)=12,"ER ACT","ER AA")&amp;"'!$B:$B"),0)+1,MATCH(TEXT(DATE(YEAR(MES_CIERRE),ROUNDUP(MONTH(MES_CIERRE)+2,0),1),"MMMM"),'ER AA'!$1:$1,0),,,IF(MONTH(MES_CIERRE)=12,"ER ACT","ER AA")))+INDIRECT(ADDRESS(MATCH($B$106,INDIRECT("'"&amp;IF(MONTH(MES_CIERRE)=12,"ER ACT","ER AA")&amp;"'!$B:$B"),0)+1,MATCH(TEXT(DATE(YEAR(MES_CIERRE),ROUNDUP(MONTH(MES_CIERRE)+3,0),1),"MMMM"),'ER AA'!$1:$1,0),,,IF(MONTH(MES_CIERRE)=12,"ER ACT","ER AA")))</f>
        <v>1938.9578300000003</v>
      </c>
      <c r="AJ109" s="324">
        <f ca="1">IF(AI109=0,"N.D.",AI109/AI109)</f>
        <v>1</v>
      </c>
      <c r="AK109" s="325">
        <f ca="1">AE109-AG109</f>
        <v>-101.56999999999994</v>
      </c>
      <c r="AL109" s="326">
        <f ca="1">IF(AG109=0,"N.D.",AE109/AG109-1)</f>
        <v>-5.024312786596552E-2</v>
      </c>
      <c r="AM109" s="327">
        <f ca="1">AE109-AI109</f>
        <v>-18.957830000000286</v>
      </c>
      <c r="AN109" s="324">
        <f ca="1">IF(AI109=0,"N.D.",AE109/AI109-1)</f>
        <v>-9.7773297111883872E-3</v>
      </c>
      <c r="AO109" s="535">
        <v>1985</v>
      </c>
    </row>
    <row r="110" spans="1:55" x14ac:dyDescent="0.25">
      <c r="A110" s="316"/>
      <c r="B110" s="322" t="s">
        <v>39</v>
      </c>
      <c r="C110" s="328">
        <f ca="1">INDIRECT(ADDRESS(MATCH($B$106,'ER Act'!$B:$B,0)+2,MATCH(TEXT(DATE(YEAR(MES_CIERRE),ROUNDUP(MONTH(MES_CIERRE)/3,0)*3-2,1),"MMMM"),'ER Act'!$1:$1,0),,,"ER Act"))+INDIRECT(ADDRESS(MATCH($B$106,'ER Act'!$B:$B,0)+2,MATCH(TEXT(DATE(YEAR(MES_CIERRE),ROUNDUP(MONTH(MES_CIERRE)/3,0)*3-1,1),"MMMM"),'ER Act'!$1:$1,0),,,"ER Act"))+INDIRECT(ADDRESS(MATCH($B$106,'ER Act'!$B:$B,0)+2,MATCH(TEXT(DATE(YEAR(MES_CIERRE),ROUNDUP(MONTH(MES_CIERRE)/3,0)*3-0,1),"MMMM"),'ER Act'!$1:$1,0),,,"ER Act"))</f>
        <v>624.84400000000005</v>
      </c>
      <c r="D110" s="329">
        <f ca="1">IF(C109=0,"N.D.",C110/C109)</f>
        <v>0.33485511622909386</v>
      </c>
      <c r="E110" s="328">
        <f ca="1">INDIRECT(ADDRESS(MATCH($B$106,'ER Ppto'!$B:$B,0)+2,MATCH(TEXT(DATE(YEAR(MES_CIERRE),ROUNDUP(MONTH(MES_CIERRE)/3,0)*3-2,1),"MMMM"),'ER Ppto'!$1:$1,0),,,"ER Ppto"))+INDIRECT(ADDRESS(MATCH($B$106,'ER Ppto'!$B:$B,0)+2,MATCH(TEXT(DATE(YEAR(MES_CIERRE),ROUNDUP(MONTH(MES_CIERRE)/3,0)*3-1,1),"MMMM"),'ER Ppto'!$1:$1,0),,,"ER Ppto"))+INDIRECT(ADDRESS(MATCH($B$106,'ER Ppto'!$B:$B,0)+2,MATCH(TEXT(DATE(YEAR(MES_CIERRE),ROUNDUP(MONTH(MES_CIERRE)/3,0)*3-0,1),"MMMM"),'ER Ppto'!$1:$1,0),,,"ER Ppto"))</f>
        <v>724.66599999999994</v>
      </c>
      <c r="F110" s="329">
        <f ca="1">IF(E109=0,"N.D.",E110/E109)</f>
        <v>0.35399984367977799</v>
      </c>
      <c r="G110" s="328">
        <f ca="1">INDIRECT(ADDRESS(MATCH($B$106,'ER AA'!$B:$B,0)+2,MATCH(TEXT(DATE(YEAR(MES_CIERRE),ROUNDUP(MONTH(MES_CIERRE)/3,0)*3-2,1),"MMMM"),'ER AA'!$1:$1,0),,,"ER AA"))+INDIRECT(ADDRESS(MATCH($B$106,'ER AA'!$B:$B,0)+2,MATCH(TEXT(DATE(YEAR(MES_CIERRE),ROUNDUP(MONTH(MES_CIERRE)/3,0)*3-1,1),"MMMM"),'ER AA'!$1:$1,0),,,"ER AA"))+INDIRECT(ADDRESS(MATCH($B$106,'ER AA'!$B:$B,0)+2,MATCH(TEXT(DATE(YEAR(MES_CIERRE),ROUNDUP(MONTH(MES_CIERRE)/3,0)*3-0,1),"MMMM"),'ER AA'!$1:$1,0),,,"ER AA"))</f>
        <v>687.12199999999996</v>
      </c>
      <c r="H110" s="329">
        <f ca="1">IF(G109=0,"N.D.",G110/G109)</f>
        <v>0.35222575353701041</v>
      </c>
      <c r="I110" s="330">
        <f ca="1">C110-E110</f>
        <v>-99.821999999999889</v>
      </c>
      <c r="J110" s="331">
        <f ca="1">IF(E110=0,"N.D.",C110/E110-1)</f>
        <v>-0.13774897676998765</v>
      </c>
      <c r="K110" s="328">
        <f ca="1">C110-G110</f>
        <v>-62.277999999999906</v>
      </c>
      <c r="L110" s="329">
        <f ca="1">IF(G110=0,"N.D.",C110/G110-1)</f>
        <v>-9.0636015147237181E-2</v>
      </c>
      <c r="AD110" s="322" t="s">
        <v>39</v>
      </c>
      <c r="AE110" s="328">
        <f ca="1">AE109*D110</f>
        <v>642.9218231598602</v>
      </c>
      <c r="AF110" s="329">
        <f ca="1">IF(AE109=0,"N.D.",AE110/AE109)</f>
        <v>0.33485511622909386</v>
      </c>
      <c r="AG110" s="328">
        <f ca="1">((INDIRECT(ADDRESS(MATCH($B$106,BDPP!$B:$B,0)+7,MATCH(TEXT(DATE(YEAR(MES_CIERRE),ROUNDUP(MONTH(MES_CIERRE)/3,0)*3,1),"MMMM"),BDPP!$1:$1,0)+1,,,"BDPP")))+(INDIRECT(ADDRESS(MATCH($B$106,BDPP!$B:$B,0)+7,MATCH(TEXT(DATE(YEAR(MES_CIERRE),ROUNDUP(MONTH(MES_CIERRE)/3,0)*3,1),"MMMM"),BDPP!$1:$1,0)+2,,,"BDPP")))+(INDIRECT(ADDRESS(MATCH($B$106,BDPP!$B:$B,0)+7,MATCH(TEXT(DATE(YEAR(MES_CIERRE),ROUNDUP(MONTH(MES_CIERRE)/3,0)*3,1),"MMMM"),BDPP!$1:$1,0)+3,,,"BDPP"))))/1000</f>
        <v>715.63599999999997</v>
      </c>
      <c r="AH110" s="329">
        <f ca="1">IF(AG109=0,"N.D.",AG110/AG109)</f>
        <v>0.35400010882630828</v>
      </c>
      <c r="AI110" s="328">
        <f ca="1">INDIRECT(ADDRESS(MATCH($B$106,INDIRECT("'"&amp;IF(MONTH(MES_CIERRE)=12,"ER ACT","ER AA")&amp;"'!$B:$B"),0)+2,MATCH(TEXT(DATE(YEAR(MES_CIERRE),ROUNDUP(MONTH(MES_CIERRE)+1,0),1),"MMMM"),'ER AA'!$1:$1,0),,,IF(MONTH(MES_CIERRE)=12,"ER ACT","ER AA")))+INDIRECT(ADDRESS(MATCH($B$106,INDIRECT("'"&amp;IF(MONTH(MES_CIERRE)=12,"ER ACT","ER AA")&amp;"'!$B:$B"),0)+2,MATCH(TEXT(DATE(YEAR(MES_CIERRE),ROUNDUP(MONTH(MES_CIERRE)+2,0),1),"MMMM"),'ER AA'!$1:$1,0),,,IF(MONTH(MES_CIERRE)=12,"ER ACT","ER AA")))+INDIRECT(ADDRESS(MATCH($B$106,INDIRECT("'"&amp;IF(MONTH(MES_CIERRE)=12,"ER ACT","ER AA")&amp;"'!$B:$B"),0)+2,MATCH(TEXT(DATE(YEAR(MES_CIERRE),ROUNDUP(MONTH(MES_CIERRE)+3,0),1),"MMMM"),'ER AA'!$1:$1,0),,,IF(MONTH(MES_CIERRE)=12,"ER ACT","ER AA")))+INDIRECT(ADDRESS(MATCH($B$106,INDIRECT("'"&amp;IF(MONTH(MES_CIERRE)=12,"ER ACT","ER AA")&amp;"'!$B:$B"),0)+3,MATCH(TEXT(DATE(YEAR(MES_CIERRE),ROUNDUP(MONTH(MES_CIERRE)+1,0),1),"MMMM"),'ER AA'!$1:$1,0),,,IF(MONTH(MES_CIERRE)=12,"ER ACT","ER AA")))+INDIRECT(ADDRESS(MATCH($B$106,INDIRECT("'"&amp;IF(MONTH(MES_CIERRE)=12,"ER ACT","ER AA")&amp;"'!$B:$B"),0)+3,MATCH(TEXT(DATE(YEAR(MES_CIERRE),ROUNDUP(MONTH(MES_CIERRE)+2,0),1),"MMMM"),'ER AA'!$1:$1,0),,,IF(MONTH(MES_CIERRE)=12,"ER ACT","ER AA")))+INDIRECT(ADDRESS(MATCH($B$106,INDIRECT("'"&amp;IF(MONTH(MES_CIERRE)=12,"ER ACT","ER AA")&amp;"'!$B:$B"),0)+3,MATCH(TEXT(DATE(YEAR(MES_CIERRE),ROUNDUP(MONTH(MES_CIERRE)+3,0),1),"MMMM"),'ER AA'!$1:$1,0),,,IF(MONTH(MES_CIERRE)=12,"ER ACT","ER AA")))</f>
        <v>690.952493</v>
      </c>
      <c r="AJ110" s="329">
        <f ca="1">IF(AI109=0,"N.D.",AI110/AI109)</f>
        <v>0.35635251180269345</v>
      </c>
      <c r="AK110" s="330">
        <f ca="1">AE110-AG110</f>
        <v>-72.714176840139771</v>
      </c>
      <c r="AL110" s="331">
        <f ca="1">IF(AG110=0,"N.D.",AE110/AG110-1)</f>
        <v>-0.10160776825109386</v>
      </c>
      <c r="AM110" s="328">
        <f ca="1">AE110-AI110</f>
        <v>-48.030669840139808</v>
      </c>
      <c r="AN110" s="329">
        <f ca="1">IF(AI110=0,"N.D.",AE110/AI110-1)</f>
        <v>-6.9513707999805718E-2</v>
      </c>
    </row>
    <row r="111" spans="1:55" ht="13" x14ac:dyDescent="0.3">
      <c r="A111" s="316"/>
      <c r="B111" s="332" t="s">
        <v>40</v>
      </c>
      <c r="C111" s="333">
        <f ca="1">+C109-C110</f>
        <v>1241.1689999999999</v>
      </c>
      <c r="D111" s="334">
        <f ca="1">IF(C109=0,"N.D.",C111/C109)</f>
        <v>0.66514488377090619</v>
      </c>
      <c r="E111" s="333">
        <f ca="1">+E109-E110</f>
        <v>1322.414</v>
      </c>
      <c r="F111" s="334">
        <f ca="1">IF(E109=0,"N.D.",E111/E109)</f>
        <v>0.64600015632022201</v>
      </c>
      <c r="G111" s="333">
        <f ca="1">+G109-G110</f>
        <v>1263.6780000000003</v>
      </c>
      <c r="H111" s="334">
        <f ca="1">IF(G109=0,"N.D.",G111/G109)</f>
        <v>0.64777424646298964</v>
      </c>
      <c r="I111" s="335">
        <f ca="1">C111-E111</f>
        <v>-81.245000000000118</v>
      </c>
      <c r="J111" s="336">
        <f ca="1">IF(E111=0,"N.D.",C111/E111-1)</f>
        <v>-6.1436887389274553E-2</v>
      </c>
      <c r="K111" s="337">
        <f ca="1">C111-G111</f>
        <v>-22.509000000000469</v>
      </c>
      <c r="L111" s="334">
        <f ca="1">IF(G111=0,"N.D.",C111/G111-1)</f>
        <v>-1.7812290789267937E-2</v>
      </c>
      <c r="AD111" s="332" t="s">
        <v>40</v>
      </c>
      <c r="AE111" s="333">
        <f ca="1">+AE109-AE110</f>
        <v>1277.0781768401398</v>
      </c>
      <c r="AF111" s="334">
        <f ca="1">IF(AE109=0,"N.D.",AE111/AE109)</f>
        <v>0.66514488377090619</v>
      </c>
      <c r="AG111" s="333">
        <f ca="1">+AG109-AG110</f>
        <v>1305.934</v>
      </c>
      <c r="AH111" s="334">
        <f ca="1">IF(AG109=0,"N.D.",AG111/AG109)</f>
        <v>0.64599989117369172</v>
      </c>
      <c r="AI111" s="333">
        <f ca="1">+AI109-AI110</f>
        <v>1248.0053370000003</v>
      </c>
      <c r="AJ111" s="334">
        <f ca="1">IF(AI109=0,"N.D.",AI111/AI109)</f>
        <v>0.64364748819730655</v>
      </c>
      <c r="AK111" s="335">
        <f ca="1">AE111-AG111</f>
        <v>-28.855823159860165</v>
      </c>
      <c r="AL111" s="336">
        <f ca="1">IF(AG111=0,"N.D.",AE111/AG111-1)</f>
        <v>-2.2095927634827039E-2</v>
      </c>
      <c r="AM111" s="337">
        <f ca="1">AE111-AI111</f>
        <v>29.072839840139522</v>
      </c>
      <c r="AN111" s="334">
        <f ca="1">IF(AI111=0,"N.D.",AE111/AI111-1)</f>
        <v>2.3295445122074376E-2</v>
      </c>
    </row>
    <row r="112" spans="1:55" x14ac:dyDescent="0.25">
      <c r="A112" s="316"/>
      <c r="B112" s="322"/>
      <c r="C112" s="338"/>
      <c r="D112" s="339"/>
      <c r="E112" s="338"/>
      <c r="F112" s="339"/>
      <c r="G112" s="338"/>
      <c r="H112" s="339"/>
      <c r="I112" s="338"/>
      <c r="J112" s="340"/>
      <c r="K112" s="338"/>
      <c r="L112" s="339"/>
      <c r="N112" s="42"/>
      <c r="O112" s="42"/>
      <c r="P112" s="42"/>
      <c r="Q112" s="42"/>
      <c r="R112" s="42"/>
      <c r="T112" s="42"/>
      <c r="U112" s="42"/>
      <c r="AD112" s="322"/>
      <c r="AE112" s="338"/>
      <c r="AF112" s="339"/>
      <c r="AG112" s="338"/>
      <c r="AH112" s="339"/>
      <c r="AI112" s="338"/>
      <c r="AJ112" s="339"/>
      <c r="AK112" s="338"/>
      <c r="AL112" s="340"/>
      <c r="AM112" s="338"/>
      <c r="AN112" s="339"/>
      <c r="AP112" s="42"/>
      <c r="AQ112" s="42"/>
      <c r="AR112" s="42"/>
      <c r="AS112" s="42"/>
      <c r="AT112" s="42"/>
      <c r="AV112" s="42"/>
      <c r="AW112" s="42"/>
    </row>
    <row r="113" spans="1:49" x14ac:dyDescent="0.25">
      <c r="A113" s="316"/>
      <c r="B113" s="9" t="s">
        <v>41</v>
      </c>
      <c r="C113" s="327">
        <f ca="1">INDIRECT(ADDRESS(MATCH($B$106,'ER Act'!$B:$B,0)+6,MATCH(TEXT(DATE(YEAR(MES_CIERRE),ROUNDUP(MONTH(MES_CIERRE)/3,0)*3-2,1),"MMMM"),'ER Act'!$1:$1,0),,,"ER Act"))+INDIRECT(ADDRESS(MATCH($B$106,'ER Act'!$B:$B,0)+6,MATCH(TEXT(DATE(YEAR(MES_CIERRE),ROUNDUP(MONTH(MES_CIERRE)/3,0)*3-1,1),"MMMM"),'ER Act'!$1:$1,0),,,"ER Act"))+INDIRECT(ADDRESS(MATCH($B$106,'ER Act'!$B:$B,0)+6,MATCH(TEXT(DATE(YEAR(MES_CIERRE),ROUNDUP(MONTH(MES_CIERRE)/3,0)*3-0,1),"MMMM"),'ER Act'!$1:$1,0),,,"ER Act"))</f>
        <v>1143.1979999999999</v>
      </c>
      <c r="D113" s="324">
        <f ca="1">IF(C109=0,"N.D.",C113/C109)</f>
        <v>0.61264203411230245</v>
      </c>
      <c r="E113" s="327">
        <f ca="1">INDIRECT(ADDRESS(MATCH($B$106,'ER Ppto'!$B:$B,0)+6,MATCH(TEXT(DATE(YEAR(MES_CIERRE),ROUNDUP(MONTH(MES_CIERRE)/3,0)*3-2,1),"MMMM"),'ER Ppto'!$1:$1,0),,,"ER Ppto"))+INDIRECT(ADDRESS(MATCH($B$106,'ER Ppto'!$B:$B,0)+6,MATCH(TEXT(DATE(YEAR(MES_CIERRE),ROUNDUP(MONTH(MES_CIERRE)/3,0)*3-1,1),"MMMM"),'ER Ppto'!$1:$1,0),,,"ER Ppto"))+INDIRECT(ADDRESS(MATCH($B$106,'ER Ppto'!$B:$B,0)+6,MATCH(TEXT(DATE(YEAR(MES_CIERRE),ROUNDUP(MONTH(MES_CIERRE)/3,0)*3-0,1),"MMMM"),'ER Ppto'!$1:$1,0),,,"ER Ppto"))</f>
        <v>1210.5349999999999</v>
      </c>
      <c r="F113" s="324">
        <f ca="1">IF(E109=0,"N.D.",E113/E109)</f>
        <v>0.59134718721300583</v>
      </c>
      <c r="G113" s="327">
        <f ca="1">INDIRECT(ADDRESS(MATCH($B$106,'ER AA'!$B:$B,0)+6,MATCH(TEXT(DATE(YEAR(MES_CIERRE),ROUNDUP(MONTH(MES_CIERRE)/3,0)*3-2,1),"MMMM"),'ER AA'!$1:$1,0),,,"ER AA"))+INDIRECT(ADDRESS(MATCH($B$106,'ER AA'!$B:$B,0)+6,MATCH(TEXT(DATE(YEAR(MES_CIERRE),ROUNDUP(MONTH(MES_CIERRE)/3,0)*3-1,1),"MMMM"),'ER AA'!$1:$1,0),,,"ER AA"))+INDIRECT(ADDRESS(MATCH($B$106,'ER AA'!$B:$B,0)+6,MATCH(TEXT(DATE(YEAR(MES_CIERRE),ROUNDUP(MONTH(MES_CIERRE)/3,0)*3-0,1),"MMMM"),'ER AA'!$1:$1,0),,,"ER AA"))</f>
        <v>1170.046</v>
      </c>
      <c r="H113" s="324">
        <f ca="1">IF(G109=0,"N.D.",G113/G109)</f>
        <v>0.59977752716834121</v>
      </c>
      <c r="I113" s="325">
        <f ca="1">C113-E113</f>
        <v>-67.336999999999989</v>
      </c>
      <c r="J113" s="326">
        <f ca="1">IF(E113=0,"N.D.",C113/E113-1)</f>
        <v>-5.5625818336520583E-2</v>
      </c>
      <c r="K113" s="327">
        <f ca="1">C113-G113</f>
        <v>-26.848000000000184</v>
      </c>
      <c r="L113" s="324">
        <f ca="1">IF(G113=0,"N.D.",C113/G113-1)</f>
        <v>-2.2946106392398358E-2</v>
      </c>
      <c r="N113" s="6"/>
      <c r="O113" s="6"/>
      <c r="P113" s="6"/>
      <c r="Q113" s="6"/>
      <c r="R113" s="6"/>
      <c r="T113" s="6"/>
      <c r="U113" s="6"/>
      <c r="AD113" s="9" t="s">
        <v>41</v>
      </c>
      <c r="AE113" s="327">
        <f ca="1">AE109*D113</f>
        <v>1176.2727054956208</v>
      </c>
      <c r="AF113" s="324">
        <f ca="1">IF(AE109=0,"N.D.",AE113/AE109)</f>
        <v>0.61264203411230256</v>
      </c>
      <c r="AG113" s="327">
        <f ca="1">((INDIRECT(ADDRESS(MATCH($B$106,BDPP!$B:$B,0)+10,MATCH(TEXT(DATE(YEAR(MES_CIERRE),ROUNDUP(MONTH(MES_CIERRE)/3,0)*3,1),"MMMM"),BDPP!$1:$1,0)+1,,,"BDPP")))+(INDIRECT(ADDRESS(MATCH($B$106,BDPP!$B:$B,0)+10,MATCH(TEXT(DATE(YEAR(MES_CIERRE),ROUNDUP(MONTH(MES_CIERRE)/3,0)*3,1),"MMMM"),BDPP!$1:$1,0)+2,,,"BDPP")))+(INDIRECT(ADDRESS(MATCH($B$106,BDPP!$B:$B,0)+10,MATCH(TEXT(DATE(YEAR(MES_CIERRE),ROUNDUP(MONTH(MES_CIERRE)/3,0)*3,1),"MMMM"),BDPP!$1:$1,0)+3,,,"BDPP"))))/1000</f>
        <v>1211.7370000000001</v>
      </c>
      <c r="AH113" s="324">
        <f ca="1">IF(AG109=0,"N.D.",AG113/AG109)</f>
        <v>0.59940392862972847</v>
      </c>
      <c r="AI113" s="327">
        <f ca="1">INDIRECT(ADDRESS(MATCH($B$106,INDIRECT("'"&amp;IF(MONTH(MES_CIERRE)=12,"ER ACT","ER AA")&amp;"'!$B:$B"),0)+6,MATCH(TEXT(DATE(YEAR(MES_CIERRE),ROUNDUP(MONTH(MES_CIERRE)+1,0),1),"MMMM"),'ER AA'!$1:$1,0),,,IF(MONTH(MES_CIERRE)=12,"ER ACT","ER AA")))+INDIRECT(ADDRESS(MATCH($B$106,INDIRECT("'"&amp;IF(MONTH(MES_CIERRE)=12,"ER ACT","ER AA")&amp;"'!$B:$B"),0)+6,MATCH(TEXT(DATE(YEAR(MES_CIERRE),ROUNDUP(MONTH(MES_CIERRE)+2,0),1),"MMMM"),'ER AA'!$1:$1,0),,,IF(MONTH(MES_CIERRE)=12,"ER ACT","ER AA")))+INDIRECT(ADDRESS(MATCH($B$106,INDIRECT("'"&amp;IF(MONTH(MES_CIERRE)=12,"ER ACT","ER AA")&amp;"'!$B:$B"),0)+6,MATCH(TEXT(DATE(YEAR(MES_CIERRE),ROUNDUP(MONTH(MES_CIERRE)+3,0),1),"MMMM"),'ER AA'!$1:$1,0),,,IF(MONTH(MES_CIERRE)=12,"ER ACT","ER AA")))</f>
        <v>1168.2209399999999</v>
      </c>
      <c r="AJ113" s="324">
        <f ca="1">IF(AI109=0,"N.D.",AI113/AI109)</f>
        <v>0.6024994055698466</v>
      </c>
      <c r="AK113" s="325">
        <f ca="1">AE113-AG113</f>
        <v>-35.464294504379268</v>
      </c>
      <c r="AL113" s="326">
        <f ca="1">IF(AG113=0,"N.D.",AE113/AG113-1)</f>
        <v>-2.9267319974861872E-2</v>
      </c>
      <c r="AM113" s="327">
        <f ca="1">AE113-AI113</f>
        <v>8.0517654956208844</v>
      </c>
      <c r="AN113" s="324">
        <f ca="1">IF(AI113=0,"N.D.",AE113/AI113-1)</f>
        <v>6.8923310821846773E-3</v>
      </c>
      <c r="AP113" s="6"/>
      <c r="AQ113" s="6"/>
      <c r="AR113" s="6"/>
      <c r="AS113" s="6"/>
      <c r="AT113" s="6"/>
      <c r="AV113" s="6"/>
      <c r="AW113" s="6"/>
    </row>
    <row r="114" spans="1:49" x14ac:dyDescent="0.25">
      <c r="A114" s="316"/>
      <c r="B114" s="9" t="s">
        <v>42</v>
      </c>
      <c r="C114" s="328">
        <f ca="1">INDIRECT(ADDRESS(MATCH($B$106,'ER Act'!$B:$B,0)+7,MATCH(TEXT(DATE(YEAR(MES_CIERRE),ROUNDUP(MONTH(MES_CIERRE)/3,0)*3-2,1),"MMMM"),'ER Act'!$1:$1,0),,,"ER Act"))+INDIRECT(ADDRESS(MATCH($B$106,'ER Act'!$B:$B,0)+7,MATCH(TEXT(DATE(YEAR(MES_CIERRE),ROUNDUP(MONTH(MES_CIERRE)/3,0)*3-1,1),"MMMM"),'ER Act'!$1:$1,0),,,"ER Act"))+INDIRECT(ADDRESS(MATCH($B$106,'ER Act'!$B:$B,0)+7,MATCH(TEXT(DATE(YEAR(MES_CIERRE),ROUNDUP(MONTH(MES_CIERRE)/3,0)*3-0,1),"MMMM"),'ER Act'!$1:$1,0),,,"ER Act"))</f>
        <v>41.864999999999995</v>
      </c>
      <c r="D114" s="341">
        <f ca="1">IF(C109=0,"N.D.",C114/C109)</f>
        <v>2.243553501502937E-2</v>
      </c>
      <c r="E114" s="328">
        <f ca="1">INDIRECT(ADDRESS(MATCH($B$106,'ER Ppto'!$B:$B,0)+7,MATCH(TEXT(DATE(YEAR(MES_CIERRE),ROUNDUP(MONTH(MES_CIERRE)/3,0)*3-2,1),"MMMM"),'ER Ppto'!$1:$1,0),,,"ER Ppto"))+INDIRECT(ADDRESS(MATCH($B$106,'ER Ppto'!$B:$B,0)+7,MATCH(TEXT(DATE(YEAR(MES_CIERRE),ROUNDUP(MONTH(MES_CIERRE)/3,0)*3-1,1),"MMMM"),'ER Ppto'!$1:$1,0),,,"ER Ppto"))+INDIRECT(ADDRESS(MATCH($B$106,'ER Ppto'!$B:$B,0)+7,MATCH(TEXT(DATE(YEAR(MES_CIERRE),ROUNDUP(MONTH(MES_CIERRE)/3,0)*3-0,1),"MMMM"),'ER Ppto'!$1:$1,0),,,"ER Ppto"))</f>
        <v>70.532999999999987</v>
      </c>
      <c r="F114" s="341">
        <f ca="1">IF(E109=0,"N.D.",E114/E109)</f>
        <v>3.4455419426695583E-2</v>
      </c>
      <c r="G114" s="328">
        <f ca="1">INDIRECT(ADDRESS(MATCH($B$106,'ER AA'!$B:$B,0)+7,MATCH(TEXT(DATE(YEAR(MES_CIERRE),ROUNDUP(MONTH(MES_CIERRE)/3,0)*3-2,1),"MMMM"),'ER AA'!$1:$1,0),,,"ER AA"))+INDIRECT(ADDRESS(MATCH($B$106,'ER AA'!$B:$B,0)+7,MATCH(TEXT(DATE(YEAR(MES_CIERRE),ROUNDUP(MONTH(MES_CIERRE)/3,0)*3-1,1),"MMMM"),'ER AA'!$1:$1,0),,,"ER AA"))+INDIRECT(ADDRESS(MATCH($B$106,'ER AA'!$B:$B,0)+7,MATCH(TEXT(DATE(YEAR(MES_CIERRE),ROUNDUP(MONTH(MES_CIERRE)/3,0)*3-0,1),"MMMM"),'ER AA'!$1:$1,0),,,"ER AA"))</f>
        <v>70.512999999999991</v>
      </c>
      <c r="H114" s="341">
        <f ca="1">IF(G109=0,"N.D.",G114/G109)</f>
        <v>3.6145683822021726E-2</v>
      </c>
      <c r="I114" s="330">
        <f ca="1">C114-E114</f>
        <v>-28.667999999999992</v>
      </c>
      <c r="J114" s="331">
        <f ca="1">IF(E114=0,"N.D.",C114/E114-1)</f>
        <v>-0.4064480455956786</v>
      </c>
      <c r="K114" s="328">
        <f ca="1">C114-G114</f>
        <v>-28.647999999999996</v>
      </c>
      <c r="L114" s="341">
        <f ca="1">IF(G114=0,"N.D.",C114/G114-1)</f>
        <v>-0.40627969310623568</v>
      </c>
      <c r="N114" s="6"/>
      <c r="O114" s="6"/>
      <c r="P114" s="6"/>
      <c r="Q114" s="6"/>
      <c r="R114" s="6"/>
      <c r="T114" s="6"/>
      <c r="U114" s="6"/>
      <c r="AD114" s="9" t="s">
        <v>42</v>
      </c>
      <c r="AE114" s="328">
        <v>62</v>
      </c>
      <c r="AF114" s="341">
        <f>IF(AE109=0,"N.D.",AE114/AE109)</f>
        <v>3.229166666666667E-2</v>
      </c>
      <c r="AG114" s="328">
        <f ca="1">((INDIRECT(ADDRESS(MATCH($B$106,BDPP!$B:$B,0)+11,MATCH(TEXT(DATE(YEAR(MES_CIERRE),ROUNDUP(MONTH(MES_CIERRE)/3,0)*3,1),"MMMM"),BDPP!$1:$1,0)+1,,,"BDPP")))+(INDIRECT(ADDRESS(MATCH($B$106,BDPP!$B:$B,0)+11,MATCH(TEXT(DATE(YEAR(MES_CIERRE),ROUNDUP(MONTH(MES_CIERRE)/3,0)*3,1),"MMMM"),BDPP!$1:$1,0)+2,,,"BDPP")))+(INDIRECT(ADDRESS(MATCH($B$106,BDPP!$B:$B,0)+11,MATCH(TEXT(DATE(YEAR(MES_CIERRE),ROUNDUP(MONTH(MES_CIERRE)/3,0)*3,1),"MMMM"),BDPP!$1:$1,0)+3,,,"BDPP"))))/1000</f>
        <v>62.485999999999997</v>
      </c>
      <c r="AH114" s="341">
        <f ca="1">IF(AG109=0,"N.D.",AG114/AG109)</f>
        <v>3.0909639537587123E-2</v>
      </c>
      <c r="AI114" s="328">
        <f ca="1">INDIRECT(ADDRESS(MATCH($B$106,INDIRECT("'"&amp;IF(MONTH(MES_CIERRE)=12,"ER ACT","ER AA")&amp;"'!$B:$B"),0)+7,MATCH(TEXT(DATE(YEAR(MES_CIERRE),ROUNDUP(MONTH(MES_CIERRE)+1,0),1),"MMMM"),'ER AA'!$1:$1,0),,,IF(MONTH(MES_CIERRE)=12,"ER ACT","ER AA")))+INDIRECT(ADDRESS(MATCH($B$106,INDIRECT("'"&amp;IF(MONTH(MES_CIERRE)=12,"ER ACT","ER AA")&amp;"'!$B:$B"),0)+7,MATCH(TEXT(DATE(YEAR(MES_CIERRE),ROUNDUP(MONTH(MES_CIERRE)+2,0),1),"MMMM"),'ER AA'!$1:$1,0),,,IF(MONTH(MES_CIERRE)=12,"ER ACT","ER AA")))+INDIRECT(ADDRESS(MATCH($B$106,INDIRECT("'"&amp;IF(MONTH(MES_CIERRE)=12,"ER ACT","ER AA")&amp;"'!$B:$B"),0)+7,MATCH(TEXT(DATE(YEAR(MES_CIERRE),ROUNDUP(MONTH(MES_CIERRE)+3,0),1),"MMMM"),'ER AA'!$1:$1,0),,,IF(MONTH(MES_CIERRE)=12,"ER ACT","ER AA")))</f>
        <v>65.415099999999995</v>
      </c>
      <c r="AJ114" s="341">
        <f ca="1">IF(AI109=0,"N.D.",AI114/AI109)</f>
        <v>3.3737247395421686E-2</v>
      </c>
      <c r="AK114" s="330">
        <f ca="1">AE114-AG114</f>
        <v>-0.4859999999999971</v>
      </c>
      <c r="AL114" s="331">
        <f ca="1">IF(AG114=0,"N.D.",AE114/AG114-1)</f>
        <v>-7.7777422142559782E-3</v>
      </c>
      <c r="AM114" s="328">
        <f ca="1">AE114-AI114</f>
        <v>-3.4150999999999954</v>
      </c>
      <c r="AN114" s="341">
        <f ca="1">IF(AI114=0,"N.D.",AE114/AI114-1)</f>
        <v>-5.2206600616677146E-2</v>
      </c>
      <c r="AP114" s="6"/>
      <c r="AQ114" s="6"/>
      <c r="AR114" s="6"/>
      <c r="AS114" s="6"/>
      <c r="AT114" s="6"/>
      <c r="AV114" s="6"/>
      <c r="AW114" s="6"/>
    </row>
    <row r="115" spans="1:49" x14ac:dyDescent="0.25">
      <c r="A115" s="316"/>
      <c r="B115" s="9" t="s">
        <v>43</v>
      </c>
      <c r="C115" s="342">
        <f ca="1">INDIRECT(ADDRESS(MATCH($B$106,'ER Act'!$B:$B,0)+8,MATCH(TEXT(DATE(YEAR(MES_CIERRE),ROUNDUP(MONTH(MES_CIERRE)/3,0)*3-2,1),"MMMM"),'ER Act'!$1:$1,0),,,"ER Act"))+INDIRECT(ADDRESS(MATCH($B$106,'ER Act'!$B:$B,0)+8,MATCH(TEXT(DATE(YEAR(MES_CIERRE),ROUNDUP(MONTH(MES_CIERRE)/3,0)*3-1,1),"MMMM"),'ER Act'!$1:$1,0),,,"ER Act"))+INDIRECT(ADDRESS(MATCH($B$106,'ER Act'!$B:$B,0)+8,MATCH(TEXT(DATE(YEAR(MES_CIERRE),ROUNDUP(MONTH(MES_CIERRE)/3,0)*3-0,1),"MMMM"),'ER Act'!$1:$1,0),,,"ER Act"))</f>
        <v>8.7650000000000006</v>
      </c>
      <c r="D115" s="329">
        <f ca="1">IF(C109=0,"N.D.",C115/C109)</f>
        <v>4.6971805662661516E-3</v>
      </c>
      <c r="E115" s="342">
        <f ca="1">INDIRECT(ADDRESS(MATCH($B$106,'ER Ppto'!$B:$B,0)+8,MATCH(TEXT(DATE(YEAR(MES_CIERRE),ROUNDUP(MONTH(MES_CIERRE)/3,0)*3-2,1),"MMMM"),'ER Ppto'!$1:$1,0),,,"ER Ppto"))+INDIRECT(ADDRESS(MATCH($B$106,'ER Ppto'!$B:$B,0)+8,MATCH(TEXT(DATE(YEAR(MES_CIERRE),ROUNDUP(MONTH(MES_CIERRE)/3,0)*3-1,1),"MMMM"),'ER Ppto'!$1:$1,0),,,"ER Ppto"))+INDIRECT(ADDRESS(MATCH($B$106,'ER Ppto'!$B:$B,0)+8,MATCH(TEXT(DATE(YEAR(MES_CIERRE),ROUNDUP(MONTH(MES_CIERRE)/3,0)*3-0,1),"MMMM"),'ER Ppto'!$1:$1,0),,,"ER Ppto"))</f>
        <v>8.5139999999999993</v>
      </c>
      <c r="F115" s="329">
        <f ca="1">IF(E109=0,"N.D.",E115/E109)</f>
        <v>4.1590949059147663E-3</v>
      </c>
      <c r="G115" s="342">
        <f ca="1">INDIRECT(ADDRESS(MATCH($B$106,'ER AA'!$B:$B,0)+8,MATCH(TEXT(DATE(YEAR(MES_CIERRE),ROUNDUP(MONTH(MES_CIERRE)/3,0)*3-2,1),"MMMM"),'ER AA'!$1:$1,0),,,"ER AA"))+INDIRECT(ADDRESS(MATCH($B$106,'ER AA'!$B:$B,0)+8,MATCH(TEXT(DATE(YEAR(MES_CIERRE),ROUNDUP(MONTH(MES_CIERRE)/3,0)*3-1,1),"MMMM"),'ER AA'!$1:$1,0),,,"ER AA"))+INDIRECT(ADDRESS(MATCH($B$106,'ER AA'!$B:$B,0)+8,MATCH(TEXT(DATE(YEAR(MES_CIERRE),ROUNDUP(MONTH(MES_CIERRE)/3,0)*3-0,1),"MMMM"),'ER AA'!$1:$1,0),,,"ER AA"))</f>
        <v>8.5139999999999993</v>
      </c>
      <c r="H115" s="329">
        <f ca="1">IF(G109=0,"N.D.",G115/G109)</f>
        <v>4.3643633381176949E-3</v>
      </c>
      <c r="I115" s="330">
        <f ca="1">C115-E115</f>
        <v>0.25100000000000122</v>
      </c>
      <c r="J115" s="331">
        <f ca="1">IF(E115=0,"N.D.",C115/E115-1)</f>
        <v>2.9480855062250511E-2</v>
      </c>
      <c r="K115" s="342">
        <f ca="1">C115-G115</f>
        <v>0.25100000000000122</v>
      </c>
      <c r="L115" s="329">
        <f ca="1">IF(G115=0,"N.D.",C115/G115-1)</f>
        <v>2.9480855062250511E-2</v>
      </c>
      <c r="N115" s="6"/>
      <c r="O115" s="6"/>
      <c r="P115" s="6"/>
      <c r="Q115" s="6"/>
      <c r="R115" s="6"/>
      <c r="T115" s="6"/>
      <c r="U115" s="6"/>
      <c r="AD115" s="9" t="s">
        <v>43</v>
      </c>
      <c r="AE115" s="342">
        <v>9</v>
      </c>
      <c r="AF115" s="329">
        <f>IF(AE109=0,"N.D.",AE115/AE109)</f>
        <v>4.6874999999999998E-3</v>
      </c>
      <c r="AG115" s="342">
        <f ca="1">((INDIRECT(ADDRESS(MATCH($B$106,BDPP!$B:$B,0)+12,MATCH(TEXT(DATE(YEAR(MES_CIERRE),ROUNDUP(MONTH(MES_CIERRE)/3,0)*3,1),"MMMM"),BDPP!$1:$1,0)+1,,,"BDPP")))+(INDIRECT(ADDRESS(MATCH($B$106,BDPP!$B:$B,0)+12,MATCH(TEXT(DATE(YEAR(MES_CIERRE),ROUNDUP(MONTH(MES_CIERRE)/3,0)*3,1),"MMMM"),BDPP!$1:$1,0)+2,,,"BDPP")))+(INDIRECT(ADDRESS(MATCH($B$106,BDPP!$B:$B,0)+12,MATCH(TEXT(DATE(YEAR(MES_CIERRE),ROUNDUP(MONTH(MES_CIERRE)/3,0)*3,1),"MMMM"),BDPP!$1:$1,0)+3,,,"BDPP"))))/1000</f>
        <v>8.5139999999999993</v>
      </c>
      <c r="AH115" s="329">
        <f ca="1">IF(AG109=0,"N.D.",AG115/AG109)</f>
        <v>4.2115781298693589E-3</v>
      </c>
      <c r="AI115" s="342">
        <f ca="1">INDIRECT(ADDRESS(MATCH($B$106,INDIRECT("'"&amp;IF(MONTH(MES_CIERRE)=12,"ER ACT","ER AA")&amp;"'!$B:$B"),0)+8,MATCH(TEXT(DATE(YEAR(MES_CIERRE),ROUNDUP(MONTH(MES_CIERRE)+1,0),1),"MMMM"),'ER AA'!$1:$1,0),,,IF(MONTH(MES_CIERRE)=12,"ER ACT","ER AA")))+INDIRECT(ADDRESS(MATCH($B$106,INDIRECT("'"&amp;IF(MONTH(MES_CIERRE)=12,"ER ACT","ER AA")&amp;"'!$B:$B"),0)+8,MATCH(TEXT(DATE(YEAR(MES_CIERRE),ROUNDUP(MONTH(MES_CIERRE)+2,0),1),"MMMM"),'ER AA'!$1:$1,0),,,IF(MONTH(MES_CIERRE)=12,"ER ACT","ER AA")))+INDIRECT(ADDRESS(MATCH($B$106,INDIRECT("'"&amp;IF(MONTH(MES_CIERRE)=12,"ER ACT","ER AA")&amp;"'!$B:$B"),0)+8,MATCH(TEXT(DATE(YEAR(MES_CIERRE),ROUNDUP(MONTH(MES_CIERRE)+3,0),1),"MMMM"),'ER AA'!$1:$1,0),,,IF(MONTH(MES_CIERRE)=12,"ER ACT","ER AA")))</f>
        <v>8.5146300000000004</v>
      </c>
      <c r="AJ115" s="329">
        <f ca="1">IF(AI109=0,"N.D.",AI115/AI109)</f>
        <v>4.391343570375638E-3</v>
      </c>
      <c r="AK115" s="330">
        <f ca="1">AE115-AG115</f>
        <v>0.48600000000000065</v>
      </c>
      <c r="AL115" s="331">
        <f ca="1">IF(AG115=0,"N.D.",AE115/AG115-1)</f>
        <v>5.7082452431289621E-2</v>
      </c>
      <c r="AM115" s="342">
        <f ca="1">AE115-AI115</f>
        <v>0.48536999999999964</v>
      </c>
      <c r="AN115" s="329">
        <f ca="1">IF(AI115=0,"N.D.",AE115/AI115-1)</f>
        <v>5.7004238586996658E-2</v>
      </c>
      <c r="AP115" s="6"/>
      <c r="AQ115" s="6"/>
      <c r="AR115" s="6"/>
      <c r="AS115" s="6"/>
      <c r="AT115" s="6"/>
      <c r="AV115" s="6"/>
      <c r="AW115" s="6"/>
    </row>
    <row r="116" spans="1:49" ht="13" hidden="1" customHeight="1" x14ac:dyDescent="0.3">
      <c r="A116" s="316"/>
      <c r="B116" s="9" t="s">
        <v>44</v>
      </c>
      <c r="C116" s="337">
        <f ca="1">+C113+C114+C115</f>
        <v>1193.828</v>
      </c>
      <c r="D116" s="334">
        <f ca="1">IF(C109=0,"N.D.",C116/C109)</f>
        <v>0.63977474969359804</v>
      </c>
      <c r="E116" s="337">
        <f ca="1">+E113+E114+E115</f>
        <v>1289.5819999999997</v>
      </c>
      <c r="F116" s="334">
        <f ca="1">IF(E109=0,"N.D.",E116/E109)</f>
        <v>0.62996170154561604</v>
      </c>
      <c r="G116" s="337">
        <f ca="1">+G113+G114+G115</f>
        <v>1249.0729999999999</v>
      </c>
      <c r="H116" s="334">
        <f ca="1">IF(G109=0,"N.D.",G116/G109)</f>
        <v>0.64028757432848049</v>
      </c>
      <c r="I116" s="335">
        <f ca="1">C116-E116</f>
        <v>-95.753999999999678</v>
      </c>
      <c r="J116" s="336">
        <f ca="1">IF(E116=0,"N.D.",C116/E116-1)</f>
        <v>-7.4251966916411449E-2</v>
      </c>
      <c r="K116" s="337">
        <f ca="1">C116-G116</f>
        <v>-55.244999999999891</v>
      </c>
      <c r="L116" s="334">
        <f ca="1">IF(G116=0,"N.D.",C116/G116-1)</f>
        <v>-4.4228800078137898E-2</v>
      </c>
      <c r="N116" s="39"/>
      <c r="O116" s="39"/>
      <c r="P116" s="39"/>
      <c r="Q116" s="39"/>
      <c r="R116" s="39"/>
      <c r="T116" s="39"/>
      <c r="U116" s="39"/>
      <c r="AD116" s="9" t="s">
        <v>44</v>
      </c>
      <c r="AE116" s="337">
        <f ca="1">+AE113+AE114+AE115</f>
        <v>1247.2727054956208</v>
      </c>
      <c r="AF116" s="334">
        <f ca="1">IF(AE109=0,"N.D.",AE116/AE109)</f>
        <v>0.64962120077896912</v>
      </c>
      <c r="AG116" s="337">
        <f ca="1">+AG113+AG114+AG115</f>
        <v>1282.7370000000001</v>
      </c>
      <c r="AH116" s="334">
        <f ca="1">IF(AG109=0,"N.D.",AG116/AG109)</f>
        <v>0.63452514629718493</v>
      </c>
      <c r="AI116" s="337">
        <f ca="1">+AI113+AI114+AI115</f>
        <v>1242.1506699999998</v>
      </c>
      <c r="AJ116" s="334">
        <f ca="1">IF(AI109=0,"N.D.",AI116/AI109)</f>
        <v>0.64062799653564384</v>
      </c>
      <c r="AK116" s="335">
        <f ca="1">AE116-AG116</f>
        <v>-35.464294504379268</v>
      </c>
      <c r="AL116" s="336">
        <f ca="1">IF(AG116=0,"N.D.",AE116/AG116-1)</f>
        <v>-2.7647362245245333E-2</v>
      </c>
      <c r="AM116" s="337">
        <f ca="1">AE116-AI116</f>
        <v>5.1220354956210485</v>
      </c>
      <c r="AN116" s="334">
        <f ca="1">IF(AI116=0,"N.D.",AE116/AI116-1)</f>
        <v>4.1235219038453508E-3</v>
      </c>
      <c r="AP116" s="39"/>
      <c r="AQ116" s="39"/>
      <c r="AR116" s="39"/>
      <c r="AS116" s="39"/>
      <c r="AT116" s="39"/>
      <c r="AV116" s="39"/>
      <c r="AW116" s="39"/>
    </row>
    <row r="117" spans="1:49" ht="13" x14ac:dyDescent="0.3">
      <c r="A117" s="316"/>
      <c r="B117" s="9" t="s">
        <v>45</v>
      </c>
      <c r="C117" s="337">
        <f ca="1">+C111-C116</f>
        <v>47.340999999999894</v>
      </c>
      <c r="D117" s="334">
        <f ca="1">IF(C109=0,"N.D.",C117/C109)</f>
        <v>2.5370134077308086E-2</v>
      </c>
      <c r="E117" s="337">
        <f ca="1">+E111-E116</f>
        <v>32.832000000000335</v>
      </c>
      <c r="F117" s="334">
        <f ca="1">IF(E109=0,"N.D.",E117/E109)</f>
        <v>1.6038454774605942E-2</v>
      </c>
      <c r="G117" s="337">
        <f ca="1">+G111-G116</f>
        <v>14.605000000000473</v>
      </c>
      <c r="H117" s="334">
        <f ca="1">IF(G109=0,"N.D.",G117/G109)</f>
        <v>7.4866721345091614E-3</v>
      </c>
      <c r="I117" s="335">
        <f ca="1">C117-E117</f>
        <v>14.50899999999956</v>
      </c>
      <c r="J117" s="336">
        <f ca="1">IF(E117=0,"N.D.",C117/E117-1)</f>
        <v>0.44191642300193146</v>
      </c>
      <c r="K117" s="337">
        <f ca="1">C117-G117</f>
        <v>32.735999999999422</v>
      </c>
      <c r="L117" s="334">
        <f ca="1">IF(G117=0,"N.D.",C117/G117-1)</f>
        <v>2.2414241698047492</v>
      </c>
      <c r="N117" s="6"/>
      <c r="O117" s="6"/>
      <c r="P117" s="6"/>
      <c r="Q117" s="6"/>
      <c r="R117" s="6"/>
      <c r="T117" s="6"/>
      <c r="U117" s="6"/>
      <c r="AD117" s="9" t="s">
        <v>45</v>
      </c>
      <c r="AE117" s="337">
        <f ca="1">+AE111-AE116</f>
        <v>29.805471344518992</v>
      </c>
      <c r="AF117" s="334">
        <f ca="1">IF(AE109=0,"N.D.",AE117/AE109)</f>
        <v>1.5523682991936976E-2</v>
      </c>
      <c r="AG117" s="337">
        <f ca="1">+AG111-AG116</f>
        <v>23.196999999999889</v>
      </c>
      <c r="AH117" s="334">
        <f ca="1">IF(AG109=0,"N.D.",AG117/AG109)</f>
        <v>1.1474744876506819E-2</v>
      </c>
      <c r="AI117" s="337">
        <f ca="1">+AI111-AI116</f>
        <v>5.8546670000005179</v>
      </c>
      <c r="AJ117" s="334">
        <f ca="1">IF(AI109=0,"N.D.",AI117/AI109)</f>
        <v>3.0194916616626557E-3</v>
      </c>
      <c r="AK117" s="335">
        <f ca="1">AE117-AG117</f>
        <v>6.6084713445191028</v>
      </c>
      <c r="AL117" s="336">
        <f ca="1">IF(AG117=0,"N.D.",AE117/AG117-1)</f>
        <v>0.28488474132513408</v>
      </c>
      <c r="AM117" s="337">
        <f ca="1">AE117-AI117</f>
        <v>23.950804344518474</v>
      </c>
      <c r="AN117" s="334">
        <f ca="1">IF(AI117=0,"N.D.",AE117/AI117-1)</f>
        <v>4.090890966901509</v>
      </c>
      <c r="AP117" s="6"/>
      <c r="AQ117" s="6"/>
      <c r="AR117" s="6"/>
      <c r="AS117" s="6"/>
      <c r="AT117" s="6"/>
      <c r="AV117" s="6"/>
      <c r="AW117" s="6"/>
    </row>
    <row r="118" spans="1:49" x14ac:dyDescent="0.25">
      <c r="A118" s="316"/>
      <c r="B118" s="322"/>
      <c r="C118" s="338"/>
      <c r="D118" s="339"/>
      <c r="E118" s="338"/>
      <c r="F118" s="339"/>
      <c r="G118" s="338"/>
      <c r="H118" s="339"/>
      <c r="I118" s="338"/>
      <c r="J118" s="340"/>
      <c r="K118" s="338"/>
      <c r="L118" s="339"/>
      <c r="N118" s="6"/>
      <c r="O118" s="6"/>
      <c r="P118" s="6"/>
      <c r="Q118" s="6"/>
      <c r="R118" s="6"/>
      <c r="T118" s="6"/>
      <c r="U118" s="6"/>
      <c r="AD118" s="322"/>
      <c r="AE118" s="338"/>
      <c r="AF118" s="339"/>
      <c r="AG118" s="338"/>
      <c r="AH118" s="339"/>
      <c r="AI118" s="338"/>
      <c r="AJ118" s="339"/>
      <c r="AK118" s="338"/>
      <c r="AL118" s="340"/>
      <c r="AM118" s="338"/>
      <c r="AN118" s="339"/>
      <c r="AP118" s="6"/>
      <c r="AQ118" s="6"/>
      <c r="AR118" s="6"/>
      <c r="AS118" s="6"/>
      <c r="AT118" s="6"/>
      <c r="AV118" s="6"/>
      <c r="AW118" s="6"/>
    </row>
    <row r="119" spans="1:49" x14ac:dyDescent="0.25">
      <c r="A119" s="316"/>
      <c r="B119" s="322"/>
      <c r="C119" s="327"/>
      <c r="D119" s="343"/>
      <c r="E119" s="327"/>
      <c r="F119" s="343"/>
      <c r="G119" s="327"/>
      <c r="H119" s="343"/>
      <c r="I119" s="325"/>
      <c r="J119" s="326"/>
      <c r="K119" s="327"/>
      <c r="L119" s="324"/>
      <c r="N119" s="6"/>
      <c r="O119" s="6"/>
      <c r="P119" s="6"/>
      <c r="Q119" s="6"/>
      <c r="R119" s="6"/>
      <c r="T119" s="6"/>
      <c r="U119" s="6"/>
      <c r="AD119" s="1"/>
      <c r="AE119" s="327"/>
      <c r="AF119" s="343"/>
      <c r="AG119" s="327"/>
      <c r="AH119" s="343"/>
      <c r="AI119" s="327"/>
      <c r="AJ119" s="343"/>
      <c r="AK119" s="325"/>
      <c r="AL119" s="326"/>
      <c r="AM119" s="327"/>
      <c r="AN119" s="324"/>
      <c r="AP119" s="6"/>
      <c r="AQ119" s="6"/>
      <c r="AR119" s="6"/>
      <c r="AS119" s="6"/>
      <c r="AT119" s="6"/>
      <c r="AV119" s="6"/>
      <c r="AW119" s="6"/>
    </row>
    <row r="120" spans="1:49" x14ac:dyDescent="0.25">
      <c r="A120" s="316"/>
      <c r="B120" s="9" t="s">
        <v>52</v>
      </c>
      <c r="C120" s="328">
        <f ca="1">INDIRECT(ADDRESS(MATCH($B$106,'ER Act'!$B:$B,0)+13,MATCH(TEXT(DATE(YEAR(MES_CIERRE),ROUNDUP(MONTH(MES_CIERRE)/3,0)*3-2,1),"MMMM"),'ER Act'!$1:$1,0),,,"ER Act"))+INDIRECT(ADDRESS(MATCH($B$106,'ER Act'!$B:$B,0)+13,MATCH(TEXT(DATE(YEAR(MES_CIERRE),ROUNDUP(MONTH(MES_CIERRE)/3,0)*3-1,1),"MMMM"),'ER Act'!$1:$1,0),,,"ER Act"))+INDIRECT(ADDRESS(MATCH($B$106,'ER Act'!$B:$B,0)+13,MATCH(TEXT(DATE(YEAR(MES_CIERRE),ROUNDUP(MONTH(MES_CIERRE)/3,0)*3-0,1),"MMMM"),'ER Act'!$1:$1,0),,,"ER Act"))</f>
        <v>-11.177000000000001</v>
      </c>
      <c r="D120" s="344">
        <f ca="1">IF(C109=0,"N.D.",C120/C109)</f>
        <v>-5.9897760626533691E-3</v>
      </c>
      <c r="E120" s="328">
        <f ca="1">INDIRECT(ADDRESS(MATCH($B$106,'ER Ppto'!$B:$B,0)+13,MATCH(TEXT(DATE(YEAR(MES_CIERRE),ROUNDUP(MONTH(MES_CIERRE)/3,0)*3-2,1),"MMMM"),'ER Ppto'!$1:$1,0),,,"ER Ppto"))+INDIRECT(ADDRESS(MATCH($B$106,'ER Ppto'!$B:$B,0)+13,MATCH(TEXT(DATE(YEAR(MES_CIERRE),ROUNDUP(MONTH(MES_CIERRE)/3,0)*3-1,1),"MMMM"),'ER Ppto'!$1:$1,0),,,"ER Ppto"))+INDIRECT(ADDRESS(MATCH($B$106,'ER Ppto'!$B:$B,0)+13,MATCH(TEXT(DATE(YEAR(MES_CIERRE),ROUNDUP(MONTH(MES_CIERRE)/3,0)*3-0,1),"MMMM"),'ER Ppto'!$1:$1,0),,,"ER Ppto"))</f>
        <v>-4.5449999999999999</v>
      </c>
      <c r="F120" s="344">
        <f ca="1">IF(E109=0,"N.D.",E120/E109)</f>
        <v>-2.2202356527346269E-3</v>
      </c>
      <c r="G120" s="328">
        <f ca="1">INDIRECT(ADDRESS(MATCH($B$106,'ER AA'!$B:$B,0)+13,MATCH(TEXT(DATE(YEAR(MES_CIERRE),ROUNDUP(MONTH(MES_CIERRE)/3,0)*3-2,1),"MMMM"),'ER AA'!$1:$1,0),,,"ER AA"))+INDIRECT(ADDRESS(MATCH($B$106,'ER AA'!$B:$B,0)+13,MATCH(TEXT(DATE(YEAR(MES_CIERRE),ROUNDUP(MONTH(MES_CIERRE)/3,0)*3-1,1),"MMMM"),'ER AA'!$1:$1,0),,,"ER AA"))+INDIRECT(ADDRESS(MATCH($B$106,'ER AA'!$B:$B,0)+13,MATCH(TEXT(DATE(YEAR(MES_CIERRE),ROUNDUP(MONTH(MES_CIERRE)/3,0)*3-0,1),"MMMM"),'ER AA'!$1:$1,0),,,"ER AA"))</f>
        <v>-4.5679999999999996</v>
      </c>
      <c r="H120" s="344">
        <f ca="1">IF(G109=0,"N.D.",G120/G109)</f>
        <v>-2.3416034447406187E-3</v>
      </c>
      <c r="I120" s="330">
        <f t="shared" ref="I120:I125" ca="1" si="254">C120-E120</f>
        <v>-6.6320000000000014</v>
      </c>
      <c r="J120" s="331">
        <f t="shared" ref="J120:J125" ca="1" si="255">IF(E120=0,"N.D.",C120/E120-1)</f>
        <v>1.4591859185918596</v>
      </c>
      <c r="K120" s="328">
        <f t="shared" ref="K120:K125" ca="1" si="256">C120-G120</f>
        <v>-6.6090000000000018</v>
      </c>
      <c r="L120" s="341">
        <f t="shared" ref="L120:L125" ca="1" si="257">IF(G120=0,"N.D.",C120/G120-1)</f>
        <v>1.4468038528896678</v>
      </c>
      <c r="N120" s="6"/>
      <c r="O120" s="6"/>
      <c r="P120" s="6"/>
      <c r="Q120" s="6"/>
      <c r="R120" s="6"/>
      <c r="T120" s="6"/>
      <c r="U120" s="6"/>
      <c r="AD120" s="9" t="s">
        <v>52</v>
      </c>
      <c r="AE120" s="328">
        <v>-5</v>
      </c>
      <c r="AF120" s="344">
        <f>IF(AE109=0,"N.D.",AE120/AE109)</f>
        <v>-2.6041666666666665E-3</v>
      </c>
      <c r="AG120" s="328">
        <f ca="1">((INDIRECT(ADDRESS(MATCH($B$106,BDPP!$B:$B,0)+16,MATCH(TEXT(DATE(YEAR(MES_CIERRE),ROUNDUP(MONTH(MES_CIERRE)/3,0)*3,1),"MMMM"),BDPP!$1:$1,0)+1,,,"BDPP")))+(INDIRECT(ADDRESS(MATCH($B$106,BDPP!$B:$B,0)+16,MATCH(TEXT(DATE(YEAR(MES_CIERRE),ROUNDUP(MONTH(MES_CIERRE)/3,0)*3,1),"MMMM"),BDPP!$1:$1,0)+2,,,"BDPP")))+(INDIRECT(ADDRESS(MATCH($B$106,BDPP!$B:$B,0)+16,MATCH(TEXT(DATE(YEAR(MES_CIERRE),ROUNDUP(MONTH(MES_CIERRE)/3,0)*3,1),"MMMM"),BDPP!$1:$1,0)+3,,,"BDPP"))))/1000</f>
        <v>-4.5449999999999999</v>
      </c>
      <c r="AH120" s="344">
        <f ca="1">IF(AG109=0,"N.D.",AG120/AG109)</f>
        <v>-2.2482525957547845E-3</v>
      </c>
      <c r="AI120" s="328">
        <f ca="1">INDIRECT(ADDRESS(MATCH($B$106,INDIRECT("'"&amp;IF(MONTH(MES_CIERRE)=12,"ER ACT","ER AA")&amp;"'!$B:$B"),0)+13,MATCH(TEXT(DATE(YEAR(MES_CIERRE),ROUNDUP(MONTH(MES_CIERRE)+1,0),1),"MMMM"),'ER AA'!$1:$1,0),,,IF(MONTH(MES_CIERRE)=12,"ER ACT","ER AA")))+INDIRECT(ADDRESS(MATCH($B$106,INDIRECT("'"&amp;IF(MONTH(MES_CIERRE)=12,"ER ACT","ER AA")&amp;"'!$B:$B"),0)+13,MATCH(TEXT(DATE(YEAR(MES_CIERRE),ROUNDUP(MONTH(MES_CIERRE)+2,0),1),"MMMM"),'ER AA'!$1:$1,0),,,IF(MONTH(MES_CIERRE)=12,"ER ACT","ER AA")))+INDIRECT(ADDRESS(MATCH($B$106,INDIRECT("'"&amp;IF(MONTH(MES_CIERRE)=12,"ER ACT","ER AA")&amp;"'!$B:$B"),0)+13,MATCH(TEXT(DATE(YEAR(MES_CIERRE),ROUNDUP(MONTH(MES_CIERRE)+3,0),1),"MMMM"),'ER AA'!$1:$1,0),,,IF(MONTH(MES_CIERRE)=12,"ER ACT","ER AA")))</f>
        <v>-4.9485000000000001</v>
      </c>
      <c r="AJ120" s="344">
        <f ca="1">IF(AI109=0,"N.D.",AI120/AI109)</f>
        <v>-2.5521442103771793E-3</v>
      </c>
      <c r="AK120" s="330">
        <f t="shared" ref="AK120:AK125" ca="1" si="258">AE120-AG120</f>
        <v>-0.45500000000000007</v>
      </c>
      <c r="AL120" s="331">
        <f t="shared" ref="AL120:AL125" ca="1" si="259">IF(AG120=0,"N.D.",AE120/AG120-1)</f>
        <v>0.10011001100110017</v>
      </c>
      <c r="AM120" s="328">
        <f t="shared" ref="AM120:AM125" ca="1" si="260">AE120-AI120</f>
        <v>-5.1499999999999879E-2</v>
      </c>
      <c r="AN120" s="341">
        <f t="shared" ref="AN120:AN125" ca="1" si="261">IF(AI120=0,"N.D.",AE120/AI120-1)</f>
        <v>1.0407194099221861E-2</v>
      </c>
      <c r="AP120" s="6"/>
      <c r="AQ120" s="6"/>
      <c r="AR120" s="6"/>
      <c r="AS120" s="6"/>
      <c r="AT120" s="6"/>
      <c r="AV120" s="6"/>
      <c r="AW120" s="6"/>
    </row>
    <row r="121" spans="1:49" ht="13" x14ac:dyDescent="0.3">
      <c r="A121" s="316"/>
      <c r="B121" s="9" t="s">
        <v>184</v>
      </c>
      <c r="C121" s="328">
        <f ca="1">INDIRECT(ADDRESS(MATCH($B$106,'ER Act'!$B:$B,0)+14,MATCH(TEXT(DATE(YEAR(MES_CIERRE),ROUNDUP(MONTH(MES_CIERRE)/3,0)*3-2,1),"MMMM"),'ER Act'!$1:$1,0),,,"ER Act"))+INDIRECT(ADDRESS(MATCH($B$106,'ER Act'!$B:$B,0)+14,MATCH(TEXT(DATE(YEAR(MES_CIERRE),ROUNDUP(MONTH(MES_CIERRE)/3,0)*3-1,1),"MMMM"),'ER Act'!$1:$1,0),,,"ER Act"))+INDIRECT(ADDRESS(MATCH($B$106,'ER Act'!$B:$B,0)+14,MATCH(TEXT(DATE(YEAR(MES_CIERRE),ROUNDUP(MONTH(MES_CIERRE)/3,0)*3-0,1),"MMMM"),'ER Act'!$1:$1,0),,,"ER Act"))</f>
        <v>57.543000000000006</v>
      </c>
      <c r="D121" s="344">
        <f ca="1">IF(C109=0,"N.D.",C121/C109)</f>
        <v>3.0837405741546284E-2</v>
      </c>
      <c r="E121" s="328">
        <f ca="1">INDIRECT(ADDRESS(MATCH($B$106,'ER Ppto'!$B:$B,0)+14,MATCH(TEXT(DATE(YEAR(MES_CIERRE),ROUNDUP(MONTH(MES_CIERRE)/3,0)*3-2,1),"MMMM"),'ER Ppto'!$1:$1,0),,,"ER Ppto"))+INDIRECT(ADDRESS(MATCH($B$106,'ER Ppto'!$B:$B,0)+14,MATCH(TEXT(DATE(YEAR(MES_CIERRE),ROUNDUP(MONTH(MES_CIERRE)/3,0)*3-1,1),"MMMM"),'ER Ppto'!$1:$1,0),,,"ER Ppto"))+INDIRECT(ADDRESS(MATCH($B$106,'ER Ppto'!$B:$B,0)+14,MATCH(TEXT(DATE(YEAR(MES_CIERRE),ROUNDUP(MONTH(MES_CIERRE)/3,0)*3-0,1),"MMMM"),'ER Ppto'!$1:$1,0),,,"ER Ppto"))</f>
        <v>59.683999999999997</v>
      </c>
      <c r="F121" s="344">
        <f ca="1">IF(E109=0,"N.D.",E121/E109)</f>
        <v>2.915567540105907E-2</v>
      </c>
      <c r="G121" s="328">
        <f ca="1">INDIRECT(ADDRESS(MATCH($B$106,'ER AA'!$B:$B,0)+14,MATCH(TEXT(DATE(YEAR(MES_CIERRE),ROUNDUP(MONTH(MES_CIERRE)/3,0)*3-2,1),"MMMM"),'ER AA'!$1:$1,0),,,"ER AA"))+INDIRECT(ADDRESS(MATCH($B$106,'ER AA'!$B:$B,0)+14,MATCH(TEXT(DATE(YEAR(MES_CIERRE),ROUNDUP(MONTH(MES_CIERRE)/3,0)*3-1,1),"MMMM"),'ER AA'!$1:$1,0),,,"ER AA"))+INDIRECT(ADDRESS(MATCH($B$106,'ER AA'!$B:$B,0)+14,MATCH(TEXT(DATE(YEAR(MES_CIERRE),ROUNDUP(MONTH(MES_CIERRE)/3,0)*3-0,1),"MMMM"),'ER AA'!$1:$1,0),,,"ER AA"))</f>
        <v>55.787000000000006</v>
      </c>
      <c r="H121" s="344">
        <f ca="1">IF(G109=0,"N.D.",G121/G109)</f>
        <v>2.8596985851958173E-2</v>
      </c>
      <c r="I121" s="330">
        <f t="shared" ca="1" si="254"/>
        <v>-2.1409999999999911</v>
      </c>
      <c r="J121" s="331">
        <f t="shared" ca="1" si="255"/>
        <v>-3.5872260572347603E-2</v>
      </c>
      <c r="K121" s="328">
        <f t="shared" ca="1" si="256"/>
        <v>1.7560000000000002</v>
      </c>
      <c r="L121" s="341">
        <f t="shared" ca="1" si="257"/>
        <v>3.1476867370534345E-2</v>
      </c>
      <c r="N121" s="39"/>
      <c r="O121" s="39"/>
      <c r="P121" s="39"/>
      <c r="Q121" s="39"/>
      <c r="R121" s="39"/>
      <c r="T121" s="39"/>
      <c r="U121" s="39"/>
      <c r="AD121" s="9" t="s">
        <v>184</v>
      </c>
      <c r="AE121" s="328">
        <v>60</v>
      </c>
      <c r="AF121" s="344">
        <f>IF(AE109=0,"N.D.",AE121/AE109)</f>
        <v>3.125E-2</v>
      </c>
      <c r="AG121" s="328">
        <f ca="1">((INDIRECT(ADDRESS(MATCH($B$106,BDPP!$B:$B,0)+17,MATCH(TEXT(DATE(YEAR(MES_CIERRE),ROUNDUP(MONTH(MES_CIERRE)/3,0)*3,1),"MMMM"),BDPP!$1:$1,0)+1,,,"BDPP")))+(INDIRECT(ADDRESS(MATCH($B$106,BDPP!$B:$B,0)+17,MATCH(TEXT(DATE(YEAR(MES_CIERRE),ROUNDUP(MONTH(MES_CIERRE)/3,0)*3,1),"MMMM"),BDPP!$1:$1,0)+2,,,"BDPP")))+(INDIRECT(ADDRESS(MATCH($B$106,BDPP!$B:$B,0)+17,MATCH(TEXT(DATE(YEAR(MES_CIERRE),ROUNDUP(MONTH(MES_CIERRE)/3,0)*3,1),"MMMM"),BDPP!$1:$1,0)+3,,,"BDPP"))))/1000</f>
        <v>59</v>
      </c>
      <c r="AH121" s="344">
        <f ca="1">IF(AG109=0,"N.D.",AG121/AG109)</f>
        <v>2.9185237216618767E-2</v>
      </c>
      <c r="AI121" s="328">
        <f ca="1">INDIRECT(ADDRESS(MATCH($B$106,INDIRECT("'"&amp;IF(MONTH(MES_CIERRE)=12,"ER ACT","ER AA")&amp;"'!$B:$B"),0)+14,MATCH(TEXT(DATE(YEAR(MES_CIERRE),ROUNDUP(MONTH(MES_CIERRE)+1,0),1),"MMMM"),'ER AA'!$1:$1,0),,,IF(MONTH(MES_CIERRE)=12,"ER ACT","ER AA")))+INDIRECT(ADDRESS(MATCH($B$106,INDIRECT("'"&amp;IF(MONTH(MES_CIERRE)=12,"ER ACT","ER AA")&amp;"'!$B:$B"),0)+14,MATCH(TEXT(DATE(YEAR(MES_CIERRE),ROUNDUP(MONTH(MES_CIERRE)+2,0),1),"MMMM"),'ER AA'!$1:$1,0),,,IF(MONTH(MES_CIERRE)=12,"ER ACT","ER AA")))+INDIRECT(ADDRESS(MATCH($B$106,INDIRECT("'"&amp;IF(MONTH(MES_CIERRE)=12,"ER ACT","ER AA")&amp;"'!$B:$B"),0)+14,MATCH(TEXT(DATE(YEAR(MES_CIERRE),ROUNDUP(MONTH(MES_CIERRE)+3,0),1),"MMMM"),'ER AA'!$1:$1,0),,,IF(MONTH(MES_CIERRE)=12,"ER ACT","ER AA")))</f>
        <v>55.0334</v>
      </c>
      <c r="AJ121" s="344">
        <f ca="1">IF(AI109=0,"N.D.",AI121/AI109)</f>
        <v>2.8382979324516815E-2</v>
      </c>
      <c r="AK121" s="330">
        <f t="shared" ca="1" si="258"/>
        <v>1</v>
      </c>
      <c r="AL121" s="331">
        <f t="shared" ca="1" si="259"/>
        <v>1.6949152542372836E-2</v>
      </c>
      <c r="AM121" s="328">
        <f t="shared" ca="1" si="260"/>
        <v>4.9665999999999997</v>
      </c>
      <c r="AN121" s="341">
        <f t="shared" ca="1" si="261"/>
        <v>9.0247013631721718E-2</v>
      </c>
      <c r="AP121" s="39"/>
      <c r="AQ121" s="39"/>
      <c r="AR121" s="39"/>
      <c r="AS121" s="39"/>
      <c r="AT121" s="39"/>
      <c r="AV121" s="39"/>
      <c r="AW121" s="39"/>
    </row>
    <row r="122" spans="1:49" ht="13" x14ac:dyDescent="0.3">
      <c r="A122" s="316"/>
      <c r="B122" s="9" t="s">
        <v>47</v>
      </c>
      <c r="C122" s="328">
        <f ca="1">INDIRECT(ADDRESS(MATCH($B$106,'ER Act'!$B:$B,0)+15,MATCH(TEXT(DATE(YEAR(MES_CIERRE),ROUNDUP(MONTH(MES_CIERRE)/3,0)*3-2,1),"MMMM"),'ER Act'!$1:$1,0),,,"ER Act"))+INDIRECT(ADDRESS(MATCH($B$106,'ER Act'!$B:$B,0)+15,MATCH(TEXT(DATE(YEAR(MES_CIERRE),ROUNDUP(MONTH(MES_CIERRE)/3,0)*3-1,1),"MMMM"),'ER Act'!$1:$1,0),,,"ER Act"))+INDIRECT(ADDRESS(MATCH($B$106,'ER Act'!$B:$B,0)+15,MATCH(TEXT(DATE(YEAR(MES_CIERRE),ROUNDUP(MONTH(MES_CIERRE)/3,0)*3-0,1),"MMMM"),'ER Act'!$1:$1,0),,,"ER Act"))</f>
        <v>-30</v>
      </c>
      <c r="D122" s="344">
        <f ca="1">IF(C109=0,"N.D.",C122/C109)</f>
        <v>-1.6077058412776332E-2</v>
      </c>
      <c r="E122" s="328">
        <f ca="1">INDIRECT(ADDRESS(MATCH($B$106,'ER Ppto'!$B:$B,0)+15,MATCH(TEXT(DATE(YEAR(MES_CIERRE),ROUNDUP(MONTH(MES_CIERRE)/3,0)*3-2,1),"MMMM"),'ER Ppto'!$1:$1,0),,,"ER Ppto"))+INDIRECT(ADDRESS(MATCH($B$106,'ER Ppto'!$B:$B,0)+15,MATCH(TEXT(DATE(YEAR(MES_CIERRE),ROUNDUP(MONTH(MES_CIERRE)/3,0)*3-1,1),"MMMM"),'ER Ppto'!$1:$1,0),,,"ER Ppto"))+INDIRECT(ADDRESS(MATCH($B$106,'ER Ppto'!$B:$B,0)+15,MATCH(TEXT(DATE(YEAR(MES_CIERRE),ROUNDUP(MONTH(MES_CIERRE)/3,0)*3-0,1),"MMMM"),'ER Ppto'!$1:$1,0),,,"ER Ppto"))</f>
        <v>0</v>
      </c>
      <c r="F122" s="344">
        <f ca="1">IF(E109=0,"N.D.",E122/E109)</f>
        <v>0</v>
      </c>
      <c r="G122" s="328">
        <f ca="1">INDIRECT(ADDRESS(MATCH($B$106,'ER AA'!$B:$B,0)+15,MATCH(TEXT(DATE(YEAR(MES_CIERRE),ROUNDUP(MONTH(MES_CIERRE)/3,0)*3-2,1),"MMMM"),'ER AA'!$1:$1,0),,,"ER AA"))+INDIRECT(ADDRESS(MATCH($B$106,'ER AA'!$B:$B,0)+15,MATCH(TEXT(DATE(YEAR(MES_CIERRE),ROUNDUP(MONTH(MES_CIERRE)/3,0)*3-1,1),"MMMM"),'ER AA'!$1:$1,0),,,"ER AA"))+INDIRECT(ADDRESS(MATCH($B$106,'ER AA'!$B:$B,0)+15,MATCH(TEXT(DATE(YEAR(MES_CIERRE),ROUNDUP(MONTH(MES_CIERRE)/3,0)*3-0,1),"MMMM"),'ER AA'!$1:$1,0),,,"ER AA"))</f>
        <v>0</v>
      </c>
      <c r="H122" s="344">
        <f ca="1">IF(G109=0,"N.D.",G122/G109)</f>
        <v>0</v>
      </c>
      <c r="I122" s="330">
        <f t="shared" ca="1" si="254"/>
        <v>-30</v>
      </c>
      <c r="J122" s="331" t="str">
        <f t="shared" ca="1" si="255"/>
        <v>N.D.</v>
      </c>
      <c r="K122" s="328">
        <f t="shared" ca="1" si="256"/>
        <v>-30</v>
      </c>
      <c r="L122" s="341" t="str">
        <f t="shared" ca="1" si="257"/>
        <v>N.D.</v>
      </c>
      <c r="N122" s="39"/>
      <c r="O122" s="39"/>
      <c r="P122" s="39"/>
      <c r="Q122" s="39"/>
      <c r="R122" s="39"/>
      <c r="T122" s="39"/>
      <c r="U122" s="39"/>
      <c r="AD122" s="9" t="s">
        <v>47</v>
      </c>
      <c r="AE122" s="328">
        <v>0</v>
      </c>
      <c r="AF122" s="344">
        <f>IF(AE109=0,"N.D.",AE122/AE109)</f>
        <v>0</v>
      </c>
      <c r="AG122" s="328">
        <f ca="1">((INDIRECT(ADDRESS(MATCH($B$106,BDPP!$B:$B,0)+18,MATCH(TEXT(DATE(YEAR(MES_CIERRE),ROUNDUP(MONTH(MES_CIERRE)/3,0)*3,1),"MMMM"),BDPP!$1:$1,0)+1,,,"BDPP")))+(INDIRECT(ADDRESS(MATCH($B$106,BDPP!$B:$B,0)+18,MATCH(TEXT(DATE(YEAR(MES_CIERRE),ROUNDUP(MONTH(MES_CIERRE)/3,0)*3,1),"MMMM"),BDPP!$1:$1,0)+2,,,"BDPP")))+(INDIRECT(ADDRESS(MATCH($B$106,BDPP!$B:$B,0)+18,MATCH(TEXT(DATE(YEAR(MES_CIERRE),ROUNDUP(MONTH(MES_CIERRE)/3,0)*3,1),"MMMM"),BDPP!$1:$1,0)+3,,,"BDPP"))))/1000</f>
        <v>0</v>
      </c>
      <c r="AH122" s="344">
        <f ca="1">IF(AG109=0,"N.D.",AG122/AG109)</f>
        <v>0</v>
      </c>
      <c r="AI122" s="328">
        <f ca="1">INDIRECT(ADDRESS(MATCH($B$106,INDIRECT("'"&amp;IF(MONTH(MES_CIERRE)=12,"ER ACT","ER AA")&amp;"'!$B:$B"),0)+15,MATCH(TEXT(DATE(YEAR(MES_CIERRE),ROUNDUP(MONTH(MES_CIERRE)+1,0),1),"MMMM"),'ER AA'!$1:$1,0),,,IF(MONTH(MES_CIERRE)=12,"ER ACT","ER AA")))+INDIRECT(ADDRESS(MATCH($B$106,INDIRECT("'"&amp;IF(MONTH(MES_CIERRE)=12,"ER ACT","ER AA")&amp;"'!$B:$B"),0)+15,MATCH(TEXT(DATE(YEAR(MES_CIERRE),ROUNDUP(MONTH(MES_CIERRE)+2,0),1),"MMMM"),'ER AA'!$1:$1,0),,,IF(MONTH(MES_CIERRE)=12,"ER ACT","ER AA")))+INDIRECT(ADDRESS(MATCH($B$106,INDIRECT("'"&amp;IF(MONTH(MES_CIERRE)=12,"ER ACT","ER AA")&amp;"'!$B:$B"),0)+15,MATCH(TEXT(DATE(YEAR(MES_CIERRE),ROUNDUP(MONTH(MES_CIERRE)+3,0),1),"MMMM"),'ER AA'!$1:$1,0),,,IF(MONTH(MES_CIERRE)=12,"ER ACT","ER AA")))</f>
        <v>0</v>
      </c>
      <c r="AJ122" s="344">
        <f ca="1">IF(AI109=0,"N.D.",AI122/AI109)</f>
        <v>0</v>
      </c>
      <c r="AK122" s="330">
        <f t="shared" ca="1" si="258"/>
        <v>0</v>
      </c>
      <c r="AL122" s="331" t="str">
        <f t="shared" ca="1" si="259"/>
        <v>N.D.</v>
      </c>
      <c r="AM122" s="328">
        <f t="shared" ca="1" si="260"/>
        <v>0</v>
      </c>
      <c r="AN122" s="341" t="str">
        <f t="shared" ca="1" si="261"/>
        <v>N.D.</v>
      </c>
      <c r="AP122" s="39"/>
      <c r="AQ122" s="39"/>
      <c r="AR122" s="39"/>
      <c r="AS122" s="39"/>
      <c r="AT122" s="39"/>
      <c r="AV122" s="39"/>
      <c r="AW122" s="39"/>
    </row>
    <row r="123" spans="1:49" x14ac:dyDescent="0.25">
      <c r="A123" s="316"/>
      <c r="B123" s="322"/>
      <c r="C123" s="342"/>
      <c r="D123" s="345"/>
      <c r="E123" s="342"/>
      <c r="F123" s="345"/>
      <c r="G123" s="342"/>
      <c r="H123" s="345"/>
      <c r="I123" s="330"/>
      <c r="J123" s="331"/>
      <c r="K123" s="342"/>
      <c r="L123" s="329"/>
      <c r="N123" s="6"/>
      <c r="O123" s="6"/>
      <c r="P123" s="6"/>
      <c r="Q123" s="6"/>
      <c r="R123" s="6"/>
      <c r="T123" s="6"/>
      <c r="U123" s="6"/>
      <c r="AD123" s="9"/>
      <c r="AE123" s="342"/>
      <c r="AF123" s="345"/>
      <c r="AG123" s="342"/>
      <c r="AH123" s="345"/>
      <c r="AI123" s="342"/>
      <c r="AJ123" s="345"/>
      <c r="AK123" s="330"/>
      <c r="AL123" s="331"/>
      <c r="AM123" s="342"/>
      <c r="AN123" s="329"/>
      <c r="AP123" s="6"/>
      <c r="AQ123" s="6"/>
      <c r="AR123" s="6"/>
      <c r="AS123" s="6"/>
      <c r="AT123" s="6"/>
      <c r="AV123" s="6"/>
      <c r="AW123" s="6"/>
    </row>
    <row r="124" spans="1:49" ht="13" x14ac:dyDescent="0.3">
      <c r="B124" s="9" t="s">
        <v>48</v>
      </c>
      <c r="C124" s="335">
        <f ca="1">+C119+C120+C121-C122-C123</f>
        <v>76.366000000000014</v>
      </c>
      <c r="D124" s="334">
        <f ca="1">IF(C109=0,"N.D.",C124/C109)</f>
        <v>4.0924688091669249E-2</v>
      </c>
      <c r="E124" s="335">
        <f ca="1">+E119+E120+E121-E122-E123</f>
        <v>55.138999999999996</v>
      </c>
      <c r="F124" s="334">
        <f ca="1">IF(E109=0,"N.D.",E124/E109)</f>
        <v>2.6935439748324443E-2</v>
      </c>
      <c r="G124" s="335">
        <f ca="1">+G119+G120+G121-G122-G123</f>
        <v>51.219000000000008</v>
      </c>
      <c r="H124" s="334">
        <f ca="1">IF(G109=0,"N.D.",G124/G109)</f>
        <v>2.6255382407217552E-2</v>
      </c>
      <c r="I124" s="335">
        <f t="shared" ca="1" si="254"/>
        <v>21.227000000000018</v>
      </c>
      <c r="J124" s="336">
        <f t="shared" ca="1" si="255"/>
        <v>0.38497252398483872</v>
      </c>
      <c r="K124" s="337">
        <f t="shared" ca="1" si="256"/>
        <v>25.147000000000006</v>
      </c>
      <c r="L124" s="334">
        <f t="shared" ca="1" si="257"/>
        <v>0.49097014779671611</v>
      </c>
      <c r="N124" s="6"/>
      <c r="O124" s="6"/>
      <c r="P124" s="6"/>
      <c r="Q124" s="6"/>
      <c r="R124" s="6"/>
      <c r="T124" s="6"/>
      <c r="U124" s="6"/>
      <c r="AD124" s="9" t="s">
        <v>48</v>
      </c>
      <c r="AE124" s="335">
        <f>+AE119+AE120+AE121-AE122-AE123</f>
        <v>55</v>
      </c>
      <c r="AF124" s="334">
        <f>IF(AE109=0,"N.D.",AE124/AE109)</f>
        <v>2.8645833333333332E-2</v>
      </c>
      <c r="AG124" s="335">
        <f ca="1">+AG119+AG120+AG121-AG122-AG123</f>
        <v>54.454999999999998</v>
      </c>
      <c r="AH124" s="334">
        <f ca="1">IF(AG109=0,"N.D.",AG124/AG109)</f>
        <v>2.6936984620863982E-2</v>
      </c>
      <c r="AI124" s="335">
        <f ca="1">+AI119+AI120+AI121-AI122-AI123</f>
        <v>50.084899999999998</v>
      </c>
      <c r="AJ124" s="334">
        <f ca="1">IF(AI109=0,"N.D.",AI124/AI109)</f>
        <v>2.5830835114139635E-2</v>
      </c>
      <c r="AK124" s="335">
        <f t="shared" ca="1" si="258"/>
        <v>0.54500000000000171</v>
      </c>
      <c r="AL124" s="336">
        <f t="shared" ca="1" si="259"/>
        <v>1.0008263703975784E-2</v>
      </c>
      <c r="AM124" s="337">
        <f t="shared" ca="1" si="260"/>
        <v>4.9151000000000025</v>
      </c>
      <c r="AN124" s="334">
        <f t="shared" ca="1" si="261"/>
        <v>9.8135366148280223E-2</v>
      </c>
      <c r="AP124" s="6"/>
      <c r="AQ124" s="6"/>
      <c r="AR124" s="6"/>
      <c r="AS124" s="6"/>
      <c r="AT124" s="6"/>
      <c r="AV124" s="6"/>
      <c r="AW124" s="6"/>
    </row>
    <row r="125" spans="1:49" ht="13" x14ac:dyDescent="0.3">
      <c r="B125" s="332" t="s">
        <v>49</v>
      </c>
      <c r="C125" s="337">
        <f ca="1">+C117-C124</f>
        <v>-29.025000000000119</v>
      </c>
      <c r="D125" s="334">
        <f ca="1">IF(C109=0,"N.D.",C125/C109)</f>
        <v>-1.5554554014361165E-2</v>
      </c>
      <c r="E125" s="337">
        <f ca="1">+E117-E124</f>
        <v>-22.306999999999661</v>
      </c>
      <c r="F125" s="334">
        <f ca="1">IF(E109=0,"N.D.",E125/E109)</f>
        <v>-1.0896984973718498E-2</v>
      </c>
      <c r="G125" s="337">
        <f ca="1">+G117-G124</f>
        <v>-36.613999999999535</v>
      </c>
      <c r="H125" s="334">
        <f ca="1">IF(G109=0,"N.D.",G125/G109)</f>
        <v>-1.8768710272708392E-2</v>
      </c>
      <c r="I125" s="335">
        <f t="shared" ca="1" si="254"/>
        <v>-6.7180000000004583</v>
      </c>
      <c r="J125" s="336">
        <f t="shared" ca="1" si="255"/>
        <v>0.3011610705160066</v>
      </c>
      <c r="K125" s="337">
        <f t="shared" ca="1" si="256"/>
        <v>7.588999999999416</v>
      </c>
      <c r="L125" s="334">
        <f t="shared" ca="1" si="257"/>
        <v>-0.20727044299993203</v>
      </c>
      <c r="N125" s="6"/>
      <c r="O125" s="6"/>
      <c r="P125" s="6"/>
      <c r="Q125" s="6"/>
      <c r="R125" s="6"/>
      <c r="T125" s="6"/>
      <c r="U125" s="6"/>
      <c r="AD125" s="332" t="s">
        <v>49</v>
      </c>
      <c r="AE125" s="337">
        <f ca="1">+AE117-AE124</f>
        <v>-25.194528655481008</v>
      </c>
      <c r="AF125" s="334">
        <f ca="1">IF(AE109=0,"N.D.",AE125/AE109)</f>
        <v>-1.3122150341396358E-2</v>
      </c>
      <c r="AG125" s="337">
        <f ca="1">+AG117-AG124</f>
        <v>-31.258000000000109</v>
      </c>
      <c r="AH125" s="334">
        <f ca="1">IF(AG109=0,"N.D.",AG125/AG109)</f>
        <v>-1.5462239744357164E-2</v>
      </c>
      <c r="AI125" s="337">
        <f ca="1">+AI117-AI124</f>
        <v>-44.23023299999948</v>
      </c>
      <c r="AJ125" s="334">
        <f ca="1">IF(AI109=0,"N.D.",AI125/AI109)</f>
        <v>-2.2811343452476981E-2</v>
      </c>
      <c r="AK125" s="335">
        <f t="shared" ca="1" si="258"/>
        <v>6.0634713445191011</v>
      </c>
      <c r="AL125" s="336">
        <f t="shared" ca="1" si="259"/>
        <v>-0.19398142378012284</v>
      </c>
      <c r="AM125" s="337">
        <f t="shared" ca="1" si="260"/>
        <v>19.035704344518471</v>
      </c>
      <c r="AN125" s="334">
        <f t="shared" ca="1" si="261"/>
        <v>-0.43037766372423802</v>
      </c>
      <c r="AP125" s="6"/>
      <c r="AQ125" s="6"/>
      <c r="AR125" s="6"/>
      <c r="AS125" s="6"/>
      <c r="AT125" s="6"/>
      <c r="AV125" s="6"/>
      <c r="AW125" s="6"/>
    </row>
    <row r="126" spans="1:49" x14ac:dyDescent="0.25">
      <c r="B126" s="322"/>
      <c r="C126" s="338"/>
      <c r="D126" s="339"/>
      <c r="E126" s="338"/>
      <c r="F126" s="339"/>
      <c r="G126" s="338"/>
      <c r="H126" s="339"/>
      <c r="I126" s="338"/>
      <c r="J126" s="340"/>
      <c r="K126" s="338"/>
      <c r="L126" s="339"/>
      <c r="N126" s="6"/>
      <c r="O126" s="6"/>
      <c r="P126" s="6"/>
      <c r="Q126" s="6"/>
      <c r="R126" s="6"/>
      <c r="T126" s="6"/>
      <c r="U126" s="6"/>
      <c r="AD126" s="322"/>
      <c r="AE126" s="338"/>
      <c r="AF126" s="339"/>
      <c r="AG126" s="338"/>
      <c r="AH126" s="339"/>
      <c r="AI126" s="338"/>
      <c r="AJ126" s="339"/>
      <c r="AK126" s="338"/>
      <c r="AL126" s="340"/>
      <c r="AM126" s="338"/>
      <c r="AN126" s="339"/>
      <c r="AP126" s="6"/>
      <c r="AQ126" s="6"/>
      <c r="AR126" s="6"/>
      <c r="AS126" s="6"/>
      <c r="AT126" s="6"/>
      <c r="AV126" s="6"/>
      <c r="AW126" s="6"/>
    </row>
    <row r="127" spans="1:49" x14ac:dyDescent="0.25">
      <c r="A127" s="317"/>
      <c r="B127" s="9" t="s">
        <v>213</v>
      </c>
      <c r="C127" s="327">
        <f ca="1">INDIRECT(ADDRESS(MATCH($B$106,'ER Act'!$B:$B,0)+20,MATCH(TEXT(DATE(YEAR(MES_CIERRE),ROUNDUP(MONTH(MES_CIERRE)/3,0)*3-2,1),"MMMM"),'ER Act'!$1:$1,0),,,"ER Act"))+INDIRECT(ADDRESS(MATCH($B$106,'ER Act'!$B:$B,0)+20,MATCH(TEXT(DATE(YEAR(MES_CIERRE),ROUNDUP(MONTH(MES_CIERRE)/3,0)*3-1,1),"MMMM"),'ER Act'!$1:$1,0),,,"ER Act"))+INDIRECT(ADDRESS(MATCH($B$106,'ER Act'!$B:$B,0)+20,MATCH(TEXT(DATE(YEAR(MES_CIERRE),ROUNDUP(MONTH(MES_CIERRE)/3,0)*3-0,1),"MMMM"),'ER Act'!$1:$1,0),,,"ER Act"))</f>
        <v>0</v>
      </c>
      <c r="D127" s="343">
        <f ca="1">IF(C109=0,"N.D.",C127/C109)</f>
        <v>0</v>
      </c>
      <c r="E127" s="327">
        <f ca="1">INDIRECT(ADDRESS(MATCH($B$106,'ER Ppto'!$B:$B,0)+20,MATCH(TEXT(DATE(YEAR(MES_CIERRE),ROUNDUP(MONTH(MES_CIERRE)/3,0)*3-2,1),"MMMM"),'ER Ppto'!$1:$1,0),,,"ER Ppto"))+INDIRECT(ADDRESS(MATCH($B$106,'ER Ppto'!$B:$B,0)+20,MATCH(TEXT(DATE(YEAR(MES_CIERRE),ROUNDUP(MONTH(MES_CIERRE)/3,0)*3-1,1),"MMMM"),'ER Ppto'!$1:$1,0),,,"ER Ppto"))+INDIRECT(ADDRESS(MATCH($B$106,'ER Ppto'!$B:$B,0)+20,MATCH(TEXT(DATE(YEAR(MES_CIERRE),ROUNDUP(MONTH(MES_CIERRE)/3,0)*3-0,1),"MMMM"),'ER Ppto'!$1:$1,0),,,"ER Ppto"))</f>
        <v>0</v>
      </c>
      <c r="F127" s="343">
        <f ca="1">IF(E109=0,"N.D.",E127/E109)</f>
        <v>0</v>
      </c>
      <c r="G127" s="327">
        <f ca="1">INDIRECT(ADDRESS(MATCH($B$106,'ER AA'!$B:$B,0)+20,MATCH(TEXT(DATE(YEAR(MES_CIERRE),ROUNDUP(MONTH(MES_CIERRE)/3,0)*3-2,1),"MMMM"),'ER AA'!$1:$1,0),,,"ER AA"))+INDIRECT(ADDRESS(MATCH($B$106,'ER AA'!$B:$B,0)+20,MATCH(TEXT(DATE(YEAR(MES_CIERRE),ROUNDUP(MONTH(MES_CIERRE)/3,0)*3-1,1),"MMMM"),'ER AA'!$1:$1,0),,,"ER AA"))+INDIRECT(ADDRESS(MATCH($B$106,'ER AA'!$B:$B,0)+20,MATCH(TEXT(DATE(YEAR(MES_CIERRE),ROUNDUP(MONTH(MES_CIERRE)/3,0)*3-0,1),"MMMM"),'ER AA'!$1:$1,0),,,"ER AA"))</f>
        <v>0</v>
      </c>
      <c r="H127" s="343">
        <f ca="1">IF(G109=0,"N.D.",G127/G109)</f>
        <v>0</v>
      </c>
      <c r="I127" s="325">
        <f t="shared" ref="I127:I135" ca="1" si="262">C127-E127</f>
        <v>0</v>
      </c>
      <c r="J127" s="326" t="str">
        <f t="shared" ref="J127:J135" ca="1" si="263">IF(E127=0,"N.D.",C127/E127-1)</f>
        <v>N.D.</v>
      </c>
      <c r="K127" s="327">
        <f t="shared" ref="K127:K135" ca="1" si="264">C127-G127</f>
        <v>0</v>
      </c>
      <c r="L127" s="324" t="str">
        <f t="shared" ref="L127:L135" ca="1" si="265">IF(G127=0,"N.D.",C127/G127-1)</f>
        <v>N.D.</v>
      </c>
      <c r="N127" s="6"/>
      <c r="O127" s="6"/>
      <c r="P127" s="6"/>
      <c r="Q127" s="6"/>
      <c r="R127" s="6"/>
      <c r="T127" s="6"/>
      <c r="U127" s="6"/>
      <c r="AD127" s="9" t="s">
        <v>213</v>
      </c>
      <c r="AE127" s="327">
        <v>0</v>
      </c>
      <c r="AF127" s="343">
        <f>IF(AE109=0,"N.D.",AE127/AE109)</f>
        <v>0</v>
      </c>
      <c r="AG127" s="327">
        <f ca="1">((INDIRECT(ADDRESS(MATCH($B$106,BDPP!$B:$B,0)+22,MATCH(TEXT(DATE(YEAR(MES_CIERRE),ROUNDUP(MONTH(MES_CIERRE)/3,0)*3,1),"MMMM"),BDPP!$1:$1,0)+1,,,"BDPP")))+(INDIRECT(ADDRESS(MATCH($B$106,BDPP!$B:$B,0)+22,MATCH(TEXT(DATE(YEAR(MES_CIERRE),ROUNDUP(MONTH(MES_CIERRE)/3,0)*3,1),"MMMM"),BDPP!$1:$1,0)+2,,,"BDPP")))+(INDIRECT(ADDRESS(MATCH($B$106,BDPP!$B:$B,0)+22,MATCH(TEXT(DATE(YEAR(MES_CIERRE),ROUNDUP(MONTH(MES_CIERRE)/3,0)*3,1),"MMMM"),BDPP!$1:$1,0)+3,,,"BDPP"))))/1000</f>
        <v>0</v>
      </c>
      <c r="AH127" s="343">
        <f ca="1">IF(AG109=0,"N.D.",AG127/AG109)</f>
        <v>0</v>
      </c>
      <c r="AI127" s="327">
        <f ca="1">INDIRECT(ADDRESS(MATCH($B$106,INDIRECT("'"&amp;IF(MONTH(MES_CIERRE)=12,"ER ACT","ER AA")&amp;"'!$B:$B"),0)+20,MATCH(TEXT(DATE(YEAR(MES_CIERRE),ROUNDUP(MONTH(MES_CIERRE)+1,0),1),"MMMM"),'ER AA'!$1:$1,0),,,IF(MONTH(MES_CIERRE)=12,"ER ACT","ER AA")))+INDIRECT(ADDRESS(MATCH($B$106,INDIRECT("'"&amp;IF(MONTH(MES_CIERRE)=12,"ER ACT","ER AA")&amp;"'!$B:$B"),0)+20,MATCH(TEXT(DATE(YEAR(MES_CIERRE),ROUNDUP(MONTH(MES_CIERRE)+2,0),1),"MMMM"),'ER AA'!$1:$1,0),,,IF(MONTH(MES_CIERRE)=12,"ER ACT","ER AA")))+INDIRECT(ADDRESS(MATCH($B$106,INDIRECT("'"&amp;IF(MONTH(MES_CIERRE)=12,"ER ACT","ER AA")&amp;"'!$B:$B"),0)+20,MATCH(TEXT(DATE(YEAR(MES_CIERRE),ROUNDUP(MONTH(MES_CIERRE)+3,0),1),"MMMM"),'ER AA'!$1:$1,0),,,IF(MONTH(MES_CIERRE)=12,"ER ACT","ER AA")))</f>
        <v>0</v>
      </c>
      <c r="AJ127" s="343">
        <f ca="1">IF(AI109=0,"N.D.",AI127/AI109)</f>
        <v>0</v>
      </c>
      <c r="AK127" s="325">
        <f t="shared" ref="AK127:AK135" ca="1" si="266">AE127-AG127</f>
        <v>0</v>
      </c>
      <c r="AL127" s="326" t="str">
        <f t="shared" ref="AL127:AL135" ca="1" si="267">IF(AG127=0,"N.D.",AE127/AG127-1)</f>
        <v>N.D.</v>
      </c>
      <c r="AM127" s="327">
        <f t="shared" ref="AM127:AM135" ca="1" si="268">AE127-AI127</f>
        <v>0</v>
      </c>
      <c r="AN127" s="324" t="str">
        <f t="shared" ref="AN127:AN135" ca="1" si="269">IF(AI127=0,"N.D.",AE127/AI127-1)</f>
        <v>N.D.</v>
      </c>
      <c r="AP127" s="6"/>
      <c r="AQ127" s="6"/>
      <c r="AR127" s="6"/>
      <c r="AS127" s="6"/>
      <c r="AT127" s="6"/>
      <c r="AV127" s="6"/>
      <c r="AW127" s="6"/>
    </row>
    <row r="128" spans="1:49" x14ac:dyDescent="0.25">
      <c r="A128" s="317"/>
      <c r="B128" s="9" t="s">
        <v>51</v>
      </c>
      <c r="C128" s="342">
        <f ca="1">INDIRECT(ADDRESS(MATCH($B$106,'ER Act'!$B:$B,0)+21,MATCH(TEXT(DATE(YEAR(MES_CIERRE),ROUNDUP(MONTH(MES_CIERRE)/3,0)*3-2,1),"MMMM"),'ER Act'!$1:$1,0),,,"ER Act"))+INDIRECT(ADDRESS(MATCH($B$106,'ER Act'!$B:$B,0)+21,MATCH(TEXT(DATE(YEAR(MES_CIERRE),ROUNDUP(MONTH(MES_CIERRE)/3,0)*3-1,1),"MMMM"),'ER Act'!$1:$1,0),,,"ER Act"))+INDIRECT(ADDRESS(MATCH($B$106,'ER Act'!$B:$B,0)+21,MATCH(TEXT(DATE(YEAR(MES_CIERRE),ROUNDUP(MONTH(MES_CIERRE)/3,0)*3-0,1),"MMMM"),'ER Act'!$1:$1,0),,,"ER Act"))</f>
        <v>0</v>
      </c>
      <c r="D128" s="345">
        <f ca="1">IF(C109=0,"N.D.",C128/C109)</f>
        <v>0</v>
      </c>
      <c r="E128" s="342">
        <f ca="1">INDIRECT(ADDRESS(MATCH($B$106,'ER Ppto'!$B:$B,0)+21,MATCH(TEXT(DATE(YEAR(MES_CIERRE),ROUNDUP(MONTH(MES_CIERRE)/3,0)*3-2,1),"MMMM"),'ER Ppto'!$1:$1,0),,,"ER Ppto"))+INDIRECT(ADDRESS(MATCH($B$106,'ER Ppto'!$B:$B,0)+21,MATCH(TEXT(DATE(YEAR(MES_CIERRE),ROUNDUP(MONTH(MES_CIERRE)/3,0)*3-1,1),"MMMM"),'ER Ppto'!$1:$1,0),,,"ER Ppto"))+INDIRECT(ADDRESS(MATCH($B$106,'ER Ppto'!$B:$B,0)+21,MATCH(TEXT(DATE(YEAR(MES_CIERRE),ROUNDUP(MONTH(MES_CIERRE)/3,0)*3-0,1),"MMMM"),'ER Ppto'!$1:$1,0),,,"ER Ppto"))</f>
        <v>0</v>
      </c>
      <c r="F128" s="345">
        <f ca="1">IF(E109=0,"N.D.",E128/E109)</f>
        <v>0</v>
      </c>
      <c r="G128" s="342">
        <f ca="1">INDIRECT(ADDRESS(MATCH($B$106,'ER AA'!$B:$B,0)+21,MATCH(TEXT(DATE(YEAR(MES_CIERRE),ROUNDUP(MONTH(MES_CIERRE)/3,0)*3-2,1),"MMMM"),'ER AA'!$1:$1,0),,,"ER AA"))+INDIRECT(ADDRESS(MATCH($B$106,'ER AA'!$B:$B,0)+21,MATCH(TEXT(DATE(YEAR(MES_CIERRE),ROUNDUP(MONTH(MES_CIERRE)/3,0)*3-1,1),"MMMM"),'ER AA'!$1:$1,0),,,"ER AA"))+INDIRECT(ADDRESS(MATCH($B$106,'ER AA'!$B:$B,0)+21,MATCH(TEXT(DATE(YEAR(MES_CIERRE),ROUNDUP(MONTH(MES_CIERRE)/3,0)*3-0,1),"MMMM"),'ER AA'!$1:$1,0),,,"ER AA"))</f>
        <v>0</v>
      </c>
      <c r="H128" s="345">
        <f ca="1">IF(G109=0,"N.D.",G128/G109)</f>
        <v>0</v>
      </c>
      <c r="I128" s="330">
        <f t="shared" ca="1" si="262"/>
        <v>0</v>
      </c>
      <c r="J128" s="331" t="str">
        <f t="shared" ca="1" si="263"/>
        <v>N.D.</v>
      </c>
      <c r="K128" s="342">
        <f t="shared" ca="1" si="264"/>
        <v>0</v>
      </c>
      <c r="L128" s="329" t="str">
        <f t="shared" ca="1" si="265"/>
        <v>N.D.</v>
      </c>
      <c r="N128" s="6"/>
      <c r="O128" s="6"/>
      <c r="P128" s="6"/>
      <c r="Q128" s="6"/>
      <c r="R128" s="6"/>
      <c r="T128" s="6"/>
      <c r="U128" s="6"/>
      <c r="AD128" s="9" t="s">
        <v>51</v>
      </c>
      <c r="AE128" s="342">
        <v>0</v>
      </c>
      <c r="AF128" s="345">
        <f>IF(AE109=0,"N.D.",AE128/AE109)</f>
        <v>0</v>
      </c>
      <c r="AG128" s="342">
        <f ca="1">((INDIRECT(ADDRESS(MATCH($B$106,BDPP!$B:$B,0)+23,MATCH(TEXT(DATE(YEAR(MES_CIERRE),ROUNDUP(MONTH(MES_CIERRE)/3,0)*3,1),"MMMM"),BDPP!$1:$1,0)+1,,,"BDPP")))+(INDIRECT(ADDRESS(MATCH($B$106,BDPP!$B:$B,0)+23,MATCH(TEXT(DATE(YEAR(MES_CIERRE),ROUNDUP(MONTH(MES_CIERRE)/3,0)*3,1),"MMMM"),BDPP!$1:$1,0)+2,,,"BDPP")))+(INDIRECT(ADDRESS(MATCH($B$106,BDPP!$B:$B,0)+23,MATCH(TEXT(DATE(YEAR(MES_CIERRE),ROUNDUP(MONTH(MES_CIERRE)/3,0)*3,1),"MMMM"),BDPP!$1:$1,0)+3,,,"BDPP"))))/1000</f>
        <v>0</v>
      </c>
      <c r="AH128" s="345">
        <f ca="1">IF(AG109=0,"N.D.",AG128/AG109)</f>
        <v>0</v>
      </c>
      <c r="AI128" s="342">
        <f ca="1">INDIRECT(ADDRESS(MATCH($B$106,INDIRECT("'"&amp;IF(MONTH(MES_CIERRE)=12,"ER ACT","ER AA")&amp;"'!$B:$B"),0)+21,MATCH(TEXT(DATE(YEAR(MES_CIERRE),ROUNDUP(MONTH(MES_CIERRE)+1,0),1),"MMMM"),'ER AA'!$1:$1,0),,,IF(MONTH(MES_CIERRE)=12,"ER ACT","ER AA")))+INDIRECT(ADDRESS(MATCH($B$106,INDIRECT("'"&amp;IF(MONTH(MES_CIERRE)=12,"ER ACT","ER AA")&amp;"'!$B:$B"),0)+21,MATCH(TEXT(DATE(YEAR(MES_CIERRE),ROUNDUP(MONTH(MES_CIERRE)+2,0),1),"MMMM"),'ER AA'!$1:$1,0),,,IF(MONTH(MES_CIERRE)=12,"ER ACT","ER AA")))+INDIRECT(ADDRESS(MATCH($B$106,INDIRECT("'"&amp;IF(MONTH(MES_CIERRE)=12,"ER ACT","ER AA")&amp;"'!$B:$B"),0)+21,MATCH(TEXT(DATE(YEAR(MES_CIERRE),ROUNDUP(MONTH(MES_CIERRE)+3,0),1),"MMMM"),'ER AA'!$1:$1,0),,,IF(MONTH(MES_CIERRE)=12,"ER ACT","ER AA")))</f>
        <v>0</v>
      </c>
      <c r="AJ128" s="345">
        <f ca="1">IF(AI109=0,"N.D.",AI128/AI109)</f>
        <v>0</v>
      </c>
      <c r="AK128" s="330">
        <f t="shared" ca="1" si="266"/>
        <v>0</v>
      </c>
      <c r="AL128" s="331" t="str">
        <f t="shared" ca="1" si="267"/>
        <v>N.D.</v>
      </c>
      <c r="AM128" s="342">
        <f t="shared" ca="1" si="268"/>
        <v>0</v>
      </c>
      <c r="AN128" s="329" t="str">
        <f t="shared" ca="1" si="269"/>
        <v>N.D.</v>
      </c>
      <c r="AP128" s="6"/>
      <c r="AQ128" s="6"/>
      <c r="AR128" s="6"/>
      <c r="AS128" s="6"/>
      <c r="AT128" s="6"/>
      <c r="AV128" s="6"/>
      <c r="AW128" s="6"/>
    </row>
    <row r="129" spans="1:55" ht="13" x14ac:dyDescent="0.3">
      <c r="B129" s="87" t="s">
        <v>53</v>
      </c>
      <c r="C129" s="337">
        <f ca="1">+C125-C127-C128</f>
        <v>-29.025000000000119</v>
      </c>
      <c r="D129" s="334">
        <f ca="1">IF(C109=0,"N.D.",C129/C109)</f>
        <v>-1.5554554014361165E-2</v>
      </c>
      <c r="E129" s="337">
        <f ca="1">+E125-E127-E128</f>
        <v>-22.306999999999661</v>
      </c>
      <c r="F129" s="334">
        <f ca="1">IF(E109=0,"N.D.",E129/E109)</f>
        <v>-1.0896984973718498E-2</v>
      </c>
      <c r="G129" s="337">
        <f ca="1">+G125-G127-G128</f>
        <v>-36.613999999999535</v>
      </c>
      <c r="H129" s="334">
        <f ca="1">IF(G109=0,"N.D.",G129/G109)</f>
        <v>-1.8768710272708392E-2</v>
      </c>
      <c r="I129" s="335">
        <f t="shared" ca="1" si="262"/>
        <v>-6.7180000000004583</v>
      </c>
      <c r="J129" s="336">
        <f t="shared" ca="1" si="263"/>
        <v>0.3011610705160066</v>
      </c>
      <c r="K129" s="337">
        <f t="shared" ca="1" si="264"/>
        <v>7.588999999999416</v>
      </c>
      <c r="L129" s="334">
        <f t="shared" ca="1" si="265"/>
        <v>-0.20727044299993203</v>
      </c>
      <c r="N129" s="39"/>
      <c r="O129" s="39"/>
      <c r="P129" s="39"/>
      <c r="Q129" s="39"/>
      <c r="R129" s="39"/>
      <c r="T129" s="39"/>
      <c r="U129" s="39"/>
      <c r="AD129" s="87" t="s">
        <v>53</v>
      </c>
      <c r="AE129" s="337">
        <f ca="1">+AE125-AE127-AE128</f>
        <v>-25.194528655481008</v>
      </c>
      <c r="AF129" s="334">
        <f ca="1">IF(AE109=0,"N.D.",AE129/AE109)</f>
        <v>-1.3122150341396358E-2</v>
      </c>
      <c r="AG129" s="337">
        <f ca="1">+AG125-AG127-AG128</f>
        <v>-31.258000000000109</v>
      </c>
      <c r="AH129" s="334">
        <f ca="1">IF(AG109=0,"N.D.",AG129/AG109)</f>
        <v>-1.5462239744357164E-2</v>
      </c>
      <c r="AI129" s="337">
        <f ca="1">+AI125-AI127-AI128</f>
        <v>-44.23023299999948</v>
      </c>
      <c r="AJ129" s="334">
        <f ca="1">IF(AI109=0,"N.D.",AI129/AI109)</f>
        <v>-2.2811343452476981E-2</v>
      </c>
      <c r="AK129" s="335">
        <f t="shared" ca="1" si="266"/>
        <v>6.0634713445191011</v>
      </c>
      <c r="AL129" s="336">
        <f t="shared" ca="1" si="267"/>
        <v>-0.19398142378012284</v>
      </c>
      <c r="AM129" s="337">
        <f t="shared" ca="1" si="268"/>
        <v>19.035704344518471</v>
      </c>
      <c r="AN129" s="334">
        <f t="shared" ca="1" si="269"/>
        <v>-0.43037766372423802</v>
      </c>
      <c r="AP129" s="39"/>
      <c r="AQ129" s="39"/>
      <c r="AR129" s="39"/>
      <c r="AS129" s="39"/>
      <c r="AT129" s="39"/>
      <c r="AV129" s="39"/>
      <c r="AW129" s="39"/>
    </row>
    <row r="130" spans="1:55" ht="13" x14ac:dyDescent="0.3">
      <c r="A130" s="316"/>
      <c r="B130" s="7" t="s">
        <v>122</v>
      </c>
      <c r="C130" s="337">
        <f ca="1">+C117+C115</f>
        <v>56.105999999999895</v>
      </c>
      <c r="D130" s="334">
        <f ca="1">IF(C109=0,"N.D.",C130/C109)</f>
        <v>3.006731464357424E-2</v>
      </c>
      <c r="E130" s="337">
        <f ca="1">+E117+E115</f>
        <v>41.34600000000033</v>
      </c>
      <c r="F130" s="334">
        <f ca="1">IF(E109=0,"N.D.",E130/E109)</f>
        <v>2.0197549680520708E-2</v>
      </c>
      <c r="G130" s="337">
        <f ca="1">+G117+G115</f>
        <v>23.119000000000472</v>
      </c>
      <c r="H130" s="334">
        <f ca="1">IF(G109=0,"N.D.",G130/G109)</f>
        <v>1.1851035472626855E-2</v>
      </c>
      <c r="I130" s="335">
        <f t="shared" ca="1" si="262"/>
        <v>14.759999999999565</v>
      </c>
      <c r="J130" s="336">
        <f t="shared" ca="1" si="263"/>
        <v>0.35698737483673026</v>
      </c>
      <c r="K130" s="337">
        <f t="shared" ca="1" si="264"/>
        <v>32.986999999999426</v>
      </c>
      <c r="L130" s="334">
        <f t="shared" ca="1" si="265"/>
        <v>1.426835070720998</v>
      </c>
      <c r="N130" s="39"/>
      <c r="O130" s="39"/>
      <c r="P130" s="39"/>
      <c r="Q130" s="39"/>
      <c r="R130" s="39"/>
      <c r="T130" s="39"/>
      <c r="U130" s="39"/>
      <c r="AD130" s="7" t="s">
        <v>122</v>
      </c>
      <c r="AE130" s="337">
        <f ca="1">+AE117+AE115</f>
        <v>38.805471344518992</v>
      </c>
      <c r="AF130" s="334">
        <f ca="1">IF(AE109=0,"N.D.",AE130/AE109)</f>
        <v>2.0211182991936975E-2</v>
      </c>
      <c r="AG130" s="337">
        <f ca="1">+AG117+AG115</f>
        <v>31.710999999999888</v>
      </c>
      <c r="AH130" s="334">
        <f ca="1">IF(AG109=0,"N.D.",AG130/AG109)</f>
        <v>1.5686323006376176E-2</v>
      </c>
      <c r="AI130" s="337">
        <f ca="1">+AI117+AI115</f>
        <v>14.369297000000518</v>
      </c>
      <c r="AJ130" s="334">
        <f ca="1">IF(AI109=0,"N.D.",AI130/AI109)</f>
        <v>7.4108352320382933E-3</v>
      </c>
      <c r="AK130" s="335">
        <f t="shared" ca="1" si="266"/>
        <v>7.0944713445191034</v>
      </c>
      <c r="AL130" s="336">
        <f t="shared" ca="1" si="267"/>
        <v>0.22372272537980908</v>
      </c>
      <c r="AM130" s="337">
        <f t="shared" ca="1" si="268"/>
        <v>24.436174344518474</v>
      </c>
      <c r="AN130" s="334">
        <f t="shared" ca="1" si="269"/>
        <v>1.7005824533042633</v>
      </c>
      <c r="AP130" s="39"/>
      <c r="AQ130" s="39"/>
      <c r="AR130" s="39"/>
      <c r="AS130" s="39"/>
      <c r="AT130" s="39"/>
      <c r="AV130" s="39"/>
      <c r="AW130" s="39"/>
    </row>
    <row r="131" spans="1:55" ht="13" x14ac:dyDescent="0.3">
      <c r="A131" s="317"/>
      <c r="B131" s="1" t="s">
        <v>194</v>
      </c>
      <c r="C131" s="373">
        <f ca="1">INDIRECT(ADDRESS(MATCH($B$106,'ER Act'!$B:$B,0)+24,MATCH(TEXT(DATE(YEAR(MES_CIERRE),ROUNDUP(MONTH(MES_CIERRE)/3,0)*3-2,1),"MMMM"),'ER Act'!$1:$1,0),,,"ER Act"))+INDIRECT(ADDRESS(MATCH($B$106,'ER Act'!$B:$B,0)+24,MATCH(TEXT(DATE(YEAR(MES_CIERRE),ROUNDUP(MONTH(MES_CIERRE)/3,0)*3-1,1),"MMMM"),'ER Act'!$1:$1,0),,,"ER Act"))+INDIRECT(ADDRESS(MATCH($B$106,'ER Act'!$B:$B,0)+24,MATCH(TEXT(DATE(YEAR(MES_CIERRE),ROUNDUP(MONTH(MES_CIERRE)/3,0)*3-0,1),"MMMM"),'ER Act'!$1:$1,0),,,"ER Act"))</f>
        <v>0</v>
      </c>
      <c r="D131" s="324">
        <f ca="1">IF(C$109=0, 0, C131/C$109)</f>
        <v>0</v>
      </c>
      <c r="E131" s="447">
        <f ca="1">INDIRECT(ADDRESS(MATCH($B$106,'ER Ppto'!$B:$B,0)+24,MATCH(TEXT(DATE(YEAR(MES_CIERRE),ROUNDUP(MONTH(MES_CIERRE)/3,0)*3-2,1),"MMMM"),'ER Ppto'!$1:$1,0),,,"ER Ppto"))+INDIRECT(ADDRESS(MATCH($B$106,'ER Ppto'!$B:$B,0)+24,MATCH(TEXT(DATE(YEAR(MES_CIERRE),ROUNDUP(MONTH(MES_CIERRE)/3,0)*3-1,1),"MMMM"),'ER Ppto'!$1:$1,0),,,"ER Ppto"))+INDIRECT(ADDRESS(MATCH($B$106,'ER Ppto'!$B:$B,0)+24,MATCH(TEXT(DATE(YEAR(MES_CIERRE),ROUNDUP(MONTH(MES_CIERRE)/3,0)*3-0,1),"MMMM"),'ER Ppto'!$1:$1,0),,,"ER Ppto"))</f>
        <v>0</v>
      </c>
      <c r="F131" s="324">
        <f ca="1">IF(E$109=0, 0, E131/E$109)</f>
        <v>0</v>
      </c>
      <c r="G131" s="447">
        <f ca="1">INDIRECT(ADDRESS(MATCH($B$106,'ER AA'!$B:$B,0)+24,MATCH(TEXT(DATE(YEAR(MES_CIERRE),ROUNDUP(MONTH(MES_CIERRE)/3,0)*3-2,1),"MMMM"),'ER AA'!$1:$1,0),,,"ER AA"))+INDIRECT(ADDRESS(MATCH($B$106,'ER AA'!$B:$B,0)+24,MATCH(TEXT(DATE(YEAR(MES_CIERRE),ROUNDUP(MONTH(MES_CIERRE)/3,0)*3-1,1),"MMMM"),'ER AA'!$1:$1,0),,,"ER AA"))+INDIRECT(ADDRESS(MATCH($B$106,'ER AA'!$B:$B,0)+24,MATCH(TEXT(DATE(YEAR(MES_CIERRE),ROUNDUP(MONTH(MES_CIERRE)/3,0)*3-0,1),"MMMM"),'ER AA'!$1:$1,0),,,"ER AA"))</f>
        <v>0</v>
      </c>
      <c r="H131" s="324">
        <f ca="1">IF(G$109=0, 0, G131/G$109)</f>
        <v>0</v>
      </c>
      <c r="I131" s="370">
        <f t="shared" ca="1" si="262"/>
        <v>0</v>
      </c>
      <c r="J131" s="326" t="str">
        <f t="shared" ca="1" si="263"/>
        <v>N.D.</v>
      </c>
      <c r="K131" s="370">
        <f t="shared" ca="1" si="264"/>
        <v>0</v>
      </c>
      <c r="L131" s="324" t="str">
        <f t="shared" ca="1" si="265"/>
        <v>N.D.</v>
      </c>
      <c r="S131" s="34"/>
      <c r="T131" s="34"/>
      <c r="U131" s="34"/>
      <c r="V131" s="34"/>
      <c r="W131" s="34"/>
      <c r="X131" s="34"/>
      <c r="Y131" s="34"/>
      <c r="Z131" s="34"/>
      <c r="AA131" s="33"/>
      <c r="AD131" s="1" t="s">
        <v>194</v>
      </c>
      <c r="AE131" s="373">
        <v>0</v>
      </c>
      <c r="AF131" s="324">
        <f>IF(AE$109=0, 0, AE131/AE$109)</f>
        <v>0</v>
      </c>
      <c r="AG131" s="447">
        <v>0</v>
      </c>
      <c r="AH131" s="324">
        <f ca="1">IF(AG$109=0, 0, AG131/AG$109)</f>
        <v>0</v>
      </c>
      <c r="AI131" s="447">
        <f ca="1">INDIRECT(ADDRESS(MATCH($B$106,INDIRECT("'"&amp;IF(MONTH(MES_CIERRE)=12,"ER ACT","ER AA")&amp;"'!$B:$B"),0)+24,MATCH(TEXT(DATE(YEAR(MES_CIERRE),ROUNDUP(MONTH(MES_CIERRE)+1,0),1),"MMMM"),'ER AA'!$1:$1,0),,,IF(MONTH(MES_CIERRE)=12,"ER ACT","ER AA")))+INDIRECT(ADDRESS(MATCH($B$106,INDIRECT("'"&amp;IF(MONTH(MES_CIERRE)=12,"ER ACT","ER AA")&amp;"'!$B:$B"),0)+24,MATCH(TEXT(DATE(YEAR(MES_CIERRE),ROUNDUP(MONTH(MES_CIERRE)+2,0),1),"MMMM"),'ER AA'!$1:$1,0),,,IF(MONTH(MES_CIERRE)=12,"ER ACT","ER AA")))+INDIRECT(ADDRESS(MATCH($B$106,INDIRECT("'"&amp;IF(MONTH(MES_CIERRE)=12,"ER ACT","ER AA")&amp;"'!$B:$B"),0)+24,MATCH(TEXT(DATE(YEAR(MES_CIERRE),ROUNDUP(MONTH(MES_CIERRE)+3,0),1),"MMMM"),'ER AA'!$1:$1,0),,,IF(MONTH(MES_CIERRE)=12,"ER ACT","ER AA")))</f>
        <v>0</v>
      </c>
      <c r="AJ131" s="324">
        <f ca="1">IF(AI$109=0, 0, AI131/AI$109)</f>
        <v>0</v>
      </c>
      <c r="AK131" s="370">
        <f t="shared" si="266"/>
        <v>0</v>
      </c>
      <c r="AL131" s="326" t="str">
        <f t="shared" si="267"/>
        <v>N.D.</v>
      </c>
      <c r="AM131" s="370">
        <f t="shared" ca="1" si="268"/>
        <v>0</v>
      </c>
      <c r="AN131" s="324" t="str">
        <f t="shared" ca="1" si="269"/>
        <v>N.D.</v>
      </c>
      <c r="AU131" s="34"/>
      <c r="AV131" s="34"/>
      <c r="AW131" s="34"/>
      <c r="AX131" s="34"/>
      <c r="AY131" s="34"/>
      <c r="AZ131" s="34"/>
      <c r="BA131" s="34"/>
      <c r="BB131" s="34"/>
      <c r="BC131" s="33"/>
    </row>
    <row r="132" spans="1:55" ht="13" x14ac:dyDescent="0.3">
      <c r="A132" s="317"/>
      <c r="B132" s="1" t="s">
        <v>123</v>
      </c>
      <c r="C132" s="408">
        <f ca="1">INDIRECT(ADDRESS(MATCH($B$106,'ER Act'!$B:$B,0)+25,MATCH(TEXT(DATE(YEAR(MES_CIERRE),ROUNDUP(MONTH(MES_CIERRE)/3,0)*3-2,1),"MMMM"),'ER Act'!$1:$1,0),,,"ER Act"))+INDIRECT(ADDRESS(MATCH($B$106,'ER Act'!$B:$B,0)+25,MATCH(TEXT(DATE(YEAR(MES_CIERRE),ROUNDUP(MONTH(MES_CIERRE)/3,0)*3-1,1),"MMMM"),'ER Act'!$1:$1,0),,,"ER Act"))+INDIRECT(ADDRESS(MATCH($B$106,'ER Act'!$B:$B,0)+25,MATCH(TEXT(DATE(YEAR(MES_CIERRE),ROUNDUP(MONTH(MES_CIERRE)/3,0)*3-0,1),"MMMM"),'ER Act'!$1:$1,0),,,"ER Act"))</f>
        <v>0</v>
      </c>
      <c r="D132" s="329">
        <f ca="1">IF(C$109=0, 0, C132/C$109)</f>
        <v>0</v>
      </c>
      <c r="E132" s="448">
        <f ca="1">INDIRECT(ADDRESS(MATCH($B$106,'ER Ppto'!$B:$B,0)+25,MATCH(TEXT(DATE(YEAR(MES_CIERRE),ROUNDUP(MONTH(MES_CIERRE)/3,0)*3-2,1),"MMMM"),'ER Ppto'!$1:$1,0),,,"ER Ppto"))+INDIRECT(ADDRESS(MATCH($B$106,'ER Ppto'!$B:$B,0)+25,MATCH(TEXT(DATE(YEAR(MES_CIERRE),ROUNDUP(MONTH(MES_CIERRE)/3,0)*3-1,1),"MMMM"),'ER Ppto'!$1:$1,0),,,"ER Ppto"))+INDIRECT(ADDRESS(MATCH($B$106,'ER Ppto'!$B:$B,0)+25,MATCH(TEXT(DATE(YEAR(MES_CIERRE),ROUNDUP(MONTH(MES_CIERRE)/3,0)*3-0,1),"MMMM"),'ER Ppto'!$1:$1,0),,,"ER Ppto"))</f>
        <v>0</v>
      </c>
      <c r="F132" s="329">
        <f ca="1">IF(E$109=0, 0, E132/E$109)</f>
        <v>0</v>
      </c>
      <c r="G132" s="448">
        <f ca="1">INDIRECT(ADDRESS(MATCH($B$106,'ER AA'!$B:$B,0)+25,MATCH(TEXT(DATE(YEAR(MES_CIERRE),ROUNDUP(MONTH(MES_CIERRE)/3,0)*3-2,1),"MMMM"),'ER AA'!$1:$1,0),,,"ER AA"))+INDIRECT(ADDRESS(MATCH($B$106,'ER AA'!$B:$B,0)+25,MATCH(TEXT(DATE(YEAR(MES_CIERRE),ROUNDUP(MONTH(MES_CIERRE)/3,0)*3-1,1),"MMMM"),'ER AA'!$1:$1,0),,,"ER AA"))+INDIRECT(ADDRESS(MATCH($B$106,'ER AA'!$B:$B,0)+25,MATCH(TEXT(DATE(YEAR(MES_CIERRE),ROUNDUP(MONTH(MES_CIERRE)/3,0)*3-0,1),"MMMM"),'ER AA'!$1:$1,0),,,"ER AA"))</f>
        <v>0</v>
      </c>
      <c r="H132" s="329">
        <f ca="1">IF(G$109=0, 0, G132/G$109)</f>
        <v>0</v>
      </c>
      <c r="I132" s="371">
        <f t="shared" ca="1" si="262"/>
        <v>0</v>
      </c>
      <c r="J132" s="372" t="str">
        <f t="shared" ca="1" si="263"/>
        <v>N.D.</v>
      </c>
      <c r="K132" s="371">
        <f t="shared" ca="1" si="264"/>
        <v>0</v>
      </c>
      <c r="L132" s="329" t="str">
        <f t="shared" ca="1" si="265"/>
        <v>N.D.</v>
      </c>
      <c r="S132" s="34"/>
      <c r="T132" s="34"/>
      <c r="U132" s="34"/>
      <c r="V132" s="34"/>
      <c r="W132" s="34"/>
      <c r="X132" s="34"/>
      <c r="Y132" s="34"/>
      <c r="Z132" s="34"/>
      <c r="AA132" s="33"/>
      <c r="AD132" s="1" t="s">
        <v>123</v>
      </c>
      <c r="AE132" s="408">
        <v>0</v>
      </c>
      <c r="AF132" s="329">
        <f>IF(AE$109=0, 0, AE132/AE$109)</f>
        <v>0</v>
      </c>
      <c r="AG132" s="448">
        <v>0</v>
      </c>
      <c r="AH132" s="329">
        <f ca="1">IF(AG$109=0, 0, AG132/AG$109)</f>
        <v>0</v>
      </c>
      <c r="AI132" s="448">
        <f ca="1">INDIRECT(ADDRESS(MATCH($B$106,INDIRECT("'"&amp;IF(MONTH(MES_CIERRE)=12,"ER ACT","ER AA")&amp;"'!$B:$B"),0)+25,MATCH(TEXT(DATE(YEAR(MES_CIERRE),ROUNDUP(MONTH(MES_CIERRE)+1,0),1),"MMMM"),'ER AA'!$1:$1,0),,,IF(MONTH(MES_CIERRE)=12,"ER ACT","ER AA")))+INDIRECT(ADDRESS(MATCH($B$106,INDIRECT("'"&amp;IF(MONTH(MES_CIERRE)=12,"ER ACT","ER AA")&amp;"'!$B:$B"),0)+25,MATCH(TEXT(DATE(YEAR(MES_CIERRE),ROUNDUP(MONTH(MES_CIERRE)+2,0),1),"MMMM"),'ER AA'!$1:$1,0),,,IF(MONTH(MES_CIERRE)=12,"ER ACT","ER AA")))+INDIRECT(ADDRESS(MATCH($B$106,INDIRECT("'"&amp;IF(MONTH(MES_CIERRE)=12,"ER ACT","ER AA")&amp;"'!$B:$B"),0)+25,MATCH(TEXT(DATE(YEAR(MES_CIERRE),ROUNDUP(MONTH(MES_CIERRE)+3,0),1),"MMMM"),'ER AA'!$1:$1,0),,,IF(MONTH(MES_CIERRE)=12,"ER ACT","ER AA")))</f>
        <v>0</v>
      </c>
      <c r="AJ132" s="329">
        <f ca="1">IF(AI$109=0, 0, AI132/AI$109)</f>
        <v>0</v>
      </c>
      <c r="AK132" s="371">
        <f t="shared" si="266"/>
        <v>0</v>
      </c>
      <c r="AL132" s="372" t="str">
        <f t="shared" si="267"/>
        <v>N.D.</v>
      </c>
      <c r="AM132" s="371">
        <f t="shared" ca="1" si="268"/>
        <v>0</v>
      </c>
      <c r="AN132" s="329" t="str">
        <f t="shared" ca="1" si="269"/>
        <v>N.D.</v>
      </c>
      <c r="AU132" s="34"/>
      <c r="AV132" s="34"/>
      <c r="AW132" s="34"/>
      <c r="AX132" s="34"/>
      <c r="AY132" s="34"/>
      <c r="AZ132" s="34"/>
      <c r="BA132" s="34"/>
      <c r="BB132" s="34"/>
      <c r="BC132" s="33"/>
    </row>
    <row r="133" spans="1:55" ht="13" x14ac:dyDescent="0.3">
      <c r="A133" s="317"/>
      <c r="B133" s="7" t="s">
        <v>190</v>
      </c>
      <c r="C133" s="410">
        <f ca="1">+C129+C115+C131+C132</f>
        <v>-20.260000000000119</v>
      </c>
      <c r="D133" s="334">
        <f ca="1">IF(C109=0,"N.D.",C133/C109)</f>
        <v>-1.0857373448095013E-2</v>
      </c>
      <c r="E133" s="410">
        <f ca="1">+E129+E115+E131+E132</f>
        <v>-13.792999999999662</v>
      </c>
      <c r="F133" s="334">
        <f ca="1">IF(E109=0,"N.D.",E133/E109)</f>
        <v>-6.7378900678037312E-3</v>
      </c>
      <c r="G133" s="410">
        <f ca="1">+G129+G115+G131+G132</f>
        <v>-28.099999999999536</v>
      </c>
      <c r="H133" s="334">
        <f ca="1">IF(G109=0,"N.D.",G133/G109)</f>
        <v>-1.4404346934590698E-2</v>
      </c>
      <c r="I133" s="367">
        <f t="shared" ca="1" si="262"/>
        <v>-6.467000000000457</v>
      </c>
      <c r="J133" s="368">
        <f t="shared" ca="1" si="263"/>
        <v>0.46886101645766809</v>
      </c>
      <c r="K133" s="369">
        <f t="shared" ca="1" si="264"/>
        <v>7.8399999999994172</v>
      </c>
      <c r="L133" s="366">
        <f t="shared" ca="1" si="265"/>
        <v>-0.27900355871884508</v>
      </c>
      <c r="S133" s="34"/>
      <c r="T133" s="34"/>
      <c r="U133" s="34"/>
      <c r="V133" s="34"/>
      <c r="W133" s="34"/>
      <c r="X133" s="34"/>
      <c r="Y133" s="34"/>
      <c r="Z133" s="34"/>
      <c r="AA133" s="33"/>
      <c r="AD133" s="7" t="s">
        <v>190</v>
      </c>
      <c r="AE133" s="410">
        <f ca="1">+AE129+AE115+AE131+AE132</f>
        <v>-16.194528655481008</v>
      </c>
      <c r="AF133" s="334">
        <f ca="1">IF(AE109=0,"N.D.",AE133/AE109)</f>
        <v>-8.4346503413963592E-3</v>
      </c>
      <c r="AG133" s="410">
        <f ca="1">+AG129+AG115+AG131+AG132</f>
        <v>-22.74400000000011</v>
      </c>
      <c r="AH133" s="334">
        <f ca="1">IF(AG109=0,"N.D.",AG133/AG109)</f>
        <v>-1.1250661614487805E-2</v>
      </c>
      <c r="AI133" s="410">
        <f ca="1">+AI129+AI115+AI131+AI132</f>
        <v>-35.715602999999476</v>
      </c>
      <c r="AJ133" s="334">
        <f ca="1">IF(AI109=0,"N.D.",AI133/AI109)</f>
        <v>-1.8419999882101339E-2</v>
      </c>
      <c r="AK133" s="367">
        <f t="shared" ca="1" si="266"/>
        <v>6.5494713445191017</v>
      </c>
      <c r="AL133" s="368">
        <f t="shared" ca="1" si="267"/>
        <v>-0.28796479706819689</v>
      </c>
      <c r="AM133" s="369">
        <f t="shared" ca="1" si="268"/>
        <v>19.521074344518468</v>
      </c>
      <c r="AN133" s="366">
        <f t="shared" ca="1" si="269"/>
        <v>-0.54656992196152343</v>
      </c>
      <c r="AU133" s="34"/>
      <c r="AV133" s="34"/>
      <c r="AW133" s="34"/>
      <c r="AX133" s="34"/>
      <c r="AY133" s="34"/>
      <c r="AZ133" s="34"/>
      <c r="BA133" s="34"/>
      <c r="BB133" s="34"/>
      <c r="BC133" s="33"/>
    </row>
    <row r="134" spans="1:55" ht="13" x14ac:dyDescent="0.3">
      <c r="B134" s="7" t="s">
        <v>191</v>
      </c>
      <c r="C134" s="381">
        <f ca="1">INDIRECT(ADDRESS(MATCH($B$106,'ER Act'!$B:$B,0)+27,MATCH(TEXT(DATE(YEAR(MES_CIERRE),ROUNDUP(MONTH(MES_CIERRE)/3,0)*3-2,1),"MMMM"),'ER Act'!$1:$1,0),,,"ER Act"))+INDIRECT(ADDRESS(MATCH($B$106,'ER Act'!$B:$B,0)+27,MATCH(TEXT(DATE(YEAR(MES_CIERRE),ROUNDUP(MONTH(MES_CIERRE)/3,0)*3-1,1),"MMMM"),'ER Act'!$1:$1,0),,,"ER Act"))+INDIRECT(ADDRESS(MATCH($B$106,'ER Act'!$B:$B,0)+27,MATCH(TEXT(DATE(YEAR(MES_CIERRE),ROUNDUP(MONTH(MES_CIERRE)/3,0)*3-0,1),"MMMM"),'ER Act'!$1:$1,0),,,"ER Act"))</f>
        <v>26.790389999999999</v>
      </c>
      <c r="D134" s="329">
        <f ca="1">IF(C$109=0, 0, C134/C$109)</f>
        <v>1.435702216436863E-2</v>
      </c>
      <c r="E134" s="381">
        <f ca="1">INDIRECT(ADDRESS(MATCH($B$106,'ER Ppto'!$B:$B,0)+27,MATCH(TEXT(DATE(YEAR(MES_CIERRE),ROUNDUP(MONTH(MES_CIERRE)/3,0)*3-2,1),"MMMM"),'ER Ppto'!$1:$1,0),,,"ER Ppto"))+INDIRECT(ADDRESS(MATCH($B$106,'ER Ppto'!$B:$B,0)+27,MATCH(TEXT(DATE(YEAR(MES_CIERRE),ROUNDUP(MONTH(MES_CIERRE)/3,0)*3-1,1),"MMMM"),'ER Ppto'!$1:$1,0),,,"ER Ppto"))+INDIRECT(ADDRESS(MATCH($B$106,'ER Ppto'!$B:$B,0)+27,MATCH(TEXT(DATE(YEAR(MES_CIERRE),ROUNDUP(MONTH(MES_CIERRE)/3,0)*3-0,1),"MMMM"),'ER Ppto'!$1:$1,0),,,"ER Ppto"))</f>
        <v>26.790389999999999</v>
      </c>
      <c r="F134" s="329">
        <f ca="1">IF(E$109=0, 0, E134/E$109)</f>
        <v>1.308712409871622E-2</v>
      </c>
      <c r="G134" s="381">
        <f ca="1">INDIRECT(ADDRESS(MATCH($B$106,'ER AA'!$B:$B,0)+27,MATCH(TEXT(DATE(YEAR(MES_CIERRE),ROUNDUP(MONTH(MES_CIERRE)/3,0)*3-2,1),"MMMM"),'ER AA'!$1:$1,0),,,"ER AA"))+INDIRECT(ADDRESS(MATCH($B$106,'ER AA'!$B:$B,0)+27,MATCH(TEXT(DATE(YEAR(MES_CIERRE),ROUNDUP(MONTH(MES_CIERRE)/3,0)*3-1,1),"MMMM"),'ER AA'!$1:$1,0),,,"ER AA"))+INDIRECT(ADDRESS(MATCH($B$106,'ER AA'!$B:$B,0)+27,MATCH(TEXT(DATE(YEAR(MES_CIERRE),ROUNDUP(MONTH(MES_CIERRE)/3,0)*3-0,1),"MMMM"),'ER AA'!$1:$1,0),,,"ER AA"))</f>
        <v>46.213079999999998</v>
      </c>
      <c r="H134" s="329">
        <f ca="1">IF(G$109=0, 0, G134/G$109)</f>
        <v>2.3689296698790236E-2</v>
      </c>
      <c r="I134" s="335">
        <f t="shared" ca="1" si="262"/>
        <v>0</v>
      </c>
      <c r="J134" s="336">
        <f t="shared" ca="1" si="263"/>
        <v>0</v>
      </c>
      <c r="K134" s="337">
        <f t="shared" ca="1" si="264"/>
        <v>-19.422689999999999</v>
      </c>
      <c r="L134" s="334">
        <f t="shared" ca="1" si="265"/>
        <v>-0.42028555551804814</v>
      </c>
      <c r="S134" s="34"/>
      <c r="T134" s="34"/>
      <c r="U134" s="34"/>
      <c r="V134" s="34"/>
      <c r="W134" s="34"/>
      <c r="X134" s="34"/>
      <c r="Y134" s="34"/>
      <c r="Z134" s="34"/>
      <c r="AA134" s="33"/>
      <c r="AD134" s="7" t="s">
        <v>191</v>
      </c>
      <c r="AE134" s="381">
        <v>43</v>
      </c>
      <c r="AF134" s="329">
        <f>IF(AE$109=0, 0, AE134/AE$109)</f>
        <v>2.2395833333333334E-2</v>
      </c>
      <c r="AG134" s="381">
        <f ca="1">+C134</f>
        <v>26.790389999999999</v>
      </c>
      <c r="AH134" s="329">
        <f ca="1">IF(AG$109=0, 0, AG134/AG$109)</f>
        <v>1.3252269275859851E-2</v>
      </c>
      <c r="AI134" s="381">
        <f ca="1">INDIRECT(ADDRESS(MATCH($B$106,INDIRECT("'"&amp;IF(MONTH(MES_CIERRE)=12,"ER ACT","ER AA")&amp;"'!$B:$B"),0)+27,MATCH(TEXT(DATE(YEAR(MES_CIERRE),ROUNDUP(MONTH(MES_CIERRE)/3,0)*3-2,1),"MMMM"),'ER AA'!$1:$1,0),,,IF(MONTH(MES_CIERRE)=12,"ER ACT","ER AA")))+INDIRECT(ADDRESS(MATCH($B$106,INDIRECT("'"&amp;IF(MONTH(MES_CIERRE)=12,"ER ACT","ER AA")&amp;"'!$B:$B"),0)+27,MATCH(TEXT(DATE(YEAR(MES_CIERRE),ROUNDUP(MONTH(MES_CIERRE)/3,0)*3-1,1),"MMMM"),'ER AA'!$1:$1,0),,,IF(MONTH(MES_CIERRE)=12,"ER ACT","ER AA")))+INDIRECT(ADDRESS(MATCH($B$106,INDIRECT("'"&amp;IF(MONTH(MES_CIERRE)=12,"ER ACT","ER AA")&amp;"'!$B:$B"),0)+27,MATCH(TEXT(DATE(YEAR(MES_CIERRE),ROUNDUP(MONTH(MES_CIERRE)/3,0)*3-0,1),"MMMM"),'ER AA'!$1:$1,0),,,IF(MONTH(MES_CIERRE)=12,"ER ACT","ER AA")))</f>
        <v>46.213079999999998</v>
      </c>
      <c r="AJ134" s="329">
        <f ca="1">IF(AI$109=0, 0, AI134/AI$109)</f>
        <v>2.3833978895765873E-2</v>
      </c>
      <c r="AK134" s="335">
        <f t="shared" ca="1" si="266"/>
        <v>16.209610000000001</v>
      </c>
      <c r="AL134" s="336">
        <f t="shared" ca="1" si="267"/>
        <v>0.60505315525455217</v>
      </c>
      <c r="AM134" s="337">
        <f t="shared" ca="1" si="268"/>
        <v>-3.2130799999999979</v>
      </c>
      <c r="AN134" s="334">
        <f t="shared" ca="1" si="269"/>
        <v>-6.9527501737603248E-2</v>
      </c>
      <c r="AU134" s="34"/>
      <c r="AV134" s="34"/>
      <c r="AW134" s="34"/>
      <c r="AX134" s="34"/>
      <c r="AY134" s="34"/>
      <c r="AZ134" s="34"/>
      <c r="BA134" s="34"/>
      <c r="BB134" s="34"/>
      <c r="BC134" s="33"/>
    </row>
    <row r="135" spans="1:55" ht="13" x14ac:dyDescent="0.3">
      <c r="A135" s="316"/>
      <c r="B135" s="7" t="s">
        <v>84</v>
      </c>
      <c r="C135" s="381">
        <f ca="1">C133-C134</f>
        <v>-47.050390000000121</v>
      </c>
      <c r="D135" s="334">
        <f ca="1">IF(C109=0,"N.D.",C135/C109)</f>
        <v>-2.5214395612463646E-2</v>
      </c>
      <c r="E135" s="381">
        <f ca="1">E133-E134</f>
        <v>-40.58338999999966</v>
      </c>
      <c r="F135" s="334">
        <f ca="1">IF(E109=0,"N.D.",E135/E109)</f>
        <v>-1.9825014166519953E-2</v>
      </c>
      <c r="G135" s="381">
        <f ca="1">G133-G134</f>
        <v>-74.31307999999953</v>
      </c>
      <c r="H135" s="334">
        <f ca="1">IF(G109=0,"N.D.",G135/G109)</f>
        <v>-3.8093643633380934E-2</v>
      </c>
      <c r="I135" s="335">
        <f t="shared" ca="1" si="262"/>
        <v>-6.4670000000004606</v>
      </c>
      <c r="J135" s="336">
        <f t="shared" ca="1" si="263"/>
        <v>0.15935090686116937</v>
      </c>
      <c r="K135" s="337">
        <f t="shared" ca="1" si="264"/>
        <v>27.262689999999409</v>
      </c>
      <c r="L135" s="334">
        <f t="shared" ca="1" si="265"/>
        <v>-0.36686260346091937</v>
      </c>
      <c r="S135" s="34"/>
      <c r="T135" s="34"/>
      <c r="U135" s="34"/>
      <c r="V135" s="34"/>
      <c r="W135" s="34"/>
      <c r="X135" s="34"/>
      <c r="Y135" s="34"/>
      <c r="Z135" s="34"/>
      <c r="AA135" s="33"/>
      <c r="AD135" s="7" t="s">
        <v>84</v>
      </c>
      <c r="AE135" s="381">
        <f ca="1">AE133-AE134</f>
        <v>-59.194528655481008</v>
      </c>
      <c r="AF135" s="334">
        <f ca="1">IF(AE109=0,"N.D.",AE135/AE109)</f>
        <v>-3.0830483674729691E-2</v>
      </c>
      <c r="AG135" s="381">
        <f ca="1">AG133-AG134</f>
        <v>-49.534390000000109</v>
      </c>
      <c r="AH135" s="334">
        <f ca="1">IF(AG109=0,"N.D.",AG135/AG109)</f>
        <v>-2.4502930890347656E-2</v>
      </c>
      <c r="AI135" s="381">
        <f ca="1">AI133-AI134</f>
        <v>-81.928682999999467</v>
      </c>
      <c r="AJ135" s="334">
        <f ca="1">IF(AI109=0,"N.D.",AI135/AI109)</f>
        <v>-4.2253978777867206E-2</v>
      </c>
      <c r="AK135" s="335">
        <f t="shared" ca="1" si="266"/>
        <v>-9.6601386554808997</v>
      </c>
      <c r="AL135" s="336">
        <f t="shared" ca="1" si="267"/>
        <v>0.19501882743445265</v>
      </c>
      <c r="AM135" s="337">
        <f t="shared" ca="1" si="268"/>
        <v>22.734154344518458</v>
      </c>
      <c r="AN135" s="334">
        <f t="shared" ca="1" si="269"/>
        <v>-0.27748712065246561</v>
      </c>
      <c r="AU135" s="34"/>
      <c r="AV135" s="34"/>
      <c r="AW135" s="34"/>
      <c r="AX135" s="34"/>
      <c r="AY135" s="34"/>
      <c r="AZ135" s="34"/>
      <c r="BA135" s="34"/>
      <c r="BB135" s="34"/>
      <c r="BC135" s="33"/>
    </row>
    <row r="136" spans="1:55" ht="13" x14ac:dyDescent="0.3">
      <c r="A136" s="316"/>
      <c r="B136" s="1" t="s">
        <v>193</v>
      </c>
      <c r="C136" s="412">
        <f ca="1">IF(C134=0,"N.D.",(C133-C131-C132)/C134)</f>
        <v>-0.75624132384784692</v>
      </c>
      <c r="E136" s="412">
        <f ca="1">IF(E134=0,"N.D.",(E133-E131-E132)/E134)</f>
        <v>-0.51484879466105804</v>
      </c>
      <c r="G136" s="412">
        <f ca="1">IF(G134=0,"N.D.",(G133-G131-G132)/G134)</f>
        <v>-0.60805295816681204</v>
      </c>
      <c r="S136" s="34"/>
      <c r="T136" s="34"/>
      <c r="U136" s="34"/>
      <c r="V136" s="34"/>
      <c r="W136" s="34"/>
      <c r="X136" s="34"/>
      <c r="Y136" s="34"/>
      <c r="Z136" s="34"/>
      <c r="AA136" s="33"/>
      <c r="AD136" s="1" t="s">
        <v>193</v>
      </c>
      <c r="AE136" s="412">
        <f ca="1">IF(AE134=0,"N.D.",(AE133-AE131-AE132)/AE134)</f>
        <v>-0.37661694547630253</v>
      </c>
      <c r="AG136" s="412">
        <f ca="1">IF(AG134=0,"N.D.",(AG133-AG131-AG132)/AG134)</f>
        <v>-0.84896113867696998</v>
      </c>
      <c r="AI136" s="412">
        <f ca="1">IF(AI134=0,"N.D.",(AI133-AI131-AI132)/AI134)</f>
        <v>-0.77284619419435963</v>
      </c>
      <c r="AU136" s="34"/>
      <c r="AV136" s="34"/>
      <c r="AW136" s="34"/>
      <c r="AX136" s="34"/>
      <c r="AY136" s="34"/>
      <c r="AZ136" s="34"/>
      <c r="BA136" s="34"/>
      <c r="BB136" s="34"/>
      <c r="BC136" s="33"/>
    </row>
    <row r="137" spans="1:55" x14ac:dyDescent="0.25">
      <c r="A137" s="316"/>
      <c r="N137" s="6"/>
      <c r="O137" s="6"/>
      <c r="P137" s="6"/>
      <c r="Q137" s="6"/>
      <c r="R137" s="6"/>
      <c r="T137" s="6"/>
      <c r="U137" s="6"/>
      <c r="AP137" s="6"/>
      <c r="AQ137" s="6"/>
      <c r="AR137" s="6"/>
      <c r="AS137" s="6"/>
      <c r="AT137" s="6"/>
      <c r="AV137" s="6"/>
      <c r="AW137" s="6"/>
    </row>
    <row r="138" spans="1:55" x14ac:dyDescent="0.25">
      <c r="A138" s="316"/>
      <c r="N138" s="6"/>
      <c r="O138" s="6"/>
      <c r="P138" s="6"/>
      <c r="Q138" s="6"/>
      <c r="R138" s="6"/>
      <c r="T138" s="6"/>
      <c r="U138" s="6"/>
      <c r="AP138" s="6"/>
      <c r="AQ138" s="6"/>
      <c r="AR138" s="6"/>
      <c r="AS138" s="6"/>
      <c r="AT138" s="6"/>
      <c r="AV138" s="6"/>
      <c r="AW138" s="6"/>
    </row>
    <row r="139" spans="1:55" x14ac:dyDescent="0.25">
      <c r="A139" s="316"/>
      <c r="N139" s="6"/>
      <c r="O139" s="6"/>
      <c r="P139" s="6"/>
      <c r="Q139" s="6"/>
      <c r="R139" s="6"/>
      <c r="T139" s="6"/>
      <c r="U139" s="6"/>
      <c r="AP139" s="6"/>
      <c r="AQ139" s="6"/>
      <c r="AR139" s="6"/>
      <c r="AS139" s="6"/>
      <c r="AT139" s="6"/>
      <c r="AV139" s="6"/>
      <c r="AW139" s="6"/>
    </row>
    <row r="140" spans="1:55" ht="13" x14ac:dyDescent="0.3">
      <c r="A140" s="316"/>
      <c r="B140" s="277" t="s">
        <v>329</v>
      </c>
      <c r="C140" s="319"/>
      <c r="D140" s="320"/>
      <c r="E140" s="319"/>
      <c r="F140" s="320"/>
      <c r="G140" s="319"/>
      <c r="H140" s="320"/>
      <c r="I140" s="319"/>
      <c r="J140" s="320"/>
      <c r="K140" s="319"/>
      <c r="L140" s="320"/>
      <c r="N140" s="39"/>
      <c r="O140" s="39"/>
      <c r="P140" s="39"/>
      <c r="Q140" s="39"/>
      <c r="R140" s="39"/>
      <c r="T140" s="39"/>
      <c r="U140" s="39"/>
      <c r="AD140" s="386" t="str">
        <f>+B140</f>
        <v>PIZZAS DEL SUR</v>
      </c>
      <c r="AE140" s="319"/>
      <c r="AF140" s="320"/>
      <c r="AG140" s="319"/>
      <c r="AH140" s="320"/>
      <c r="AI140" s="319"/>
      <c r="AJ140" s="320"/>
      <c r="AK140" s="319"/>
      <c r="AL140" s="320"/>
      <c r="AM140" s="319"/>
      <c r="AN140" s="320"/>
      <c r="AP140" s="39"/>
      <c r="AQ140" s="39"/>
      <c r="AR140" s="39"/>
      <c r="AS140" s="39"/>
      <c r="AT140" s="39"/>
      <c r="AV140" s="39"/>
      <c r="AW140" s="39"/>
    </row>
    <row r="141" spans="1:55" ht="13" x14ac:dyDescent="0.3">
      <c r="A141" s="316"/>
      <c r="B141" s="318" t="s">
        <v>430</v>
      </c>
      <c r="C141" s="319"/>
      <c r="D141" s="320"/>
      <c r="E141" s="319"/>
      <c r="F141" s="320"/>
      <c r="G141" s="319"/>
      <c r="H141" s="320"/>
      <c r="I141" s="319"/>
      <c r="J141" s="320"/>
      <c r="K141" s="319"/>
      <c r="L141" s="320"/>
      <c r="N141" s="39"/>
      <c r="O141" s="39"/>
      <c r="P141" s="39"/>
      <c r="Q141" s="39"/>
      <c r="R141" s="39"/>
      <c r="T141" s="39"/>
      <c r="U141" s="39"/>
      <c r="AD141" s="318" t="s">
        <v>431</v>
      </c>
      <c r="AE141" s="319"/>
      <c r="AF141" s="320"/>
      <c r="AG141" s="319"/>
      <c r="AH141" s="320"/>
      <c r="AI141" s="319"/>
      <c r="AJ141" s="320"/>
      <c r="AK141" s="319"/>
      <c r="AL141" s="320"/>
      <c r="AM141" s="319"/>
      <c r="AN141" s="320"/>
      <c r="AP141" s="39"/>
      <c r="AQ141" s="39"/>
      <c r="AR141" s="39"/>
      <c r="AS141" s="39"/>
      <c r="AT141" s="39"/>
      <c r="AV141" s="39"/>
      <c r="AW141" s="39"/>
    </row>
    <row r="142" spans="1:55" ht="13" x14ac:dyDescent="0.3">
      <c r="A142" s="316"/>
      <c r="B142" s="319"/>
      <c r="C142" s="390" t="s">
        <v>0</v>
      </c>
      <c r="D142" s="321"/>
      <c r="E142" s="390" t="s">
        <v>4</v>
      </c>
      <c r="F142" s="321"/>
      <c r="G142" s="390" t="s">
        <v>9</v>
      </c>
      <c r="H142" s="321"/>
      <c r="I142" s="390" t="s">
        <v>6</v>
      </c>
      <c r="J142" s="321"/>
      <c r="K142" s="390" t="s">
        <v>7</v>
      </c>
      <c r="L142" s="320"/>
      <c r="AD142" s="319"/>
      <c r="AE142" s="524" t="s">
        <v>498</v>
      </c>
      <c r="AF142" s="321"/>
      <c r="AG142" s="390" t="s">
        <v>4</v>
      </c>
      <c r="AH142" s="321"/>
      <c r="AI142" s="390" t="s">
        <v>9</v>
      </c>
      <c r="AJ142" s="321"/>
      <c r="AK142" s="390" t="s">
        <v>6</v>
      </c>
      <c r="AL142" s="321"/>
      <c r="AM142" s="390" t="s">
        <v>7</v>
      </c>
      <c r="AN142" s="320"/>
    </row>
    <row r="143" spans="1:55" x14ac:dyDescent="0.25">
      <c r="A143" s="316"/>
      <c r="B143" s="322" t="s">
        <v>38</v>
      </c>
      <c r="C143" s="323">
        <f ca="1">INDIRECT(ADDRESS(MATCH($B$140,'ER Act'!$B:$B,0)+1,MATCH(TEXT(DATE(YEAR(MES_CIERRE),ROUNDUP(MONTH(MES_CIERRE)/3,0)*3-2,1),"MMMM"),'ER Act'!$1:$1,0),,,"ER Act"))+INDIRECT(ADDRESS(MATCH($B$140,'ER Act'!$B:$B,0)+1,MATCH(TEXT(DATE(YEAR(MES_CIERRE),ROUNDUP(MONTH(MES_CIERRE)/3,0)*3-1,1),"MMMM"),'ER Act'!$1:$1,0),,,"ER Act"))+INDIRECT(ADDRESS(MATCH($B$140,'ER Act'!$B:$B,0)+1,MATCH(TEXT(DATE(YEAR(MES_CIERRE),ROUNDUP(MONTH(MES_CIERRE)/3,0)*3-0,1),"MMMM"),'ER Act'!$1:$1,0),,,"ER Act"))</f>
        <v>690.65</v>
      </c>
      <c r="D143" s="324">
        <f ca="1">IF(C143=0,"N.D.",C143/C143)</f>
        <v>1</v>
      </c>
      <c r="E143" s="323">
        <f ca="1">INDIRECT(ADDRESS(MATCH($B$140,'ER Ppto'!$B:$B,0)+1,MATCH(TEXT(DATE(YEAR(MES_CIERRE),ROUNDUP(MONTH(MES_CIERRE)/3,0)*3-2,1),"MMMM"),'ER Ppto'!$1:$1,0),,,"ER Ppto"))+INDIRECT(ADDRESS(MATCH($B$140,'ER Ppto'!$B:$B,0)+1,MATCH(TEXT(DATE(YEAR(MES_CIERRE),ROUNDUP(MONTH(MES_CIERRE)/3,0)*3-1,1),"MMMM"),'ER Ppto'!$1:$1,0),,,"ER Ppto"))+INDIRECT(ADDRESS(MATCH($B$140,'ER Ppto'!$B:$B,0)+1,MATCH(TEXT(DATE(YEAR(MES_CIERRE),ROUNDUP(MONTH(MES_CIERRE)/3,0)*3-0,1),"MMMM"),'ER Ppto'!$1:$1,0),,,"ER Ppto"))</f>
        <v>762.85500000000002</v>
      </c>
      <c r="F143" s="324">
        <f ca="1">IF(E143=0,"N.D.",E143/E143)</f>
        <v>1</v>
      </c>
      <c r="G143" s="323">
        <f ca="1">INDIRECT(ADDRESS(MATCH($B$140,'ER AA'!$B:$B,0)+1,MATCH(TEXT(DATE(YEAR(MES_CIERRE),ROUNDUP(MONTH(MES_CIERRE)/3,0)*3-2,1),"MMMM"),'ER AA'!$1:$1,0),,,"ER AA"))+INDIRECT(ADDRESS(MATCH($B$140,'ER AA'!$B:$B,0)+1,MATCH(TEXT(DATE(YEAR(MES_CIERRE),ROUNDUP(MONTH(MES_CIERRE)/3,0)*3-1,1),"MMMM"),'ER AA'!$1:$1,0),,,"ER AA"))+INDIRECT(ADDRESS(MATCH($B$140,'ER AA'!$B:$B,0)+1,MATCH(TEXT(DATE(YEAR(MES_CIERRE),ROUNDUP(MONTH(MES_CIERRE)/3,0)*3-0,1),"MMMM"),'ER AA'!$1:$1,0),,,"ER AA"))</f>
        <v>740.48</v>
      </c>
      <c r="H143" s="324">
        <f ca="1">IF(G143=0,"N.D.",G143/G143)</f>
        <v>1</v>
      </c>
      <c r="I143" s="325">
        <f ca="1">C143-E143</f>
        <v>-72.205000000000041</v>
      </c>
      <c r="J143" s="326">
        <f ca="1">IF(E143=0,"N.D.",C143/E143-1)</f>
        <v>-9.4651014937307876E-2</v>
      </c>
      <c r="K143" s="327">
        <f ca="1">C143-G143</f>
        <v>-49.830000000000041</v>
      </c>
      <c r="L143" s="324">
        <f ca="1">IF(G143=0,"N.D.",C143/G143-1)</f>
        <v>-6.7294187554019058E-2</v>
      </c>
      <c r="AD143" s="322" t="s">
        <v>38</v>
      </c>
      <c r="AE143" s="323">
        <v>725</v>
      </c>
      <c r="AF143" s="324">
        <f>IF(AE143=0,"N.D.",AE143/AE143)</f>
        <v>1</v>
      </c>
      <c r="AG143" s="526">
        <f ca="1">((INDIRECT(ADDRESS(MATCH($B$140,BDPP!$B:$B,0)+6,MATCH(TEXT(DATE(YEAR(MES_CIERRE),ROUNDUP(MONTH(MES_CIERRE)/3,0)*3,1),"MMMM"),BDPP!$1:$1,0)+1,,,"BDPP")))++(INDIRECT(ADDRESS(MATCH($B$140,BDPP!$B:$B,0)+6,MATCH(TEXT(DATE(YEAR(MES_CIERRE),ROUNDUP(MONTH(MES_CIERRE)/3,0)*3,1),"MMMM"),BDPP!$1:$1,0)+2,,,"BDPP")))+(INDIRECT(ADDRESS(MATCH($B$140,BDPP!$B:$B,0)+6,MATCH(TEXT(DATE(YEAR(MES_CIERRE),ROUNDUP(MONTH(MES_CIERRE)/3,0)*3,1),"MMMM"),BDPP!$1:$1,0)+3,,,"BDPP"))))/1000</f>
        <v>720.81500000000005</v>
      </c>
      <c r="AH143" s="324">
        <f ca="1">IF(AG143=0,"N.D.",AG143/AG143)</f>
        <v>1</v>
      </c>
      <c r="AI143" s="323">
        <f ca="1">INDIRECT(ADDRESS(MATCH($B$140,INDIRECT("'"&amp;IF(MONTH(MES_CIERRE)=12,"ER ACT","ER AA")&amp;"'!$B:$B"),0)+1,MATCH(TEXT(DATE(YEAR(MES_CIERRE),ROUNDUP(MONTH(MES_CIERRE)+1,0),1),"MMMM"),'ER AA'!$1:$1,0),,,IF(MONTH(MES_CIERRE)=12,"ER ACT","ER AA")))+INDIRECT(ADDRESS(MATCH($B$140,INDIRECT("'"&amp;IF(MONTH(MES_CIERRE)=12,"ER ACT","ER AA")&amp;"'!$B:$B"),0)+1,MATCH(TEXT(DATE(YEAR(MES_CIERRE),ROUNDUP(MONTH(MES_CIERRE)+2,0),1),"MMMM"),'ER AA'!$1:$1,0),,,IF(MONTH(MES_CIERRE)=12,"ER ACT","ER AA")))+INDIRECT(ADDRESS(MATCH($B$140,INDIRECT("'"&amp;IF(MONTH(MES_CIERRE)=12,"ER ACT","ER AA")&amp;"'!$B:$B"),0)+1,MATCH(TEXT(DATE(YEAR(MES_CIERRE),ROUNDUP(MONTH(MES_CIERRE)+3,0),1),"MMMM"),'ER AA'!$1:$1,0),,,IF(MONTH(MES_CIERRE)=12,"ER ACT","ER AA")))</f>
        <v>722.43894</v>
      </c>
      <c r="AJ143" s="324">
        <f ca="1">IF(AI143=0,"N.D.",AI143/AI143)</f>
        <v>1</v>
      </c>
      <c r="AK143" s="325">
        <f ca="1">AE143-AG143</f>
        <v>4.1849999999999454</v>
      </c>
      <c r="AL143" s="326">
        <f ca="1">IF(AG143=0,"N.D.",AE143/AG143-1)</f>
        <v>5.8059280120419388E-3</v>
      </c>
      <c r="AM143" s="327">
        <f ca="1">AE143-AI143</f>
        <v>2.5610599999999977</v>
      </c>
      <c r="AN143" s="324">
        <f ca="1">IF(AI143=0,"N.D.",AE143/AI143-1)</f>
        <v>3.5450193202486435E-3</v>
      </c>
      <c r="AO143" s="535">
        <v>732</v>
      </c>
    </row>
    <row r="144" spans="1:55" x14ac:dyDescent="0.25">
      <c r="A144" s="316"/>
      <c r="B144" s="322" t="s">
        <v>39</v>
      </c>
      <c r="C144" s="328">
        <f ca="1">INDIRECT(ADDRESS(MATCH($B$140,'ER Act'!$B:$B,0)+2,MATCH(TEXT(DATE(YEAR(MES_CIERRE),ROUNDUP(MONTH(MES_CIERRE)/3,0)*3-2,1),"MMMM"),'ER Act'!$1:$1,0),,,"ER Act"))+INDIRECT(ADDRESS(MATCH($B$140,'ER Act'!$B:$B,0)+2,MATCH(TEXT(DATE(YEAR(MES_CIERRE),ROUNDUP(MONTH(MES_CIERRE)/3,0)*3-1,1),"MMMM"),'ER Act'!$1:$1,0),,,"ER Act"))+INDIRECT(ADDRESS(MATCH($B$140,'ER Act'!$B:$B,0)+2,MATCH(TEXT(DATE(YEAR(MES_CIERRE),ROUNDUP(MONTH(MES_CIERRE)/3,0)*3-0,1),"MMMM"),'ER Act'!$1:$1,0),,,"ER Act"))</f>
        <v>237.75</v>
      </c>
      <c r="D144" s="329">
        <f ca="1">IF(C143=0,"N.D.",C144/C143)</f>
        <v>0.34424093245493376</v>
      </c>
      <c r="E144" s="328">
        <f ca="1">INDIRECT(ADDRESS(MATCH($B$140,'ER Ppto'!$B:$B,0)+2,MATCH(TEXT(DATE(YEAR(MES_CIERRE),ROUNDUP(MONTH(MES_CIERRE)/3,0)*3-2,1),"MMMM"),'ER Ppto'!$1:$1,0),,,"ER Ppto"))+INDIRECT(ADDRESS(MATCH($B$140,'ER Ppto'!$B:$B,0)+2,MATCH(TEXT(DATE(YEAR(MES_CIERRE),ROUNDUP(MONTH(MES_CIERRE)/3,0)*3-1,1),"MMMM"),'ER Ppto'!$1:$1,0),,,"ER Ppto"))+INDIRECT(ADDRESS(MATCH($B$140,'ER Ppto'!$B:$B,0)+2,MATCH(TEXT(DATE(YEAR(MES_CIERRE),ROUNDUP(MONTH(MES_CIERRE)/3,0)*3-0,1),"MMMM"),'ER Ppto'!$1:$1,0),,,"ER Ppto"))</f>
        <v>270.05099999999999</v>
      </c>
      <c r="F144" s="329">
        <f ca="1">IF(E143=0,"N.D.",E144/E143)</f>
        <v>0.35400043258548475</v>
      </c>
      <c r="G144" s="328">
        <f ca="1">INDIRECT(ADDRESS(MATCH($B$140,'ER AA'!$B:$B,0)+2,MATCH(TEXT(DATE(YEAR(MES_CIERRE),ROUNDUP(MONTH(MES_CIERRE)/3,0)*3-2,1),"MMMM"),'ER AA'!$1:$1,0),,,"ER AA"))+INDIRECT(ADDRESS(MATCH($B$140,'ER AA'!$B:$B,0)+2,MATCH(TEXT(DATE(YEAR(MES_CIERRE),ROUNDUP(MONTH(MES_CIERRE)/3,0)*3-1,1),"MMMM"),'ER AA'!$1:$1,0),,,"ER AA"))+INDIRECT(ADDRESS(MATCH($B$140,'ER AA'!$B:$B,0)+2,MATCH(TEXT(DATE(YEAR(MES_CIERRE),ROUNDUP(MONTH(MES_CIERRE)/3,0)*3-0,1),"MMMM"),'ER AA'!$1:$1,0),,,"ER AA"))</f>
        <v>259.24099999999999</v>
      </c>
      <c r="H144" s="329">
        <f ca="1">IF(G143=0,"N.D.",G144/G143)</f>
        <v>0.35009858470181499</v>
      </c>
      <c r="I144" s="330">
        <f ca="1">C144-E144</f>
        <v>-32.300999999999988</v>
      </c>
      <c r="J144" s="331">
        <f ca="1">IF(E144=0,"N.D.",C144/E144-1)</f>
        <v>-0.11961074019351892</v>
      </c>
      <c r="K144" s="328">
        <f ca="1">C144-G144</f>
        <v>-21.490999999999985</v>
      </c>
      <c r="L144" s="329">
        <f ca="1">IF(G144=0,"N.D.",C144/G144-1)</f>
        <v>-8.2899695649993554E-2</v>
      </c>
      <c r="AD144" s="322" t="s">
        <v>39</v>
      </c>
      <c r="AE144" s="328">
        <f ca="1">AE143*D144</f>
        <v>249.57467602982697</v>
      </c>
      <c r="AF144" s="329">
        <f ca="1">IF(AE143=0,"N.D.",AE144/AE143)</f>
        <v>0.34424093245493376</v>
      </c>
      <c r="AG144" s="328">
        <f ca="1">((INDIRECT(ADDRESS(MATCH($B$140,BDPP!$B:$B,0)+7,MATCH(TEXT(DATE(YEAR(MES_CIERRE),ROUNDUP(MONTH(MES_CIERRE)/3,0)*3,1),"MMMM"),BDPP!$1:$1,0)+1,,,"BDPP")))+(INDIRECT(ADDRESS(MATCH($B$140,BDPP!$B:$B,0)+7,MATCH(TEXT(DATE(YEAR(MES_CIERRE),ROUNDUP(MONTH(MES_CIERRE)/3,0)*3,1),"MMMM"),BDPP!$1:$1,0)+2,,,"BDPP")))+(INDIRECT(ADDRESS(MATCH($B$140,BDPP!$B:$B,0)+7,MATCH(TEXT(DATE(YEAR(MES_CIERRE),ROUNDUP(MONTH(MES_CIERRE)/3,0)*3,1),"MMMM"),BDPP!$1:$1,0)+3,,,"BDPP"))))/1000</f>
        <v>255.16900000000001</v>
      </c>
      <c r="AH144" s="329">
        <f ca="1">IF(AG143=0,"N.D.",AG144/AG143)</f>
        <v>0.35400067978607547</v>
      </c>
      <c r="AI144" s="328">
        <f ca="1">INDIRECT(ADDRESS(MATCH($B$140,INDIRECT("'"&amp;IF(MONTH(MES_CIERRE)=12,"ER ACT","ER AA")&amp;"'!$B:$B"),0)+2,MATCH(TEXT(DATE(YEAR(MES_CIERRE),ROUNDUP(MONTH(MES_CIERRE)+1,0),1),"MMMM"),'ER AA'!$1:$1,0),,,IF(MONTH(MES_CIERRE)=12,"ER ACT","ER AA")))+INDIRECT(ADDRESS(MATCH($B$140,INDIRECT("'"&amp;IF(MONTH(MES_CIERRE)=12,"ER ACT","ER AA")&amp;"'!$B:$B"),0)+2,MATCH(TEXT(DATE(YEAR(MES_CIERRE),ROUNDUP(MONTH(MES_CIERRE)+2,0),1),"MMMM"),'ER AA'!$1:$1,0),,,IF(MONTH(MES_CIERRE)=12,"ER ACT","ER AA")))+INDIRECT(ADDRESS(MATCH($B$140,INDIRECT("'"&amp;IF(MONTH(MES_CIERRE)=12,"ER ACT","ER AA")&amp;"'!$B:$B"),0)+2,MATCH(TEXT(DATE(YEAR(MES_CIERRE),ROUNDUP(MONTH(MES_CIERRE)+3,0),1),"MMMM"),'ER AA'!$1:$1,0),,,IF(MONTH(MES_CIERRE)=12,"ER ACT","ER AA")))+INDIRECT(ADDRESS(MATCH($B$140,INDIRECT("'"&amp;IF(MONTH(MES_CIERRE)=12,"ER ACT","ER AA")&amp;"'!$B:$B"),0)+3,MATCH(TEXT(DATE(YEAR(MES_CIERRE),ROUNDUP(MONTH(MES_CIERRE)+1,0),1),"MMMM"),'ER AA'!$1:$1,0),,,IF(MONTH(MES_CIERRE)=12,"ER ACT","ER AA")))+INDIRECT(ADDRESS(MATCH($B$140,INDIRECT("'"&amp;IF(MONTH(MES_CIERRE)=12,"ER ACT","ER AA")&amp;"'!$B:$B"),0)+3,MATCH(TEXT(DATE(YEAR(MES_CIERRE),ROUNDUP(MONTH(MES_CIERRE)+2,0),1),"MMMM"),'ER AA'!$1:$1,0),,,IF(MONTH(MES_CIERRE)=12,"ER ACT","ER AA")))+INDIRECT(ADDRESS(MATCH($B$140,INDIRECT("'"&amp;IF(MONTH(MES_CIERRE)=12,"ER ACT","ER AA")&amp;"'!$B:$B"),0)+3,MATCH(TEXT(DATE(YEAR(MES_CIERRE),ROUNDUP(MONTH(MES_CIERRE)+3,0),1),"MMMM"),'ER AA'!$1:$1,0),,,IF(MONTH(MES_CIERRE)=12,"ER ACT","ER AA")))</f>
        <v>278.27918</v>
      </c>
      <c r="AJ144" s="329">
        <f ca="1">IF(AI143=0,"N.D.",AI144/AI143)</f>
        <v>0.3851940483717558</v>
      </c>
      <c r="AK144" s="330">
        <f ca="1">AE144-AG144</f>
        <v>-5.5943239701730363</v>
      </c>
      <c r="AL144" s="331">
        <f ca="1">IF(AG144=0,"N.D.",AE144/AG144-1)</f>
        <v>-2.1923995352778114E-2</v>
      </c>
      <c r="AM144" s="328">
        <f ca="1">AE144-AI144</f>
        <v>-28.704503970173022</v>
      </c>
      <c r="AN144" s="329">
        <f ca="1">IF(AI144=0,"N.D.",AE144/AI144-1)</f>
        <v>-0.103150023548916</v>
      </c>
    </row>
    <row r="145" spans="1:40" ht="13" x14ac:dyDescent="0.3">
      <c r="A145" s="316"/>
      <c r="B145" s="332" t="s">
        <v>40</v>
      </c>
      <c r="C145" s="333">
        <f ca="1">+C143-C144</f>
        <v>452.9</v>
      </c>
      <c r="D145" s="334">
        <f ca="1">IF(C143=0,"N.D.",C145/C143)</f>
        <v>0.65575906754506619</v>
      </c>
      <c r="E145" s="333">
        <f ca="1">+E143-E144</f>
        <v>492.80400000000003</v>
      </c>
      <c r="F145" s="334">
        <f ca="1">IF(E143=0,"N.D.",E145/E143)</f>
        <v>0.64599956741451525</v>
      </c>
      <c r="G145" s="333">
        <f ca="1">+G143-G144</f>
        <v>481.23900000000003</v>
      </c>
      <c r="H145" s="334">
        <f ca="1">IF(G143=0,"N.D.",G145/G143)</f>
        <v>0.64990141529818501</v>
      </c>
      <c r="I145" s="335">
        <f ca="1">C145-E145</f>
        <v>-39.904000000000053</v>
      </c>
      <c r="J145" s="336">
        <f ca="1">IF(E145=0,"N.D.",C145/E145-1)</f>
        <v>-8.0973368722656591E-2</v>
      </c>
      <c r="K145" s="337">
        <f ca="1">C145-G145</f>
        <v>-28.339000000000055</v>
      </c>
      <c r="L145" s="334">
        <f ca="1">IF(G145=0,"N.D.",C145/G145-1)</f>
        <v>-5.8887579768057141E-2</v>
      </c>
      <c r="AD145" s="332" t="s">
        <v>40</v>
      </c>
      <c r="AE145" s="333">
        <f ca="1">+AE143-AE144</f>
        <v>475.42532397017305</v>
      </c>
      <c r="AF145" s="334">
        <f ca="1">IF(AE143=0,"N.D.",AE145/AE143)</f>
        <v>0.6557590675450663</v>
      </c>
      <c r="AG145" s="333">
        <f ca="1">+AG143-AG144</f>
        <v>465.64600000000007</v>
      </c>
      <c r="AH145" s="334">
        <f ca="1">IF(AG143=0,"N.D.",AG145/AG143)</f>
        <v>0.64599932021392459</v>
      </c>
      <c r="AI145" s="333">
        <f ca="1">+AI143-AI144</f>
        <v>444.15976000000001</v>
      </c>
      <c r="AJ145" s="334">
        <f ca="1">IF(AI143=0,"N.D.",AI145/AI143)</f>
        <v>0.61480595162824414</v>
      </c>
      <c r="AK145" s="335">
        <f ca="1">AE145-AG145</f>
        <v>9.7793239701729817</v>
      </c>
      <c r="AL145" s="336">
        <f ca="1">IF(AG145=0,"N.D.",AE145/AG145-1)</f>
        <v>2.1001627781991106E-2</v>
      </c>
      <c r="AM145" s="337">
        <f ca="1">AE145-AI145</f>
        <v>31.265563970173048</v>
      </c>
      <c r="AN145" s="334">
        <f ca="1">IF(AI145=0,"N.D.",AE145/AI145-1)</f>
        <v>7.0392608214154828E-2</v>
      </c>
    </row>
    <row r="146" spans="1:40" x14ac:dyDescent="0.25">
      <c r="A146" s="316"/>
      <c r="B146" s="322"/>
      <c r="C146" s="338"/>
      <c r="D146" s="339"/>
      <c r="E146" s="338"/>
      <c r="F146" s="339"/>
      <c r="G146" s="338"/>
      <c r="H146" s="339"/>
      <c r="I146" s="338"/>
      <c r="J146" s="340"/>
      <c r="K146" s="338"/>
      <c r="L146" s="339"/>
      <c r="AD146" s="322"/>
      <c r="AE146" s="338"/>
      <c r="AF146" s="339"/>
      <c r="AG146" s="338"/>
      <c r="AH146" s="339"/>
      <c r="AI146" s="338"/>
      <c r="AJ146" s="339"/>
      <c r="AK146" s="338"/>
      <c r="AL146" s="340"/>
      <c r="AM146" s="338"/>
      <c r="AN146" s="339"/>
    </row>
    <row r="147" spans="1:40" x14ac:dyDescent="0.25">
      <c r="A147" s="316"/>
      <c r="B147" s="9" t="s">
        <v>41</v>
      </c>
      <c r="C147" s="327">
        <f ca="1">INDIRECT(ADDRESS(MATCH($B$140,'ER Act'!$B:$B,0)+6,MATCH(TEXT(DATE(YEAR(MES_CIERRE),ROUNDUP(MONTH(MES_CIERRE)/3,0)*3-2,1),"MMMM"),'ER Act'!$1:$1,0),,,"ER Act"))+INDIRECT(ADDRESS(MATCH($B$140,'ER Act'!$B:$B,0)+6,MATCH(TEXT(DATE(YEAR(MES_CIERRE),ROUNDUP(MONTH(MES_CIERRE)/3,0)*3-1,1),"MMMM"),'ER Act'!$1:$1,0),,,"ER Act"))+INDIRECT(ADDRESS(MATCH($B$140,'ER Act'!$B:$B,0)+6,MATCH(TEXT(DATE(YEAR(MES_CIERRE),ROUNDUP(MONTH(MES_CIERRE)/3,0)*3-0,1),"MMMM"),'ER Act'!$1:$1,0),,,"ER Act"))</f>
        <v>470.36099999999999</v>
      </c>
      <c r="D147" s="324">
        <f ca="1">IF(C143=0,"N.D.",C147/C143)</f>
        <v>0.68104104828784484</v>
      </c>
      <c r="E147" s="327">
        <f ca="1">INDIRECT(ADDRESS(MATCH($B$140,'ER Ppto'!$B:$B,0)+6,MATCH(TEXT(DATE(YEAR(MES_CIERRE),ROUNDUP(MONTH(MES_CIERRE)/3,0)*3-2,1),"MMMM"),'ER Ppto'!$1:$1,0),,,"ER Ppto"))+INDIRECT(ADDRESS(MATCH($B$140,'ER Ppto'!$B:$B,0)+6,MATCH(TEXT(DATE(YEAR(MES_CIERRE),ROUNDUP(MONTH(MES_CIERRE)/3,0)*3-1,1),"MMMM"),'ER Ppto'!$1:$1,0),,,"ER Ppto"))+INDIRECT(ADDRESS(MATCH($B$140,'ER Ppto'!$B:$B,0)+6,MATCH(TEXT(DATE(YEAR(MES_CIERRE),ROUNDUP(MONTH(MES_CIERRE)/3,0)*3-0,1),"MMMM"),'ER Ppto'!$1:$1,0),,,"ER Ppto"))</f>
        <v>507.75400000000002</v>
      </c>
      <c r="F147" s="324">
        <f ca="1">IF(E143=0,"N.D.",E147/E143)</f>
        <v>0.66559700074063877</v>
      </c>
      <c r="G147" s="327">
        <f ca="1">INDIRECT(ADDRESS(MATCH($B$140,'ER AA'!$B:$B,0)+6,MATCH(TEXT(DATE(YEAR(MES_CIERRE),ROUNDUP(MONTH(MES_CIERRE)/3,0)*3-2,1),"MMMM"),'ER AA'!$1:$1,0),,,"ER AA"))+INDIRECT(ADDRESS(MATCH($B$140,'ER AA'!$B:$B,0)+6,MATCH(TEXT(DATE(YEAR(MES_CIERRE),ROUNDUP(MONTH(MES_CIERRE)/3,0)*3-1,1),"MMMM"),'ER AA'!$1:$1,0),,,"ER AA"))+INDIRECT(ADDRESS(MATCH($B$140,'ER AA'!$B:$B,0)+6,MATCH(TEXT(DATE(YEAR(MES_CIERRE),ROUNDUP(MONTH(MES_CIERRE)/3,0)*3-0,1),"MMMM"),'ER AA'!$1:$1,0),,,"ER AA"))</f>
        <v>494.45100000000002</v>
      </c>
      <c r="H147" s="324">
        <f ca="1">IF(G143=0,"N.D.",G147/G143)</f>
        <v>0.66774389585133964</v>
      </c>
      <c r="I147" s="325">
        <f ca="1">C147-E147</f>
        <v>-37.393000000000029</v>
      </c>
      <c r="J147" s="326">
        <f ca="1">IF(E147=0,"N.D.",C147/E147-1)</f>
        <v>-7.3643929934574692E-2</v>
      </c>
      <c r="K147" s="327">
        <f ca="1">C147-G147</f>
        <v>-24.090000000000032</v>
      </c>
      <c r="L147" s="324">
        <f ca="1">IF(G147=0,"N.D.",C147/G147-1)</f>
        <v>-4.8720702354732914E-2</v>
      </c>
      <c r="AD147" s="9" t="s">
        <v>41</v>
      </c>
      <c r="AE147" s="327">
        <f ca="1">AE143*D147</f>
        <v>493.75476000868753</v>
      </c>
      <c r="AF147" s="324">
        <f ca="1">IF(AE143=0,"N.D.",AE147/AE143)</f>
        <v>0.68104104828784484</v>
      </c>
      <c r="AG147" s="327">
        <f ca="1">((INDIRECT(ADDRESS(MATCH($B$140,BDPP!$B:$B,0)+10,MATCH(TEXT(DATE(YEAR(MES_CIERRE),ROUNDUP(MONTH(MES_CIERRE)/3,0)*3,1),"MMMM"),BDPP!$1:$1,0)+1,,,"BDPP")))+(INDIRECT(ADDRESS(MATCH($B$140,BDPP!$B:$B,0)+10,MATCH(TEXT(DATE(YEAR(MES_CIERRE),ROUNDUP(MONTH(MES_CIERRE)/3,0)*3,1),"MMMM"),BDPP!$1:$1,0)+2,,,"BDPP")))+(INDIRECT(ADDRESS(MATCH($B$140,BDPP!$B:$B,0)+10,MATCH(TEXT(DATE(YEAR(MES_CIERRE),ROUNDUP(MONTH(MES_CIERRE)/3,0)*3,1),"MMMM"),BDPP!$1:$1,0)+3,,,"BDPP"))))/1000</f>
        <v>497.62099999999998</v>
      </c>
      <c r="AH147" s="324">
        <f ca="1">IF(AG143=0,"N.D.",AG147/AG143)</f>
        <v>0.69035882993555897</v>
      </c>
      <c r="AI147" s="327">
        <f ca="1">INDIRECT(ADDRESS(MATCH($B$140,INDIRECT("'"&amp;IF(MONTH(MES_CIERRE)=12,"ER ACT","ER AA")&amp;"'!$B:$B"),0)+6,MATCH(TEXT(DATE(YEAR(MES_CIERRE),ROUNDUP(MONTH(MES_CIERRE)+1,0),1),"MMMM"),'ER AA'!$1:$1,0),,,IF(MONTH(MES_CIERRE)=12,"ER ACT","ER AA")))+INDIRECT(ADDRESS(MATCH($B$140,INDIRECT("'"&amp;IF(MONTH(MES_CIERRE)=12,"ER ACT","ER AA")&amp;"'!$B:$B"),0)+6,MATCH(TEXT(DATE(YEAR(MES_CIERRE),ROUNDUP(MONTH(MES_CIERRE)+2,0),1),"MMMM"),'ER AA'!$1:$1,0),,,IF(MONTH(MES_CIERRE)=12,"ER ACT","ER AA")))+INDIRECT(ADDRESS(MATCH($B$140,INDIRECT("'"&amp;IF(MONTH(MES_CIERRE)=12,"ER ACT","ER AA")&amp;"'!$B:$B"),0)+6,MATCH(TEXT(DATE(YEAR(MES_CIERRE),ROUNDUP(MONTH(MES_CIERRE)+3,0),1),"MMMM"),'ER AA'!$1:$1,0),,,IF(MONTH(MES_CIERRE)=12,"ER ACT","ER AA")))</f>
        <v>465.28750000000002</v>
      </c>
      <c r="AJ147" s="324">
        <f ca="1">IF(AI143=0,"N.D.",AI147/AI143)</f>
        <v>0.64405096989926935</v>
      </c>
      <c r="AK147" s="325">
        <f ca="1">AE147-AG147</f>
        <v>-3.8662399913124545</v>
      </c>
      <c r="AL147" s="326">
        <f ca="1">IF(AG147=0,"N.D.",AE147/AG147-1)</f>
        <v>-7.7694470115056147E-3</v>
      </c>
      <c r="AM147" s="327">
        <f ca="1">AE147-AI147</f>
        <v>28.467260008687504</v>
      </c>
      <c r="AN147" s="324">
        <f ca="1">IF(AI147=0,"N.D.",AE147/AI147-1)</f>
        <v>6.1182086363135602E-2</v>
      </c>
    </row>
    <row r="148" spans="1:40" x14ac:dyDescent="0.25">
      <c r="A148" s="316"/>
      <c r="B148" s="9" t="s">
        <v>42</v>
      </c>
      <c r="C148" s="328">
        <f ca="1">INDIRECT(ADDRESS(MATCH($B$140,'ER Act'!$B:$B,0)+7,MATCH(TEXT(DATE(YEAR(MES_CIERRE),ROUNDUP(MONTH(MES_CIERRE)/3,0)*3-2,1),"MMMM"),'ER Act'!$1:$1,0),,,"ER Act"))+INDIRECT(ADDRESS(MATCH($B$140,'ER Act'!$B:$B,0)+7,MATCH(TEXT(DATE(YEAR(MES_CIERRE),ROUNDUP(MONTH(MES_CIERRE)/3,0)*3-1,1),"MMMM"),'ER Act'!$1:$1,0),,,"ER Act"))+INDIRECT(ADDRESS(MATCH($B$140,'ER Act'!$B:$B,0)+7,MATCH(TEXT(DATE(YEAR(MES_CIERRE),ROUNDUP(MONTH(MES_CIERRE)/3,0)*3-0,1),"MMMM"),'ER Act'!$1:$1,0),,,"ER Act"))</f>
        <v>42.161000000000001</v>
      </c>
      <c r="D148" s="341">
        <f ca="1">IF(C143=0,"N.D.",C148/C143)</f>
        <v>6.104539202200826E-2</v>
      </c>
      <c r="E148" s="328">
        <f ca="1">INDIRECT(ADDRESS(MATCH($B$140,'ER Ppto'!$B:$B,0)+7,MATCH(TEXT(DATE(YEAR(MES_CIERRE),ROUNDUP(MONTH(MES_CIERRE)/3,0)*3-2,1),"MMMM"),'ER Ppto'!$1:$1,0),,,"ER Ppto"))+INDIRECT(ADDRESS(MATCH($B$140,'ER Ppto'!$B:$B,0)+7,MATCH(TEXT(DATE(YEAR(MES_CIERRE),ROUNDUP(MONTH(MES_CIERRE)/3,0)*3-1,1),"MMMM"),'ER Ppto'!$1:$1,0),,,"ER Ppto"))+INDIRECT(ADDRESS(MATCH($B$140,'ER Ppto'!$B:$B,0)+7,MATCH(TEXT(DATE(YEAR(MES_CIERRE),ROUNDUP(MONTH(MES_CIERRE)/3,0)*3-0,1),"MMMM"),'ER Ppto'!$1:$1,0),,,"ER Ppto"))</f>
        <v>53.138000000000005</v>
      </c>
      <c r="F148" s="341">
        <f ca="1">IF(E143=0,"N.D.",E148/E143)</f>
        <v>6.9656749972144119E-2</v>
      </c>
      <c r="G148" s="328">
        <f ca="1">INDIRECT(ADDRESS(MATCH($B$140,'ER AA'!$B:$B,0)+7,MATCH(TEXT(DATE(YEAR(MES_CIERRE),ROUNDUP(MONTH(MES_CIERRE)/3,0)*3-2,1),"MMMM"),'ER AA'!$1:$1,0),,,"ER AA"))+INDIRECT(ADDRESS(MATCH($B$140,'ER AA'!$B:$B,0)+7,MATCH(TEXT(DATE(YEAR(MES_CIERRE),ROUNDUP(MONTH(MES_CIERRE)/3,0)*3-1,1),"MMMM"),'ER AA'!$1:$1,0),,,"ER AA"))+INDIRECT(ADDRESS(MATCH($B$140,'ER AA'!$B:$B,0)+7,MATCH(TEXT(DATE(YEAR(MES_CIERRE),ROUNDUP(MONTH(MES_CIERRE)/3,0)*3-0,1),"MMMM"),'ER AA'!$1:$1,0),,,"ER AA"))</f>
        <v>52.983000000000004</v>
      </c>
      <c r="H148" s="341">
        <f ca="1">IF(G143=0,"N.D.",G148/G143)</f>
        <v>7.1552236387208298E-2</v>
      </c>
      <c r="I148" s="330">
        <f ca="1">C148-E148</f>
        <v>-10.977000000000004</v>
      </c>
      <c r="J148" s="331">
        <f ca="1">IF(E148=0,"N.D.",C148/E148-1)</f>
        <v>-0.20657533215401414</v>
      </c>
      <c r="K148" s="328">
        <f ca="1">C148-G148</f>
        <v>-10.822000000000003</v>
      </c>
      <c r="L148" s="341">
        <f ca="1">IF(G148=0,"N.D.",C148/G148-1)</f>
        <v>-0.20425419474170969</v>
      </c>
      <c r="AD148" s="9" t="s">
        <v>42</v>
      </c>
      <c r="AE148" s="328">
        <v>54</v>
      </c>
      <c r="AF148" s="341">
        <f>IF(AE143=0,"N.D.",AE148/AE143)</f>
        <v>7.4482758620689649E-2</v>
      </c>
      <c r="AG148" s="328">
        <f ca="1">((INDIRECT(ADDRESS(MATCH($B$140,BDPP!$B:$B,0)+11,MATCH(TEXT(DATE(YEAR(MES_CIERRE),ROUNDUP(MONTH(MES_CIERRE)/3,0)*3,1),"MMMM"),BDPP!$1:$1,0)+1,,,"BDPP")))+(INDIRECT(ADDRESS(MATCH($B$140,BDPP!$B:$B,0)+11,MATCH(TEXT(DATE(YEAR(MES_CIERRE),ROUNDUP(MONTH(MES_CIERRE)/3,0)*3,1),"MMMM"),BDPP!$1:$1,0)+2,,,"BDPP")))+(INDIRECT(ADDRESS(MATCH($B$140,BDPP!$B:$B,0)+11,MATCH(TEXT(DATE(YEAR(MES_CIERRE),ROUNDUP(MONTH(MES_CIERRE)/3,0)*3,1),"MMMM"),BDPP!$1:$1,0)+3,,,"BDPP"))))/1000</f>
        <v>39.015000000000001</v>
      </c>
      <c r="AH148" s="341">
        <f ca="1">IF(AG143=0,"N.D.",AG148/AG143)</f>
        <v>5.4126232112261814E-2</v>
      </c>
      <c r="AI148" s="328">
        <f ca="1">INDIRECT(ADDRESS(MATCH($B$140,INDIRECT("'"&amp;IF(MONTH(MES_CIERRE)=12,"ER ACT","ER AA")&amp;"'!$B:$B"),0)+7,MATCH(TEXT(DATE(YEAR(MES_CIERRE),ROUNDUP(MONTH(MES_CIERRE)+1,0),1),"MMMM"),'ER AA'!$1:$1,0),,,IF(MONTH(MES_CIERRE)=12,"ER ACT","ER AA")))+INDIRECT(ADDRESS(MATCH($B$140,INDIRECT("'"&amp;IF(MONTH(MES_CIERRE)=12,"ER ACT","ER AA")&amp;"'!$B:$B"),0)+7,MATCH(TEXT(DATE(YEAR(MES_CIERRE),ROUNDUP(MONTH(MES_CIERRE)+2,0),1),"MMMM"),'ER AA'!$1:$1,0),,,IF(MONTH(MES_CIERRE)=12,"ER ACT","ER AA")))+INDIRECT(ADDRESS(MATCH($B$140,INDIRECT("'"&amp;IF(MONTH(MES_CIERRE)=12,"ER ACT","ER AA")&amp;"'!$B:$B"),0)+7,MATCH(TEXT(DATE(YEAR(MES_CIERRE),ROUNDUP(MONTH(MES_CIERRE)+3,0),1),"MMMM"),'ER AA'!$1:$1,0),,,IF(MONTH(MES_CIERRE)=12,"ER ACT","ER AA")))</f>
        <v>45.854970000000002</v>
      </c>
      <c r="AJ148" s="341">
        <f ca="1">IF(AI143=0,"N.D.",AI148/AI143)</f>
        <v>6.3472450695971627E-2</v>
      </c>
      <c r="AK148" s="330">
        <f ca="1">AE148-AG148</f>
        <v>14.984999999999999</v>
      </c>
      <c r="AL148" s="331">
        <f ca="1">IF(AG148=0,"N.D.",AE148/AG148-1)</f>
        <v>0.38408304498269885</v>
      </c>
      <c r="AM148" s="328">
        <f ca="1">AE148-AI148</f>
        <v>8.1450299999999984</v>
      </c>
      <c r="AN148" s="341">
        <f ca="1">IF(AI148=0,"N.D.",AE148/AI148-1)</f>
        <v>0.17762589311474852</v>
      </c>
    </row>
    <row r="149" spans="1:40" x14ac:dyDescent="0.25">
      <c r="A149" s="316"/>
      <c r="B149" s="9" t="s">
        <v>43</v>
      </c>
      <c r="C149" s="342">
        <f ca="1">INDIRECT(ADDRESS(MATCH($B$140,'ER Act'!$B:$B,0)+8,MATCH(TEXT(DATE(YEAR(MES_CIERRE),ROUNDUP(MONTH(MES_CIERRE)/3,0)*3-2,1),"MMMM"),'ER Act'!$1:$1,0),,,"ER Act"))+INDIRECT(ADDRESS(MATCH($B$140,'ER Act'!$B:$B,0)+8,MATCH(TEXT(DATE(YEAR(MES_CIERRE),ROUNDUP(MONTH(MES_CIERRE)/3,0)*3-1,1),"MMMM"),'ER Act'!$1:$1,0),,,"ER Act"))+INDIRECT(ADDRESS(MATCH($B$140,'ER Act'!$B:$B,0)+8,MATCH(TEXT(DATE(YEAR(MES_CIERRE),ROUNDUP(MONTH(MES_CIERRE)/3,0)*3-0,1),"MMMM"),'ER Act'!$1:$1,0),,,"ER Act"))</f>
        <v>27.726000000000003</v>
      </c>
      <c r="D149" s="329">
        <f ca="1">IF(C143=0,"N.D.",C149/C143)</f>
        <v>4.0144791138782311E-2</v>
      </c>
      <c r="E149" s="342">
        <f ca="1">INDIRECT(ADDRESS(MATCH($B$140,'ER Ppto'!$B:$B,0)+8,MATCH(TEXT(DATE(YEAR(MES_CIERRE),ROUNDUP(MONTH(MES_CIERRE)/3,0)*3-2,1),"MMMM"),'ER Ppto'!$1:$1,0),,,"ER Ppto"))+INDIRECT(ADDRESS(MATCH($B$140,'ER Ppto'!$B:$B,0)+8,MATCH(TEXT(DATE(YEAR(MES_CIERRE),ROUNDUP(MONTH(MES_CIERRE)/3,0)*3-1,1),"MMMM"),'ER Ppto'!$1:$1,0),,,"ER Ppto"))+INDIRECT(ADDRESS(MATCH($B$140,'ER Ppto'!$B:$B,0)+8,MATCH(TEXT(DATE(YEAR(MES_CIERRE),ROUNDUP(MONTH(MES_CIERRE)/3,0)*3-0,1),"MMMM"),'ER Ppto'!$1:$1,0),,,"ER Ppto"))</f>
        <v>27.726000000000003</v>
      </c>
      <c r="F149" s="329">
        <f ca="1">IF(E143=0,"N.D.",E149/E143)</f>
        <v>3.6345045913050322E-2</v>
      </c>
      <c r="G149" s="342">
        <f ca="1">INDIRECT(ADDRESS(MATCH($B$140,'ER AA'!$B:$B,0)+8,MATCH(TEXT(DATE(YEAR(MES_CIERRE),ROUNDUP(MONTH(MES_CIERRE)/3,0)*3-2,1),"MMMM"),'ER AA'!$1:$1,0),,,"ER AA"))+INDIRECT(ADDRESS(MATCH($B$140,'ER AA'!$B:$B,0)+8,MATCH(TEXT(DATE(YEAR(MES_CIERRE),ROUNDUP(MONTH(MES_CIERRE)/3,0)*3-1,1),"MMMM"),'ER AA'!$1:$1,0),,,"ER AA"))+INDIRECT(ADDRESS(MATCH($B$140,'ER AA'!$B:$B,0)+8,MATCH(TEXT(DATE(YEAR(MES_CIERRE),ROUNDUP(MONTH(MES_CIERRE)/3,0)*3-0,1),"MMMM"),'ER AA'!$1:$1,0),,,"ER AA"))</f>
        <v>37.227000000000004</v>
      </c>
      <c r="H149" s="329">
        <f ca="1">IF(G143=0,"N.D.",G149/G143)</f>
        <v>5.0274146499567851E-2</v>
      </c>
      <c r="I149" s="330">
        <f ca="1">C149-E149</f>
        <v>0</v>
      </c>
      <c r="J149" s="331">
        <f ca="1">IF(E149=0,"N.D.",C149/E149-1)</f>
        <v>0</v>
      </c>
      <c r="K149" s="342">
        <f ca="1">C149-G149</f>
        <v>-9.5010000000000012</v>
      </c>
      <c r="L149" s="329">
        <f ca="1">IF(G149=0,"N.D.",C149/G149-1)</f>
        <v>-0.25521798694495934</v>
      </c>
      <c r="AD149" s="9" t="s">
        <v>43</v>
      </c>
      <c r="AE149" s="342">
        <v>28</v>
      </c>
      <c r="AF149" s="329">
        <f>IF(AE143=0,"N.D.",AE149/AE143)</f>
        <v>3.8620689655172416E-2</v>
      </c>
      <c r="AG149" s="342">
        <f ca="1">((INDIRECT(ADDRESS(MATCH($B$140,BDPP!$B:$B,0)+12,MATCH(TEXT(DATE(YEAR(MES_CIERRE),ROUNDUP(MONTH(MES_CIERRE)/3,0)*3,1),"MMMM"),BDPP!$1:$1,0)+1,,,"BDPP")))+(INDIRECT(ADDRESS(MATCH($B$140,BDPP!$B:$B,0)+12,MATCH(TEXT(DATE(YEAR(MES_CIERRE),ROUNDUP(MONTH(MES_CIERRE)/3,0)*3,1),"MMMM"),BDPP!$1:$1,0)+2,,,"BDPP")))+(INDIRECT(ADDRESS(MATCH($B$140,BDPP!$B:$B,0)+12,MATCH(TEXT(DATE(YEAR(MES_CIERRE),ROUNDUP(MONTH(MES_CIERRE)/3,0)*3,1),"MMMM"),BDPP!$1:$1,0)+3,,,"BDPP"))))/1000</f>
        <v>27.725999999999999</v>
      </c>
      <c r="AH149" s="329">
        <f ca="1">IF(AG143=0,"N.D.",AG149/AG143)</f>
        <v>3.846479332422327E-2</v>
      </c>
      <c r="AI149" s="342">
        <f ca="1">INDIRECT(ADDRESS(MATCH($B$140,INDIRECT("'"&amp;IF(MONTH(MES_CIERRE)=12,"ER ACT","ER AA")&amp;"'!$B:$B"),0)+8,MATCH(TEXT(DATE(YEAR(MES_CIERRE),ROUNDUP(MONTH(MES_CIERRE)+1,0),1),"MMMM"),'ER AA'!$1:$1,0),,,IF(MONTH(MES_CIERRE)=12,"ER ACT","ER AA")))+INDIRECT(ADDRESS(MATCH($B$140,INDIRECT("'"&amp;IF(MONTH(MES_CIERRE)=12,"ER ACT","ER AA")&amp;"'!$B:$B"),0)+8,MATCH(TEXT(DATE(YEAR(MES_CIERRE),ROUNDUP(MONTH(MES_CIERRE)+2,0),1),"MMMM"),'ER AA'!$1:$1,0),,,IF(MONTH(MES_CIERRE)=12,"ER ACT","ER AA")))+INDIRECT(ADDRESS(MATCH($B$140,INDIRECT("'"&amp;IF(MONTH(MES_CIERRE)=12,"ER ACT","ER AA")&amp;"'!$B:$B"),0)+8,MATCH(TEXT(DATE(YEAR(MES_CIERRE),ROUNDUP(MONTH(MES_CIERRE)+3,0),1),"MMMM"),'ER AA'!$1:$1,0),,,IF(MONTH(MES_CIERRE)=12,"ER ACT","ER AA")))</f>
        <v>37.226020000000005</v>
      </c>
      <c r="AJ149" s="329">
        <f ca="1">IF(AI143=0,"N.D.",AI149/AI143)</f>
        <v>5.1528257876022027E-2</v>
      </c>
      <c r="AK149" s="330">
        <f ca="1">AE149-AG149</f>
        <v>0.27400000000000091</v>
      </c>
      <c r="AL149" s="331">
        <f ca="1">IF(AG149=0,"N.D.",AE149/AG149-1)</f>
        <v>9.8824208324317375E-3</v>
      </c>
      <c r="AM149" s="342">
        <f ca="1">AE149-AI149</f>
        <v>-9.2260200000000054</v>
      </c>
      <c r="AN149" s="329">
        <f ca="1">IF(AI149=0,"N.D.",AE149/AI149-1)</f>
        <v>-0.24783793701287449</v>
      </c>
    </row>
    <row r="150" spans="1:40" ht="12.5" hidden="1" customHeight="1" x14ac:dyDescent="0.3">
      <c r="A150" s="316"/>
      <c r="B150" s="9" t="s">
        <v>44</v>
      </c>
      <c r="C150" s="337">
        <f ca="1">+C147+C148+C149</f>
        <v>540.24799999999993</v>
      </c>
      <c r="D150" s="334">
        <f ca="1">IF(C143=0,"N.D.",C150/C143)</f>
        <v>0.78223123144863527</v>
      </c>
      <c r="E150" s="337">
        <f ca="1">+E147+E148+E149</f>
        <v>588.61800000000005</v>
      </c>
      <c r="F150" s="334">
        <f ca="1">IF(E143=0,"N.D.",E150/E143)</f>
        <v>0.77159879662583331</v>
      </c>
      <c r="G150" s="337">
        <f ca="1">+G147+G148+G149</f>
        <v>584.66099999999994</v>
      </c>
      <c r="H150" s="334">
        <f ca="1">IF(G143=0,"N.D.",G150/G143)</f>
        <v>0.78957027873811569</v>
      </c>
      <c r="I150" s="335">
        <f ca="1">C150-E150</f>
        <v>-48.370000000000118</v>
      </c>
      <c r="J150" s="336">
        <f ca="1">IF(E150=0,"N.D.",C150/E150-1)</f>
        <v>-8.2175536595890941E-2</v>
      </c>
      <c r="K150" s="337">
        <f ca="1">C150-G150</f>
        <v>-44.413000000000011</v>
      </c>
      <c r="L150" s="334">
        <f ca="1">IF(G150=0,"N.D.",C150/G150-1)</f>
        <v>-7.5963678097222154E-2</v>
      </c>
      <c r="AD150" s="9" t="s">
        <v>44</v>
      </c>
      <c r="AE150" s="337">
        <f ca="1">+AE147+AE148+AE149</f>
        <v>575.75476000868753</v>
      </c>
      <c r="AF150" s="334">
        <f ca="1">IF(AE143=0,"N.D.",AE150/AE143)</f>
        <v>0.79414449656370689</v>
      </c>
      <c r="AG150" s="337">
        <f ca="1">+AG147+AG148+AG149</f>
        <v>564.36199999999997</v>
      </c>
      <c r="AH150" s="334">
        <f ca="1">IF(AG143=0,"N.D.",AG150/AG143)</f>
        <v>0.78294985537204409</v>
      </c>
      <c r="AI150" s="337">
        <f ca="1">+AI147+AI148+AI149</f>
        <v>548.36849000000007</v>
      </c>
      <c r="AJ150" s="334">
        <f ca="1">IF(AI143=0,"N.D.",AI150/AI143)</f>
        <v>0.75905167847126298</v>
      </c>
      <c r="AK150" s="335">
        <f ca="1">AE150-AG150</f>
        <v>11.39276000868756</v>
      </c>
      <c r="AL150" s="336">
        <f ca="1">IF(AG150=0,"N.D.",AE150/AG150-1)</f>
        <v>2.0186972207001164E-2</v>
      </c>
      <c r="AM150" s="337">
        <f ca="1">AE150-AI150</f>
        <v>27.386270008687461</v>
      </c>
      <c r="AN150" s="334">
        <f ca="1">IF(AI150=0,"N.D.",AE150/AI150-1)</f>
        <v>4.9941363349829793E-2</v>
      </c>
    </row>
    <row r="151" spans="1:40" ht="13" x14ac:dyDescent="0.3">
      <c r="A151" s="316"/>
      <c r="B151" s="9" t="s">
        <v>45</v>
      </c>
      <c r="C151" s="337">
        <f ca="1">+C145-C150</f>
        <v>-87.347999999999956</v>
      </c>
      <c r="D151" s="334">
        <f ca="1">IF(C143=0,"N.D.",C151/C143)</f>
        <v>-0.12647216390356905</v>
      </c>
      <c r="E151" s="337">
        <f ca="1">+E145-E150</f>
        <v>-95.814000000000021</v>
      </c>
      <c r="F151" s="334">
        <f ca="1">IF(E143=0,"N.D.",E151/E143)</f>
        <v>-0.12559922921131803</v>
      </c>
      <c r="G151" s="337">
        <f ca="1">+G145-G150</f>
        <v>-103.42199999999991</v>
      </c>
      <c r="H151" s="334">
        <f ca="1">IF(G143=0,"N.D.",G151/G143)</f>
        <v>-0.13966886343993073</v>
      </c>
      <c r="I151" s="335">
        <f ca="1">C151-E151</f>
        <v>8.466000000000065</v>
      </c>
      <c r="J151" s="336">
        <f ca="1">IF(E151=0,"N.D.",C151/E151-1)</f>
        <v>-8.8358694971507945E-2</v>
      </c>
      <c r="K151" s="337">
        <f ca="1">C151-G151</f>
        <v>16.073999999999955</v>
      </c>
      <c r="L151" s="334">
        <f ca="1">IF(G151=0,"N.D.",C151/G151-1)</f>
        <v>-0.15542147705517173</v>
      </c>
      <c r="AD151" s="9" t="s">
        <v>45</v>
      </c>
      <c r="AE151" s="337">
        <f ca="1">+AE145-AE150</f>
        <v>-100.32943603851447</v>
      </c>
      <c r="AF151" s="334">
        <f ca="1">IF(AE143=0,"N.D.",AE151/AE143)</f>
        <v>-0.13838542901864065</v>
      </c>
      <c r="AG151" s="337">
        <f ca="1">+AG145-AG150</f>
        <v>-98.715999999999894</v>
      </c>
      <c r="AH151" s="334">
        <f ca="1">IF(AG143=0,"N.D.",AG151/AG143)</f>
        <v>-0.13695053515811947</v>
      </c>
      <c r="AI151" s="337">
        <f ca="1">+AI145-AI150</f>
        <v>-104.20873000000006</v>
      </c>
      <c r="AJ151" s="334">
        <f ca="1">IF(AI143=0,"N.D.",AI151/AI143)</f>
        <v>-0.14424572684301881</v>
      </c>
      <c r="AK151" s="335">
        <f ca="1">AE151-AG151</f>
        <v>-1.6134360385145783</v>
      </c>
      <c r="AL151" s="336">
        <f ca="1">IF(AG151=0,"N.D.",AE151/AG151-1)</f>
        <v>1.6344220172156199E-2</v>
      </c>
      <c r="AM151" s="337">
        <f ca="1">AE151-AI151</f>
        <v>3.8792939614855868</v>
      </c>
      <c r="AN151" s="334">
        <f ca="1">IF(AI151=0,"N.D.",AE151/AI151-1)</f>
        <v>-3.7226189797012088E-2</v>
      </c>
    </row>
    <row r="152" spans="1:40" x14ac:dyDescent="0.25">
      <c r="A152" s="316"/>
      <c r="B152" s="322"/>
      <c r="C152" s="338"/>
      <c r="D152" s="339"/>
      <c r="E152" s="338"/>
      <c r="F152" s="339"/>
      <c r="G152" s="338"/>
      <c r="H152" s="339"/>
      <c r="I152" s="338"/>
      <c r="J152" s="340"/>
      <c r="K152" s="338"/>
      <c r="L152" s="339"/>
      <c r="AD152" s="322"/>
      <c r="AE152" s="338"/>
      <c r="AF152" s="339"/>
      <c r="AG152" s="338"/>
      <c r="AH152" s="339"/>
      <c r="AI152" s="338"/>
      <c r="AJ152" s="339"/>
      <c r="AK152" s="338"/>
      <c r="AL152" s="340"/>
      <c r="AM152" s="338"/>
      <c r="AN152" s="339"/>
    </row>
    <row r="153" spans="1:40" x14ac:dyDescent="0.25">
      <c r="A153" s="316"/>
      <c r="B153" s="322"/>
      <c r="C153" s="327"/>
      <c r="D153" s="343"/>
      <c r="E153" s="327"/>
      <c r="F153" s="343"/>
      <c r="G153" s="327"/>
      <c r="H153" s="343"/>
      <c r="I153" s="325"/>
      <c r="J153" s="326"/>
      <c r="K153" s="327"/>
      <c r="L153" s="324"/>
      <c r="AD153" s="1"/>
      <c r="AE153" s="327"/>
      <c r="AF153" s="343"/>
      <c r="AG153" s="327"/>
      <c r="AH153" s="343"/>
      <c r="AI153" s="327"/>
      <c r="AJ153" s="343"/>
      <c r="AK153" s="325"/>
      <c r="AL153" s="326"/>
      <c r="AM153" s="327"/>
      <c r="AN153" s="324"/>
    </row>
    <row r="154" spans="1:40" x14ac:dyDescent="0.25">
      <c r="A154" s="316"/>
      <c r="B154" s="9" t="s">
        <v>52</v>
      </c>
      <c r="C154" s="328">
        <f ca="1">INDIRECT(ADDRESS(MATCH($B$140,'ER Act'!$B:$B,0)+13,MATCH(TEXT(DATE(YEAR(MES_CIERRE),ROUNDUP(MONTH(MES_CIERRE)/3,0)*3-2,1),"MMMM"),'ER Act'!$1:$1,0),,,"ER Act"))+INDIRECT(ADDRESS(MATCH($B$140,'ER Act'!$B:$B,0)+13,MATCH(TEXT(DATE(YEAR(MES_CIERRE),ROUNDUP(MONTH(MES_CIERRE)/3,0)*3-1,1),"MMMM"),'ER Act'!$1:$1,0),,,"ER Act"))+INDIRECT(ADDRESS(MATCH($B$140,'ER Act'!$B:$B,0)+13,MATCH(TEXT(DATE(YEAR(MES_CIERRE),ROUNDUP(MONTH(MES_CIERRE)/3,0)*3-0,1),"MMMM"),'ER Act'!$1:$1,0),,,"ER Act"))</f>
        <v>-9.0629999999999988</v>
      </c>
      <c r="D154" s="344">
        <f ca="1">IF(C143=0,"N.D.",C154/C143)</f>
        <v>-1.3122420907840439E-2</v>
      </c>
      <c r="E154" s="328">
        <f ca="1">INDIRECT(ADDRESS(MATCH($B$140,'ER Ppto'!$B:$B,0)+13,MATCH(TEXT(DATE(YEAR(MES_CIERRE),ROUNDUP(MONTH(MES_CIERRE)/3,0)*3-2,1),"MMMM"),'ER Ppto'!$1:$1,0),,,"ER Ppto"))+INDIRECT(ADDRESS(MATCH($B$140,'ER Ppto'!$B:$B,0)+13,MATCH(TEXT(DATE(YEAR(MES_CIERRE),ROUNDUP(MONTH(MES_CIERRE)/3,0)*3-1,1),"MMMM"),'ER Ppto'!$1:$1,0),,,"ER Ppto"))+INDIRECT(ADDRESS(MATCH($B$140,'ER Ppto'!$B:$B,0)+13,MATCH(TEXT(DATE(YEAR(MES_CIERRE),ROUNDUP(MONTH(MES_CIERRE)/3,0)*3-0,1),"MMMM"),'ER Ppto'!$1:$1,0),,,"ER Ppto"))</f>
        <v>-6.6329999999999991</v>
      </c>
      <c r="F154" s="344">
        <f ca="1">IF(E143=0,"N.D.",E154/E143)</f>
        <v>-8.6949682442928194E-3</v>
      </c>
      <c r="G154" s="328">
        <f ca="1">INDIRECT(ADDRESS(MATCH($B$140,'ER AA'!$B:$B,0)+13,MATCH(TEXT(DATE(YEAR(MES_CIERRE),ROUNDUP(MONTH(MES_CIERRE)/3,0)*3-2,1),"MMMM"),'ER AA'!$1:$1,0),,,"ER AA"))+INDIRECT(ADDRESS(MATCH($B$140,'ER AA'!$B:$B,0)+13,MATCH(TEXT(DATE(YEAR(MES_CIERRE),ROUNDUP(MONTH(MES_CIERRE)/3,0)*3-1,1),"MMMM"),'ER AA'!$1:$1,0),,,"ER AA"))+INDIRECT(ADDRESS(MATCH($B$140,'ER AA'!$B:$B,0)+13,MATCH(TEXT(DATE(YEAR(MES_CIERRE),ROUNDUP(MONTH(MES_CIERRE)/3,0)*3-0,1),"MMMM"),'ER AA'!$1:$1,0),,,"ER AA"))</f>
        <v>-5.5970000000000004</v>
      </c>
      <c r="H154" s="344">
        <f ca="1">IF(G143=0,"N.D.",G154/G143)</f>
        <v>-7.5586106309420923E-3</v>
      </c>
      <c r="I154" s="330">
        <f t="shared" ref="I154:I159" ca="1" si="270">C154-E154</f>
        <v>-2.4299999999999997</v>
      </c>
      <c r="J154" s="331">
        <f t="shared" ref="J154:J159" ca="1" si="271">IF(E154=0,"N.D.",C154/E154-1)</f>
        <v>0.36635006784260526</v>
      </c>
      <c r="K154" s="328">
        <f t="shared" ref="K154:K159" ca="1" si="272">C154-G154</f>
        <v>-3.4659999999999984</v>
      </c>
      <c r="L154" s="341">
        <f t="shared" ref="L154:L159" ca="1" si="273">IF(G154=0,"N.D.",C154/G154-1)</f>
        <v>0.61926031802751447</v>
      </c>
      <c r="AD154" s="9" t="s">
        <v>52</v>
      </c>
      <c r="AE154" s="328">
        <v>-7</v>
      </c>
      <c r="AF154" s="344">
        <f>IF(AE143=0,"N.D.",AE154/AE143)</f>
        <v>-9.655172413793104E-3</v>
      </c>
      <c r="AG154" s="328">
        <f ca="1">((INDIRECT(ADDRESS(MATCH($B$140,BDPP!$B:$B,0)+16,MATCH(TEXT(DATE(YEAR(MES_CIERRE),ROUNDUP(MONTH(MES_CIERRE)/3,0)*3,1),"MMMM"),BDPP!$1:$1,0)+1,,,"BDPP")))+(INDIRECT(ADDRESS(MATCH($B$140,BDPP!$B:$B,0)+16,MATCH(TEXT(DATE(YEAR(MES_CIERRE),ROUNDUP(MONTH(MES_CIERRE)/3,0)*3,1),"MMMM"),BDPP!$1:$1,0)+2,,,"BDPP")))+(INDIRECT(ADDRESS(MATCH($B$140,BDPP!$B:$B,0)+16,MATCH(TEXT(DATE(YEAR(MES_CIERRE),ROUNDUP(MONTH(MES_CIERRE)/3,0)*3,1),"MMMM"),BDPP!$1:$1,0)+3,,,"BDPP"))))/1000</f>
        <v>-6.633</v>
      </c>
      <c r="AH154" s="344">
        <f ca="1">IF(AG143=0,"N.D.",AG154/AG143)</f>
        <v>-9.2020837524191355E-3</v>
      </c>
      <c r="AI154" s="328">
        <f ca="1">INDIRECT(ADDRESS(MATCH($B$140,INDIRECT("'"&amp;IF(MONTH(MES_CIERRE)=12,"ER ACT","ER AA")&amp;"'!$B:$B"),0)+13,MATCH(TEXT(DATE(YEAR(MES_CIERRE),ROUNDUP(MONTH(MES_CIERRE)+1,0),1),"MMMM"),'ER AA'!$1:$1,0),,,IF(MONTH(MES_CIERRE)=12,"ER ACT","ER AA")))+INDIRECT(ADDRESS(MATCH($B$140,INDIRECT("'"&amp;IF(MONTH(MES_CIERRE)=12,"ER ACT","ER AA")&amp;"'!$B:$B"),0)+13,MATCH(TEXT(DATE(YEAR(MES_CIERRE),ROUNDUP(MONTH(MES_CIERRE)+2,0),1),"MMMM"),'ER AA'!$1:$1,0),,,IF(MONTH(MES_CIERRE)=12,"ER ACT","ER AA")))+INDIRECT(ADDRESS(MATCH($B$140,INDIRECT("'"&amp;IF(MONTH(MES_CIERRE)=12,"ER ACT","ER AA")&amp;"'!$B:$B"),0)+13,MATCH(TEXT(DATE(YEAR(MES_CIERRE),ROUNDUP(MONTH(MES_CIERRE)+3,0),1),"MMMM"),'ER AA'!$1:$1,0),,,IF(MONTH(MES_CIERRE)=12,"ER ACT","ER AA")))</f>
        <v>-2.64025</v>
      </c>
      <c r="AJ154" s="344">
        <f ca="1">IF(AI143=0,"N.D.",AI154/AI143)</f>
        <v>-3.6546341203590161E-3</v>
      </c>
      <c r="AK154" s="330">
        <f t="shared" ref="AK154:AK159" ca="1" si="274">AE154-AG154</f>
        <v>-0.36699999999999999</v>
      </c>
      <c r="AL154" s="331">
        <f t="shared" ref="AL154:AL159" ca="1" si="275">IF(AG154=0,"N.D.",AE154/AG154-1)</f>
        <v>5.5329413538368843E-2</v>
      </c>
      <c r="AM154" s="328">
        <f t="shared" ref="AM154:AM159" ca="1" si="276">AE154-AI154</f>
        <v>-4.35975</v>
      </c>
      <c r="AN154" s="341">
        <f t="shared" ref="AN154:AN159" ca="1" si="277">IF(AI154=0,"N.D.",AE154/AI154-1)</f>
        <v>1.6512640848404505</v>
      </c>
    </row>
    <row r="155" spans="1:40" x14ac:dyDescent="0.25">
      <c r="A155" s="316"/>
      <c r="B155" s="9" t="s">
        <v>184</v>
      </c>
      <c r="C155" s="328">
        <f ca="1">INDIRECT(ADDRESS(MATCH($B$140,'ER Act'!$B:$B,0)+14,MATCH(TEXT(DATE(YEAR(MES_CIERRE),ROUNDUP(MONTH(MES_CIERRE)/3,0)*3-2,1),"MMMM"),'ER Act'!$1:$1,0),,,"ER Act"))+INDIRECT(ADDRESS(MATCH($B$140,'ER Act'!$B:$B,0)+14,MATCH(TEXT(DATE(YEAR(MES_CIERRE),ROUNDUP(MONTH(MES_CIERRE)/3,0)*3-1,1),"MMMM"),'ER Act'!$1:$1,0),,,"ER Act"))+INDIRECT(ADDRESS(MATCH($B$140,'ER Act'!$B:$B,0)+14,MATCH(TEXT(DATE(YEAR(MES_CIERRE),ROUNDUP(MONTH(MES_CIERRE)/3,0)*3-0,1),"MMMM"),'ER Act'!$1:$1,0),,,"ER Act"))</f>
        <v>0</v>
      </c>
      <c r="D155" s="344">
        <f ca="1">IF(C143=0,"N.D.",C155/C143)</f>
        <v>0</v>
      </c>
      <c r="E155" s="328">
        <f ca="1">INDIRECT(ADDRESS(MATCH($B$140,'ER Ppto'!$B:$B,0)+14,MATCH(TEXT(DATE(YEAR(MES_CIERRE),ROUNDUP(MONTH(MES_CIERRE)/3,0)*3-2,1),"MMMM"),'ER Ppto'!$1:$1,0),,,"ER Ppto"))+INDIRECT(ADDRESS(MATCH($B$140,'ER Ppto'!$B:$B,0)+14,MATCH(TEXT(DATE(YEAR(MES_CIERRE),ROUNDUP(MONTH(MES_CIERRE)/3,0)*3-1,1),"MMMM"),'ER Ppto'!$1:$1,0),,,"ER Ppto"))+INDIRECT(ADDRESS(MATCH($B$140,'ER Ppto'!$B:$B,0)+14,MATCH(TEXT(DATE(YEAR(MES_CIERRE),ROUNDUP(MONTH(MES_CIERRE)/3,0)*3-0,1),"MMMM"),'ER Ppto'!$1:$1,0),,,"ER Ppto"))</f>
        <v>0</v>
      </c>
      <c r="F155" s="344">
        <f ca="1">IF(E143=0,"N.D.",E155/E143)</f>
        <v>0</v>
      </c>
      <c r="G155" s="328">
        <f ca="1">INDIRECT(ADDRESS(MATCH($B$140,'ER AA'!$B:$B,0)+14,MATCH(TEXT(DATE(YEAR(MES_CIERRE),ROUNDUP(MONTH(MES_CIERRE)/3,0)*3-2,1),"MMMM"),'ER AA'!$1:$1,0),,,"ER AA"))+INDIRECT(ADDRESS(MATCH($B$140,'ER AA'!$B:$B,0)+14,MATCH(TEXT(DATE(YEAR(MES_CIERRE),ROUNDUP(MONTH(MES_CIERRE)/3,0)*3-1,1),"MMMM"),'ER AA'!$1:$1,0),,,"ER AA"))+INDIRECT(ADDRESS(MATCH($B$140,'ER AA'!$B:$B,0)+14,MATCH(TEXT(DATE(YEAR(MES_CIERRE),ROUNDUP(MONTH(MES_CIERRE)/3,0)*3-0,1),"MMMM"),'ER AA'!$1:$1,0),,,"ER AA"))</f>
        <v>2.5300000000000002</v>
      </c>
      <c r="H155" s="344">
        <f ca="1">IF(G143=0,"N.D.",G155/G143)</f>
        <v>3.4167026793431288E-3</v>
      </c>
      <c r="I155" s="330">
        <f t="shared" ca="1" si="270"/>
        <v>0</v>
      </c>
      <c r="J155" s="331" t="str">
        <f t="shared" ca="1" si="271"/>
        <v>N.D.</v>
      </c>
      <c r="K155" s="328">
        <f t="shared" ca="1" si="272"/>
        <v>-2.5300000000000002</v>
      </c>
      <c r="L155" s="341">
        <f t="shared" ca="1" si="273"/>
        <v>-1</v>
      </c>
      <c r="AD155" s="9" t="s">
        <v>184</v>
      </c>
      <c r="AE155" s="328">
        <v>0</v>
      </c>
      <c r="AF155" s="344">
        <f>IF(AE143=0,"N.D.",AE155/AE143)</f>
        <v>0</v>
      </c>
      <c r="AG155" s="328">
        <f ca="1">((INDIRECT(ADDRESS(MATCH($B$140,BDPP!$B:$B,0)+17,MATCH(TEXT(DATE(YEAR(MES_CIERRE),ROUNDUP(MONTH(MES_CIERRE)/3,0)*3,1),"MMMM"),BDPP!$1:$1,0)+1,,,"BDPP")))+(INDIRECT(ADDRESS(MATCH($B$140,BDPP!$B:$B,0)+17,MATCH(TEXT(DATE(YEAR(MES_CIERRE),ROUNDUP(MONTH(MES_CIERRE)/3,0)*3,1),"MMMM"),BDPP!$1:$1,0)+2,,,"BDPP")))+(INDIRECT(ADDRESS(MATCH($B$140,BDPP!$B:$B,0)+17,MATCH(TEXT(DATE(YEAR(MES_CIERRE),ROUNDUP(MONTH(MES_CIERRE)/3,0)*3,1),"MMMM"),BDPP!$1:$1,0)+3,,,"BDPP"))))/1000</f>
        <v>0</v>
      </c>
      <c r="AH155" s="344">
        <f ca="1">IF(AG143=0,"N.D.",AG155/AG143)</f>
        <v>0</v>
      </c>
      <c r="AI155" s="328">
        <f ca="1">INDIRECT(ADDRESS(MATCH($B$140,INDIRECT("'"&amp;IF(MONTH(MES_CIERRE)=12,"ER ACT","ER AA")&amp;"'!$B:$B"),0)+14,MATCH(TEXT(DATE(YEAR(MES_CIERRE),ROUNDUP(MONTH(MES_CIERRE)+1,0),1),"MMMM"),'ER AA'!$1:$1,0),,,IF(MONTH(MES_CIERRE)=12,"ER ACT","ER AA")))+INDIRECT(ADDRESS(MATCH($B$140,INDIRECT("'"&amp;IF(MONTH(MES_CIERRE)=12,"ER ACT","ER AA")&amp;"'!$B:$B"),0)+14,MATCH(TEXT(DATE(YEAR(MES_CIERRE),ROUNDUP(MONTH(MES_CIERRE)+2,0),1),"MMMM"),'ER AA'!$1:$1,0),,,IF(MONTH(MES_CIERRE)=12,"ER ACT","ER AA")))+INDIRECT(ADDRESS(MATCH($B$140,INDIRECT("'"&amp;IF(MONTH(MES_CIERRE)=12,"ER ACT","ER AA")&amp;"'!$B:$B"),0)+14,MATCH(TEXT(DATE(YEAR(MES_CIERRE),ROUNDUP(MONTH(MES_CIERRE)+3,0),1),"MMMM"),'ER AA'!$1:$1,0),,,IF(MONTH(MES_CIERRE)=12,"ER ACT","ER AA")))</f>
        <v>2.9668399999999999</v>
      </c>
      <c r="AJ155" s="344">
        <f ca="1">IF(AI143=0,"N.D.",AI155/AI143)</f>
        <v>4.1067000070621881E-3</v>
      </c>
      <c r="AK155" s="330">
        <f t="shared" ca="1" si="274"/>
        <v>0</v>
      </c>
      <c r="AL155" s="331" t="str">
        <f t="shared" ca="1" si="275"/>
        <v>N.D.</v>
      </c>
      <c r="AM155" s="328">
        <f t="shared" ca="1" si="276"/>
        <v>-2.9668399999999999</v>
      </c>
      <c r="AN155" s="341">
        <f t="shared" ca="1" si="277"/>
        <v>-1</v>
      </c>
    </row>
    <row r="156" spans="1:40" x14ac:dyDescent="0.25">
      <c r="A156" s="316"/>
      <c r="B156" s="9" t="s">
        <v>47</v>
      </c>
      <c r="C156" s="328">
        <f ca="1">INDIRECT(ADDRESS(MATCH($B$140,'ER Act'!$B:$B,0)+15,MATCH(TEXT(DATE(YEAR(MES_CIERRE),ROUNDUP(MONTH(MES_CIERRE)/3,0)*3-2,1),"MMMM"),'ER Act'!$1:$1,0),,,"ER Act"))+INDIRECT(ADDRESS(MATCH($B$140,'ER Act'!$B:$B,0)+15,MATCH(TEXT(DATE(YEAR(MES_CIERRE),ROUNDUP(MONTH(MES_CIERRE)/3,0)*3-1,1),"MMMM"),'ER Act'!$1:$1,0),,,"ER Act"))+INDIRECT(ADDRESS(MATCH($B$140,'ER Act'!$B:$B,0)+15,MATCH(TEXT(DATE(YEAR(MES_CIERRE),ROUNDUP(MONTH(MES_CIERRE)/3,0)*3-0,1),"MMMM"),'ER Act'!$1:$1,0),,,"ER Act"))</f>
        <v>0</v>
      </c>
      <c r="D156" s="344">
        <f ca="1">IF(C143=0,"N.D.",C156/C143)</f>
        <v>0</v>
      </c>
      <c r="E156" s="328">
        <f ca="1">INDIRECT(ADDRESS(MATCH($B$140,'ER Ppto'!$B:$B,0)+15,MATCH(TEXT(DATE(YEAR(MES_CIERRE),ROUNDUP(MONTH(MES_CIERRE)/3,0)*3-2,1),"MMMM"),'ER Ppto'!$1:$1,0),,,"ER Ppto"))+INDIRECT(ADDRESS(MATCH($B$140,'ER Ppto'!$B:$B,0)+15,MATCH(TEXT(DATE(YEAR(MES_CIERRE),ROUNDUP(MONTH(MES_CIERRE)/3,0)*3-1,1),"MMMM"),'ER Ppto'!$1:$1,0),,,"ER Ppto"))+INDIRECT(ADDRESS(MATCH($B$140,'ER Ppto'!$B:$B,0)+15,MATCH(TEXT(DATE(YEAR(MES_CIERRE),ROUNDUP(MONTH(MES_CIERRE)/3,0)*3-0,1),"MMMM"),'ER Ppto'!$1:$1,0),,,"ER Ppto"))</f>
        <v>0</v>
      </c>
      <c r="F156" s="344">
        <f ca="1">IF(E143=0,"N.D.",E156/E143)</f>
        <v>0</v>
      </c>
      <c r="G156" s="328">
        <f ca="1">INDIRECT(ADDRESS(MATCH($B$140,'ER AA'!$B:$B,0)+15,MATCH(TEXT(DATE(YEAR(MES_CIERRE),ROUNDUP(MONTH(MES_CIERRE)/3,0)*3-2,1),"MMMM"),'ER AA'!$1:$1,0),,,"ER AA"))+INDIRECT(ADDRESS(MATCH($B$140,'ER AA'!$B:$B,0)+15,MATCH(TEXT(DATE(YEAR(MES_CIERRE),ROUNDUP(MONTH(MES_CIERRE)/3,0)*3-1,1),"MMMM"),'ER AA'!$1:$1,0),,,"ER AA"))+INDIRECT(ADDRESS(MATCH($B$140,'ER AA'!$B:$B,0)+15,MATCH(TEXT(DATE(YEAR(MES_CIERRE),ROUNDUP(MONTH(MES_CIERRE)/3,0)*3-0,1),"MMMM"),'ER AA'!$1:$1,0),,,"ER AA"))</f>
        <v>0</v>
      </c>
      <c r="H156" s="344">
        <f ca="1">IF(G143=0,"N.D.",G156/G143)</f>
        <v>0</v>
      </c>
      <c r="I156" s="330">
        <f t="shared" ca="1" si="270"/>
        <v>0</v>
      </c>
      <c r="J156" s="331" t="str">
        <f t="shared" ca="1" si="271"/>
        <v>N.D.</v>
      </c>
      <c r="K156" s="328">
        <f t="shared" ca="1" si="272"/>
        <v>0</v>
      </c>
      <c r="L156" s="341" t="str">
        <f t="shared" ca="1" si="273"/>
        <v>N.D.</v>
      </c>
      <c r="AD156" s="9" t="s">
        <v>47</v>
      </c>
      <c r="AE156" s="328">
        <v>0</v>
      </c>
      <c r="AF156" s="344">
        <f>IF(AE143=0,"N.D.",AE156/AE143)</f>
        <v>0</v>
      </c>
      <c r="AG156" s="328">
        <f ca="1">((INDIRECT(ADDRESS(MATCH($B$140,BDPP!$B:$B,0)+18,MATCH(TEXT(DATE(YEAR(MES_CIERRE),ROUNDUP(MONTH(MES_CIERRE)/3,0)*3,1),"MMMM"),BDPP!$1:$1,0)+1,,,"BDPP")))+(INDIRECT(ADDRESS(MATCH($B$140,BDPP!$B:$B,0)+18,MATCH(TEXT(DATE(YEAR(MES_CIERRE),ROUNDUP(MONTH(MES_CIERRE)/3,0)*3,1),"MMMM"),BDPP!$1:$1,0)+2,,,"BDPP")))+(INDIRECT(ADDRESS(MATCH($B$140,BDPP!$B:$B,0)+18,MATCH(TEXT(DATE(YEAR(MES_CIERRE),ROUNDUP(MONTH(MES_CIERRE)/3,0)*3,1),"MMMM"),BDPP!$1:$1,0)+3,,,"BDPP"))))/1000</f>
        <v>0</v>
      </c>
      <c r="AH156" s="344">
        <f ca="1">IF(AG143=0,"N.D.",AG156/AG143)</f>
        <v>0</v>
      </c>
      <c r="AI156" s="328">
        <f ca="1">INDIRECT(ADDRESS(MATCH($B$140,INDIRECT("'"&amp;IF(MONTH(MES_CIERRE)=12,"ER ACT","ER AA")&amp;"'!$B:$B"),0)+15,MATCH(TEXT(DATE(YEAR(MES_CIERRE),ROUNDUP(MONTH(MES_CIERRE)+1,0),1),"MMMM"),'ER AA'!$1:$1,0),,,IF(MONTH(MES_CIERRE)=12,"ER ACT","ER AA")))+INDIRECT(ADDRESS(MATCH($B$140,INDIRECT("'"&amp;IF(MONTH(MES_CIERRE)=12,"ER ACT","ER AA")&amp;"'!$B:$B"),0)+15,MATCH(TEXT(DATE(YEAR(MES_CIERRE),ROUNDUP(MONTH(MES_CIERRE)+2,0),1),"MMMM"),'ER AA'!$1:$1,0),,,IF(MONTH(MES_CIERRE)=12,"ER ACT","ER AA")))+INDIRECT(ADDRESS(MATCH($B$140,INDIRECT("'"&amp;IF(MONTH(MES_CIERRE)=12,"ER ACT","ER AA")&amp;"'!$B:$B"),0)+15,MATCH(TEXT(DATE(YEAR(MES_CIERRE),ROUNDUP(MONTH(MES_CIERRE)+3,0),1),"MMMM"),'ER AA'!$1:$1,0),,,IF(MONTH(MES_CIERRE)=12,"ER ACT","ER AA")))</f>
        <v>0</v>
      </c>
      <c r="AJ156" s="344">
        <f ca="1">IF(AI143=0,"N.D.",AI156/AI143)</f>
        <v>0</v>
      </c>
      <c r="AK156" s="330">
        <f t="shared" ca="1" si="274"/>
        <v>0</v>
      </c>
      <c r="AL156" s="331" t="str">
        <f t="shared" ca="1" si="275"/>
        <v>N.D.</v>
      </c>
      <c r="AM156" s="328">
        <f t="shared" ca="1" si="276"/>
        <v>0</v>
      </c>
      <c r="AN156" s="341" t="str">
        <f t="shared" ca="1" si="277"/>
        <v>N.D.</v>
      </c>
    </row>
    <row r="157" spans="1:40" x14ac:dyDescent="0.25">
      <c r="A157" s="316"/>
      <c r="B157" s="322"/>
      <c r="C157" s="342"/>
      <c r="D157" s="345"/>
      <c r="E157" s="342"/>
      <c r="F157" s="345"/>
      <c r="G157" s="342"/>
      <c r="H157" s="345"/>
      <c r="I157" s="330"/>
      <c r="J157" s="331"/>
      <c r="K157" s="342"/>
      <c r="L157" s="329"/>
      <c r="AD157" s="9"/>
      <c r="AE157" s="342"/>
      <c r="AF157" s="345"/>
      <c r="AG157" s="342"/>
      <c r="AH157" s="345"/>
      <c r="AI157" s="342"/>
      <c r="AJ157" s="345"/>
      <c r="AK157" s="330"/>
      <c r="AL157" s="331"/>
      <c r="AM157" s="342"/>
      <c r="AN157" s="329"/>
    </row>
    <row r="158" spans="1:40" ht="13" x14ac:dyDescent="0.3">
      <c r="B158" s="9" t="s">
        <v>48</v>
      </c>
      <c r="C158" s="335">
        <f ca="1">+C153+C154+C155-C156-C157</f>
        <v>-9.0629999999999988</v>
      </c>
      <c r="D158" s="334">
        <f ca="1">IF(C143=0,"N.D.",C158/C143)</f>
        <v>-1.3122420907840439E-2</v>
      </c>
      <c r="E158" s="335">
        <f ca="1">+E153+E154+E155-E156-E157</f>
        <v>-6.6329999999999991</v>
      </c>
      <c r="F158" s="334">
        <f ca="1">IF(E143=0,"N.D.",E158/E143)</f>
        <v>-8.6949682442928194E-3</v>
      </c>
      <c r="G158" s="335">
        <f ca="1">+G153+G154+G155-G156-G157</f>
        <v>-3.0670000000000002</v>
      </c>
      <c r="H158" s="334">
        <f ca="1">IF(G143=0,"N.D.",G158/G143)</f>
        <v>-4.1419079515989631E-3</v>
      </c>
      <c r="I158" s="335">
        <f t="shared" ca="1" si="270"/>
        <v>-2.4299999999999997</v>
      </c>
      <c r="J158" s="336">
        <f t="shared" ca="1" si="271"/>
        <v>0.36635006784260526</v>
      </c>
      <c r="K158" s="337">
        <f t="shared" ca="1" si="272"/>
        <v>-5.9959999999999987</v>
      </c>
      <c r="L158" s="334">
        <f t="shared" ca="1" si="273"/>
        <v>1.9550048907727415</v>
      </c>
      <c r="AD158" s="9" t="s">
        <v>48</v>
      </c>
      <c r="AE158" s="335">
        <f>+AE153+AE154+AE155-AE156-AE157</f>
        <v>-7</v>
      </c>
      <c r="AF158" s="334">
        <f>IF(AE143=0,"N.D.",AE158/AE143)</f>
        <v>-9.655172413793104E-3</v>
      </c>
      <c r="AG158" s="335">
        <f ca="1">+AG153+AG154+AG155-AG156-AG157</f>
        <v>-6.633</v>
      </c>
      <c r="AH158" s="334">
        <f ca="1">IF(AG143=0,"N.D.",AG158/AG143)</f>
        <v>-9.2020837524191355E-3</v>
      </c>
      <c r="AI158" s="335">
        <f ca="1">+AI153+AI154+AI155-AI156-AI157</f>
        <v>0.32658999999999994</v>
      </c>
      <c r="AJ158" s="334">
        <f ca="1">IF(AI143=0,"N.D.",AI158/AI143)</f>
        <v>4.5206588670317234E-4</v>
      </c>
      <c r="AK158" s="335">
        <f t="shared" ca="1" si="274"/>
        <v>-0.36699999999999999</v>
      </c>
      <c r="AL158" s="336">
        <f t="shared" ca="1" si="275"/>
        <v>5.5329413538368843E-2</v>
      </c>
      <c r="AM158" s="337">
        <f t="shared" ca="1" si="276"/>
        <v>-7.3265899999999995</v>
      </c>
      <c r="AN158" s="334">
        <f t="shared" ca="1" si="277"/>
        <v>-22.433601763679235</v>
      </c>
    </row>
    <row r="159" spans="1:40" ht="13" x14ac:dyDescent="0.3">
      <c r="B159" s="332" t="s">
        <v>49</v>
      </c>
      <c r="C159" s="337">
        <f ca="1">+C151-C158</f>
        <v>-78.284999999999954</v>
      </c>
      <c r="D159" s="334">
        <f ca="1">IF(C143=0,"N.D.",C159/C143)</f>
        <v>-0.1133497429957286</v>
      </c>
      <c r="E159" s="337">
        <f ca="1">+E151-E158</f>
        <v>-89.181000000000026</v>
      </c>
      <c r="F159" s="334">
        <f ca="1">IF(E143=0,"N.D.",E159/E143)</f>
        <v>-0.11690426096702522</v>
      </c>
      <c r="G159" s="337">
        <f ca="1">+G151-G158</f>
        <v>-100.3549999999999</v>
      </c>
      <c r="H159" s="334">
        <f ca="1">IF(G143=0,"N.D.",G159/G143)</f>
        <v>-0.13552695548833177</v>
      </c>
      <c r="I159" s="335">
        <f t="shared" ca="1" si="270"/>
        <v>10.896000000000072</v>
      </c>
      <c r="J159" s="336">
        <f t="shared" ca="1" si="271"/>
        <v>-0.12217849093416833</v>
      </c>
      <c r="K159" s="337">
        <f t="shared" ca="1" si="272"/>
        <v>22.069999999999951</v>
      </c>
      <c r="L159" s="334">
        <f t="shared" ca="1" si="273"/>
        <v>-0.21991928653280823</v>
      </c>
      <c r="AD159" s="332" t="s">
        <v>49</v>
      </c>
      <c r="AE159" s="337">
        <f ca="1">+AE151-AE158</f>
        <v>-93.329436038514473</v>
      </c>
      <c r="AF159" s="334">
        <f ca="1">IF(AE143=0,"N.D.",AE159/AE143)</f>
        <v>-0.12873025660484755</v>
      </c>
      <c r="AG159" s="337">
        <f ca="1">+AG151-AG158</f>
        <v>-92.082999999999899</v>
      </c>
      <c r="AH159" s="334">
        <f ca="1">IF(AG143=0,"N.D.",AG159/AG143)</f>
        <v>-0.12774845140570035</v>
      </c>
      <c r="AI159" s="337">
        <f ca="1">+AI151-AI158</f>
        <v>-104.53532000000006</v>
      </c>
      <c r="AJ159" s="334">
        <f ca="1">IF(AI143=0,"N.D.",AI159/AI143)</f>
        <v>-0.14469779272972197</v>
      </c>
      <c r="AK159" s="335">
        <f t="shared" ca="1" si="274"/>
        <v>-1.2464360385145739</v>
      </c>
      <c r="AL159" s="336">
        <f t="shared" ca="1" si="275"/>
        <v>1.3536005978460386E-2</v>
      </c>
      <c r="AM159" s="337">
        <f t="shared" ca="1" si="276"/>
        <v>11.205883961485583</v>
      </c>
      <c r="AN159" s="334">
        <f t="shared" ca="1" si="277"/>
        <v>-0.10719710774775049</v>
      </c>
    </row>
    <row r="160" spans="1:40" x14ac:dyDescent="0.25">
      <c r="B160" s="322"/>
      <c r="C160" s="338"/>
      <c r="D160" s="339"/>
      <c r="E160" s="338"/>
      <c r="F160" s="339"/>
      <c r="G160" s="338"/>
      <c r="H160" s="339"/>
      <c r="I160" s="338"/>
      <c r="J160" s="340"/>
      <c r="K160" s="338"/>
      <c r="L160" s="339"/>
      <c r="AD160" s="322"/>
      <c r="AE160" s="338"/>
      <c r="AF160" s="339"/>
      <c r="AG160" s="338"/>
      <c r="AH160" s="339"/>
      <c r="AI160" s="338"/>
      <c r="AJ160" s="339"/>
      <c r="AK160" s="338"/>
      <c r="AL160" s="340"/>
      <c r="AM160" s="338"/>
      <c r="AN160" s="339"/>
    </row>
    <row r="161" spans="1:55" x14ac:dyDescent="0.25">
      <c r="B161" s="9" t="s">
        <v>213</v>
      </c>
      <c r="C161" s="327">
        <f ca="1">INDIRECT(ADDRESS(MATCH($B$140,'ER Act'!$B:$B,0)+20,MATCH(TEXT(DATE(YEAR(MES_CIERRE),ROUNDUP(MONTH(MES_CIERRE)/3,0)*3-2,1),"MMMM"),'ER Act'!$1:$1,0),,,"ER Act"))+INDIRECT(ADDRESS(MATCH($B$140,'ER Act'!$B:$B,0)+20,MATCH(TEXT(DATE(YEAR(MES_CIERRE),ROUNDUP(MONTH(MES_CIERRE)/3,0)*3-1,1),"MMMM"),'ER Act'!$1:$1,0),,,"ER Act"))+INDIRECT(ADDRESS(MATCH($B$140,'ER Act'!$B:$B,0)+20,MATCH(TEXT(DATE(YEAR(MES_CIERRE),ROUNDUP(MONTH(MES_CIERRE)/3,0)*3-0,1),"MMMM"),'ER Act'!$1:$1,0),,,"ER Act"))</f>
        <v>0</v>
      </c>
      <c r="D161" s="343">
        <f ca="1">IF(C143=0,"N.D.",C161/C143)</f>
        <v>0</v>
      </c>
      <c r="E161" s="327">
        <f ca="1">INDIRECT(ADDRESS(MATCH($B$140,'ER Ppto'!$B:$B,0)+20,MATCH(TEXT(DATE(YEAR(MES_CIERRE),ROUNDUP(MONTH(MES_CIERRE)/3,0)*3-2,1),"MMMM"),'ER Ppto'!$1:$1,0),,,"ER Ppto"))+INDIRECT(ADDRESS(MATCH($B$140,'ER Ppto'!$B:$B,0)+20,MATCH(TEXT(DATE(YEAR(MES_CIERRE),ROUNDUP(MONTH(MES_CIERRE)/3,0)*3-1,1),"MMMM"),'ER Ppto'!$1:$1,0),,,"ER Ppto"))+INDIRECT(ADDRESS(MATCH($B$140,'ER Ppto'!$B:$B,0)+20,MATCH(TEXT(DATE(YEAR(MES_CIERRE),ROUNDUP(MONTH(MES_CIERRE)/3,0)*3-0,1),"MMMM"),'ER Ppto'!$1:$1,0),,,"ER Ppto"))</f>
        <v>0</v>
      </c>
      <c r="F161" s="343">
        <f ca="1">IF(E143=0,"N.D.",E161/E143)</f>
        <v>0</v>
      </c>
      <c r="G161" s="327">
        <f ca="1">INDIRECT(ADDRESS(MATCH($B$140,'ER AA'!$B:$B,0)+20,MATCH(TEXT(DATE(YEAR(MES_CIERRE),ROUNDUP(MONTH(MES_CIERRE)/3,0)*3-2,1),"MMMM"),'ER AA'!$1:$1,0),,,"ER AA"))+INDIRECT(ADDRESS(MATCH($B$140,'ER AA'!$B:$B,0)+20,MATCH(TEXT(DATE(YEAR(MES_CIERRE),ROUNDUP(MONTH(MES_CIERRE)/3,0)*3-1,1),"MMMM"),'ER AA'!$1:$1,0),,,"ER AA"))+INDIRECT(ADDRESS(MATCH($B$140,'ER AA'!$B:$B,0)+20,MATCH(TEXT(DATE(YEAR(MES_CIERRE),ROUNDUP(MONTH(MES_CIERRE)/3,0)*3-0,1),"MMMM"),'ER AA'!$1:$1,0),,,"ER AA"))</f>
        <v>0</v>
      </c>
      <c r="H161" s="343">
        <f ca="1">IF(G143=0,"N.D.",G161/G143)</f>
        <v>0</v>
      </c>
      <c r="I161" s="325">
        <f t="shared" ref="I161:I169" ca="1" si="278">C161-E161</f>
        <v>0</v>
      </c>
      <c r="J161" s="326" t="str">
        <f t="shared" ref="J161:J169" ca="1" si="279">IF(E161=0,"N.D.",C161/E161-1)</f>
        <v>N.D.</v>
      </c>
      <c r="K161" s="327">
        <f t="shared" ref="K161:K169" ca="1" si="280">C161-G161</f>
        <v>0</v>
      </c>
      <c r="L161" s="324" t="str">
        <f t="shared" ref="L161:L169" ca="1" si="281">IF(G161=0,"N.D.",C161/G161-1)</f>
        <v>N.D.</v>
      </c>
      <c r="AD161" s="9" t="s">
        <v>213</v>
      </c>
      <c r="AE161" s="327">
        <v>0</v>
      </c>
      <c r="AF161" s="343">
        <f>IF(AE143=0,"N.D.",AE161/AE143)</f>
        <v>0</v>
      </c>
      <c r="AG161" s="327">
        <f ca="1">((INDIRECT(ADDRESS(MATCH($B$140,BDPP!$B:$B,0)+22,MATCH(TEXT(DATE(YEAR(MES_CIERRE),ROUNDUP(MONTH(MES_CIERRE)/3,0)*3,1),"MMMM"),BDPP!$1:$1,0)+1,,,"BDPP")))+(INDIRECT(ADDRESS(MATCH($B$140,BDPP!$B:$B,0)+22,MATCH(TEXT(DATE(YEAR(MES_CIERRE),ROUNDUP(MONTH(MES_CIERRE)/3,0)*3,1),"MMMM"),BDPP!$1:$1,0)+2,,,"BDPP")))+(INDIRECT(ADDRESS(MATCH($B$140,BDPP!$B:$B,0)+22,MATCH(TEXT(DATE(YEAR(MES_CIERRE),ROUNDUP(MONTH(MES_CIERRE)/3,0)*3,1),"MMMM"),BDPP!$1:$1,0)+3,,,"BDPP"))))/1000</f>
        <v>0</v>
      </c>
      <c r="AH161" s="343">
        <f ca="1">IF(AG143=0,"N.D.",AG161/AG143)</f>
        <v>0</v>
      </c>
      <c r="AI161" s="327">
        <f ca="1">INDIRECT(ADDRESS(MATCH($B$140,INDIRECT("'"&amp;IF(MONTH(MES_CIERRE)=12,"ER ACT","ER AA")&amp;"'!$B:$B"),0)+20,MATCH(TEXT(DATE(YEAR(MES_CIERRE),ROUNDUP(MONTH(MES_CIERRE)+1,0),1),"MMMM"),'ER AA'!$1:$1,0),,,IF(MONTH(MES_CIERRE)=12,"ER ACT","ER AA")))+INDIRECT(ADDRESS(MATCH($B$140,INDIRECT("'"&amp;IF(MONTH(MES_CIERRE)=12,"ER ACT","ER AA")&amp;"'!$B:$B"),0)+20,MATCH(TEXT(DATE(YEAR(MES_CIERRE),ROUNDUP(MONTH(MES_CIERRE)+2,0),1),"MMMM"),'ER AA'!$1:$1,0),,,IF(MONTH(MES_CIERRE)=12,"ER ACT","ER AA")))+INDIRECT(ADDRESS(MATCH($B$140,INDIRECT("'"&amp;IF(MONTH(MES_CIERRE)=12,"ER ACT","ER AA")&amp;"'!$B:$B"),0)+20,MATCH(TEXT(DATE(YEAR(MES_CIERRE),ROUNDUP(MONTH(MES_CIERRE)+3,0),1),"MMMM"),'ER AA'!$1:$1,0),,,IF(MONTH(MES_CIERRE)=12,"ER ACT","ER AA")))</f>
        <v>0</v>
      </c>
      <c r="AJ161" s="343">
        <f ca="1">IF(AI143=0,"N.D.",AI161/AI143)</f>
        <v>0</v>
      </c>
      <c r="AK161" s="325">
        <f t="shared" ref="AK161:AK169" ca="1" si="282">AE161-AG161</f>
        <v>0</v>
      </c>
      <c r="AL161" s="326" t="str">
        <f t="shared" ref="AL161:AL169" ca="1" si="283">IF(AG161=0,"N.D.",AE161/AG161-1)</f>
        <v>N.D.</v>
      </c>
      <c r="AM161" s="327">
        <f t="shared" ref="AM161:AM169" ca="1" si="284">AE161-AI161</f>
        <v>0</v>
      </c>
      <c r="AN161" s="324" t="str">
        <f t="shared" ref="AN161:AN169" ca="1" si="285">IF(AI161=0,"N.D.",AE161/AI161-1)</f>
        <v>N.D.</v>
      </c>
    </row>
    <row r="162" spans="1:55" x14ac:dyDescent="0.25">
      <c r="A162" s="317"/>
      <c r="B162" s="9" t="s">
        <v>51</v>
      </c>
      <c r="C162" s="342">
        <f ca="1">INDIRECT(ADDRESS(MATCH($B$140,'ER Act'!$B:$B,0)+21,MATCH(TEXT(DATE(YEAR(MES_CIERRE),ROUNDUP(MONTH(MES_CIERRE)/3,0)*3-2,1),"MMMM"),'ER Act'!$1:$1,0),,,"ER Act"))+INDIRECT(ADDRESS(MATCH($B$140,'ER Act'!$B:$B,0)+21,MATCH(TEXT(DATE(YEAR(MES_CIERRE),ROUNDUP(MONTH(MES_CIERRE)/3,0)*3-1,1),"MMMM"),'ER Act'!$1:$1,0),,,"ER Act"))+INDIRECT(ADDRESS(MATCH($B$140,'ER Act'!$B:$B,0)+21,MATCH(TEXT(DATE(YEAR(MES_CIERRE),ROUNDUP(MONTH(MES_CIERRE)/3,0)*3-0,1),"MMMM"),'ER Act'!$1:$1,0),,,"ER Act"))</f>
        <v>0</v>
      </c>
      <c r="D162" s="345">
        <f ca="1">IF(C143=0,"N.D.",C162/C143)</f>
        <v>0</v>
      </c>
      <c r="E162" s="342">
        <f ca="1">INDIRECT(ADDRESS(MATCH($B$140,'ER Ppto'!$B:$B,0)+21,MATCH(TEXT(DATE(YEAR(MES_CIERRE),ROUNDUP(MONTH(MES_CIERRE)/3,0)*3-2,1),"MMMM"),'ER Ppto'!$1:$1,0),,,"ER Ppto"))+INDIRECT(ADDRESS(MATCH($B$140,'ER Ppto'!$B:$B,0)+21,MATCH(TEXT(DATE(YEAR(MES_CIERRE),ROUNDUP(MONTH(MES_CIERRE)/3,0)*3-1,1),"MMMM"),'ER Ppto'!$1:$1,0),,,"ER Ppto"))+INDIRECT(ADDRESS(MATCH($B$140,'ER Ppto'!$B:$B,0)+21,MATCH(TEXT(DATE(YEAR(MES_CIERRE),ROUNDUP(MONTH(MES_CIERRE)/3,0)*3-0,1),"MMMM"),'ER Ppto'!$1:$1,0),,,"ER Ppto"))</f>
        <v>0</v>
      </c>
      <c r="F162" s="345">
        <f ca="1">IF(E143=0,"N.D.",E162/E143)</f>
        <v>0</v>
      </c>
      <c r="G162" s="342">
        <f ca="1">INDIRECT(ADDRESS(MATCH($B$140,'ER AA'!$B:$B,0)+21,MATCH(TEXT(DATE(YEAR(MES_CIERRE),ROUNDUP(MONTH(MES_CIERRE)/3,0)*3-2,1),"MMMM"),'ER AA'!$1:$1,0),,,"ER AA"))+INDIRECT(ADDRESS(MATCH($B$140,'ER AA'!$B:$B,0)+21,MATCH(TEXT(DATE(YEAR(MES_CIERRE),ROUNDUP(MONTH(MES_CIERRE)/3,0)*3-1,1),"MMMM"),'ER AA'!$1:$1,0),,,"ER AA"))+INDIRECT(ADDRESS(MATCH($B$140,'ER AA'!$B:$B,0)+21,MATCH(TEXT(DATE(YEAR(MES_CIERRE),ROUNDUP(MONTH(MES_CIERRE)/3,0)*3-0,1),"MMMM"),'ER AA'!$1:$1,0),,,"ER AA"))</f>
        <v>0</v>
      </c>
      <c r="H162" s="345">
        <f ca="1">IF(G143=0,"N.D.",G162/G143)</f>
        <v>0</v>
      </c>
      <c r="I162" s="330">
        <f t="shared" ca="1" si="278"/>
        <v>0</v>
      </c>
      <c r="J162" s="331" t="str">
        <f t="shared" ca="1" si="279"/>
        <v>N.D.</v>
      </c>
      <c r="K162" s="342">
        <f t="shared" ca="1" si="280"/>
        <v>0</v>
      </c>
      <c r="L162" s="329" t="str">
        <f t="shared" ca="1" si="281"/>
        <v>N.D.</v>
      </c>
      <c r="AD162" s="9" t="s">
        <v>51</v>
      </c>
      <c r="AE162" s="342">
        <v>0</v>
      </c>
      <c r="AF162" s="345">
        <f>IF(AE143=0,"N.D.",AE162/AE143)</f>
        <v>0</v>
      </c>
      <c r="AG162" s="342">
        <f ca="1">((INDIRECT(ADDRESS(MATCH($B$140,BDPP!$B:$B,0)+23,MATCH(TEXT(DATE(YEAR(MES_CIERRE),ROUNDUP(MONTH(MES_CIERRE)/3,0)*3,1),"MMMM"),BDPP!$1:$1,0)+1,,,"BDPP")))+(INDIRECT(ADDRESS(MATCH($B$140,BDPP!$B:$B,0)+23,MATCH(TEXT(DATE(YEAR(MES_CIERRE),ROUNDUP(MONTH(MES_CIERRE)/3,0)*3,1),"MMMM"),BDPP!$1:$1,0)+2,,,"BDPP")))+(INDIRECT(ADDRESS(MATCH($B$140,BDPP!$B:$B,0)+23,MATCH(TEXT(DATE(YEAR(MES_CIERRE),ROUNDUP(MONTH(MES_CIERRE)/3,0)*3,1),"MMMM"),BDPP!$1:$1,0)+3,,,"BDPP"))))/1000</f>
        <v>0</v>
      </c>
      <c r="AH162" s="345">
        <f ca="1">IF(AG143=0,"N.D.",AG162/AG143)</f>
        <v>0</v>
      </c>
      <c r="AI162" s="342">
        <f ca="1">INDIRECT(ADDRESS(MATCH($B$140,INDIRECT("'"&amp;IF(MONTH(MES_CIERRE)=12,"ER ACT","ER AA")&amp;"'!$B:$B"),0)+21,MATCH(TEXT(DATE(YEAR(MES_CIERRE),ROUNDUP(MONTH(MES_CIERRE)+1,0),1),"MMMM"),'ER AA'!$1:$1,0),,,IF(MONTH(MES_CIERRE)=12,"ER ACT","ER AA")))+INDIRECT(ADDRESS(MATCH($B$140,INDIRECT("'"&amp;IF(MONTH(MES_CIERRE)=12,"ER ACT","ER AA")&amp;"'!$B:$B"),0)+21,MATCH(TEXT(DATE(YEAR(MES_CIERRE),ROUNDUP(MONTH(MES_CIERRE)+2,0),1),"MMMM"),'ER AA'!$1:$1,0),,,IF(MONTH(MES_CIERRE)=12,"ER ACT","ER AA")))+INDIRECT(ADDRESS(MATCH($B$140,INDIRECT("'"&amp;IF(MONTH(MES_CIERRE)=12,"ER ACT","ER AA")&amp;"'!$B:$B"),0)+21,MATCH(TEXT(DATE(YEAR(MES_CIERRE),ROUNDUP(MONTH(MES_CIERRE)+3,0),1),"MMMM"),'ER AA'!$1:$1,0),,,IF(MONTH(MES_CIERRE)=12,"ER ACT","ER AA")))</f>
        <v>0</v>
      </c>
      <c r="AJ162" s="345">
        <f ca="1">IF(AI143=0,"N.D.",AI162/AI143)</f>
        <v>0</v>
      </c>
      <c r="AK162" s="330">
        <f t="shared" ca="1" si="282"/>
        <v>0</v>
      </c>
      <c r="AL162" s="331" t="str">
        <f t="shared" ca="1" si="283"/>
        <v>N.D.</v>
      </c>
      <c r="AM162" s="342">
        <f t="shared" ca="1" si="284"/>
        <v>0</v>
      </c>
      <c r="AN162" s="329" t="str">
        <f t="shared" ca="1" si="285"/>
        <v>N.D.</v>
      </c>
    </row>
    <row r="163" spans="1:55" ht="13" x14ac:dyDescent="0.3">
      <c r="A163" s="317"/>
      <c r="B163" s="87" t="s">
        <v>53</v>
      </c>
      <c r="C163" s="337">
        <f ca="1">+C159-C161-C162</f>
        <v>-78.284999999999954</v>
      </c>
      <c r="D163" s="334">
        <f ca="1">IF(C143=0,"N.D.",C163/C143)</f>
        <v>-0.1133497429957286</v>
      </c>
      <c r="E163" s="337">
        <f ca="1">+E159-E161-E162</f>
        <v>-89.181000000000026</v>
      </c>
      <c r="F163" s="334">
        <f ca="1">IF(E143=0,"N.D.",E163/E143)</f>
        <v>-0.11690426096702522</v>
      </c>
      <c r="G163" s="337">
        <f ca="1">+G159-G161-G162</f>
        <v>-100.3549999999999</v>
      </c>
      <c r="H163" s="334">
        <f ca="1">IF(G143=0,"N.D.",G163/G143)</f>
        <v>-0.13552695548833177</v>
      </c>
      <c r="I163" s="335">
        <f t="shared" ca="1" si="278"/>
        <v>10.896000000000072</v>
      </c>
      <c r="J163" s="336">
        <f t="shared" ca="1" si="279"/>
        <v>-0.12217849093416833</v>
      </c>
      <c r="K163" s="337">
        <f t="shared" ca="1" si="280"/>
        <v>22.069999999999951</v>
      </c>
      <c r="L163" s="334">
        <f t="shared" ca="1" si="281"/>
        <v>-0.21991928653280823</v>
      </c>
      <c r="AD163" s="87" t="s">
        <v>53</v>
      </c>
      <c r="AE163" s="337">
        <f ca="1">+AE159-AE161-AE162</f>
        <v>-93.329436038514473</v>
      </c>
      <c r="AF163" s="334">
        <f ca="1">IF(AE143=0,"N.D.",AE163/AE143)</f>
        <v>-0.12873025660484755</v>
      </c>
      <c r="AG163" s="337">
        <f ca="1">+AG159-AG161-AG162</f>
        <v>-92.082999999999899</v>
      </c>
      <c r="AH163" s="334">
        <f ca="1">IF(AG143=0,"N.D.",AG163/AG143)</f>
        <v>-0.12774845140570035</v>
      </c>
      <c r="AI163" s="337">
        <f ca="1">+AI159-AI161-AI162</f>
        <v>-104.53532000000006</v>
      </c>
      <c r="AJ163" s="334">
        <f ca="1">IF(AI143=0,"N.D.",AI163/AI143)</f>
        <v>-0.14469779272972197</v>
      </c>
      <c r="AK163" s="335">
        <f t="shared" ca="1" si="282"/>
        <v>-1.2464360385145739</v>
      </c>
      <c r="AL163" s="336">
        <f t="shared" ca="1" si="283"/>
        <v>1.3536005978460386E-2</v>
      </c>
      <c r="AM163" s="337">
        <f t="shared" ca="1" si="284"/>
        <v>11.205883961485583</v>
      </c>
      <c r="AN163" s="334">
        <f t="shared" ca="1" si="285"/>
        <v>-0.10719710774775049</v>
      </c>
    </row>
    <row r="164" spans="1:55" ht="18" x14ac:dyDescent="0.5">
      <c r="B164" s="7" t="s">
        <v>122</v>
      </c>
      <c r="C164" s="337">
        <f ca="1">+C151+C149</f>
        <v>-59.621999999999957</v>
      </c>
      <c r="D164" s="334">
        <f ca="1">IF(C143=0,"N.D.",C164/C143)</f>
        <v>-8.6327372764786733E-2</v>
      </c>
      <c r="E164" s="337">
        <f ca="1">+E151+E149</f>
        <v>-68.088000000000022</v>
      </c>
      <c r="F164" s="334">
        <f ca="1">IF(E143=0,"N.D.",E164/E143)</f>
        <v>-8.9254183298267717E-2</v>
      </c>
      <c r="G164" s="337">
        <f ca="1">+G151+G149</f>
        <v>-66.194999999999908</v>
      </c>
      <c r="H164" s="334">
        <f ca="1">IF(G143=0,"N.D.",G164/G143)</f>
        <v>-8.9394716940362884E-2</v>
      </c>
      <c r="I164" s="335">
        <f t="shared" ca="1" si="278"/>
        <v>8.466000000000065</v>
      </c>
      <c r="J164" s="336">
        <f t="shared" ca="1" si="279"/>
        <v>-0.12433909058865089</v>
      </c>
      <c r="K164" s="337">
        <f t="shared" ca="1" si="280"/>
        <v>6.5729999999999507</v>
      </c>
      <c r="L164" s="334">
        <f t="shared" ca="1" si="281"/>
        <v>-9.9297530024925695E-2</v>
      </c>
      <c r="R164" s="71"/>
      <c r="AD164" s="7" t="s">
        <v>122</v>
      </c>
      <c r="AE164" s="337">
        <f ca="1">+AE151+AE149</f>
        <v>-72.329436038514473</v>
      </c>
      <c r="AF164" s="334">
        <f ca="1">IF(AE143=0,"N.D.",AE164/AE143)</f>
        <v>-9.9764739363468233E-2</v>
      </c>
      <c r="AG164" s="337">
        <f ca="1">+AG151+AG149</f>
        <v>-70.989999999999895</v>
      </c>
      <c r="AH164" s="334">
        <f ca="1">IF(AG143=0,"N.D.",AG164/AG143)</f>
        <v>-9.8485741833896204E-2</v>
      </c>
      <c r="AI164" s="337">
        <f ca="1">+AI151+AI149</f>
        <v>-66.982710000000054</v>
      </c>
      <c r="AJ164" s="334">
        <f ca="1">IF(AI143=0,"N.D.",AI164/AI143)</f>
        <v>-9.2717468966996786E-2</v>
      </c>
      <c r="AK164" s="335">
        <f t="shared" ca="1" si="282"/>
        <v>-1.3394360385145774</v>
      </c>
      <c r="AL164" s="336">
        <f t="shared" ca="1" si="283"/>
        <v>1.8867953775385082E-2</v>
      </c>
      <c r="AM164" s="337">
        <f t="shared" ca="1" si="284"/>
        <v>-5.3467260385144186</v>
      </c>
      <c r="AN164" s="334">
        <f t="shared" ca="1" si="285"/>
        <v>7.9822480137253571E-2</v>
      </c>
      <c r="AT164" s="71"/>
    </row>
    <row r="165" spans="1:55" ht="13" x14ac:dyDescent="0.3">
      <c r="A165" s="317"/>
      <c r="B165" s="1" t="s">
        <v>194</v>
      </c>
      <c r="C165" s="373">
        <f ca="1">INDIRECT(ADDRESS(MATCH($B$140,'ER Act'!$B:$B,0)+24,MATCH(TEXT(DATE(YEAR(MES_CIERRE),ROUNDUP(MONTH(MES_CIERRE)/3,0)*3-2,1),"MMMM"),'ER Act'!$1:$1,0),,,"ER Act"))+INDIRECT(ADDRESS(MATCH($B$140,'ER Act'!$B:$B,0)+24,MATCH(TEXT(DATE(YEAR(MES_CIERRE),ROUNDUP(MONTH(MES_CIERRE)/3,0)*3-1,1),"MMMM"),'ER Act'!$1:$1,0),,,"ER Act"))+INDIRECT(ADDRESS(MATCH($B$140,'ER Act'!$B:$B,0)+24,MATCH(TEXT(DATE(YEAR(MES_CIERRE),ROUNDUP(MONTH(MES_CIERRE)/3,0)*3-0,1),"MMMM"),'ER Act'!$1:$1,0),,,"ER Act"))</f>
        <v>0</v>
      </c>
      <c r="D165" s="324">
        <f ca="1">IF(C$143=0, 0, C165/C$143)</f>
        <v>0</v>
      </c>
      <c r="E165" s="447">
        <f ca="1">INDIRECT(ADDRESS(MATCH($B$140,'ER Ppto'!$B:$B,0)+24,MATCH(TEXT(DATE(YEAR(MES_CIERRE),ROUNDUP(MONTH(MES_CIERRE)/3,0)*3-2,1),"MMMM"),'ER Ppto'!$1:$1,0),,,"ER Ppto"))+INDIRECT(ADDRESS(MATCH($B$140,'ER Ppto'!$B:$B,0)+24,MATCH(TEXT(DATE(YEAR(MES_CIERRE),ROUNDUP(MONTH(MES_CIERRE)/3,0)*3-1,1),"MMMM"),'ER Ppto'!$1:$1,0),,,"ER Ppto"))+INDIRECT(ADDRESS(MATCH($B$140,'ER Ppto'!$B:$B,0)+24,MATCH(TEXT(DATE(YEAR(MES_CIERRE),ROUNDUP(MONTH(MES_CIERRE)/3,0)*3-0,1),"MMMM"),'ER Ppto'!$1:$1,0),,,"ER Ppto"))</f>
        <v>0</v>
      </c>
      <c r="F165" s="324">
        <f ca="1">IF(E$143=0, 0, E165/E$143)</f>
        <v>0</v>
      </c>
      <c r="G165" s="447">
        <f ca="1">INDIRECT(ADDRESS(MATCH($B$140,'ER AA'!$B:$B,0)+24,MATCH(TEXT(DATE(YEAR(MES_CIERRE),ROUNDUP(MONTH(MES_CIERRE)/3,0)*3-2,1),"MMMM"),'ER AA'!$1:$1,0),,,"ER AA"))+INDIRECT(ADDRESS(MATCH($B$140,'ER AA'!$B:$B,0)+24,MATCH(TEXT(DATE(YEAR(MES_CIERRE),ROUNDUP(MONTH(MES_CIERRE)/3,0)*3-1,1),"MMMM"),'ER AA'!$1:$1,0),,,"ER AA"))+INDIRECT(ADDRESS(MATCH($B$140,'ER AA'!$B:$B,0)+24,MATCH(TEXT(DATE(YEAR(MES_CIERRE),ROUNDUP(MONTH(MES_CIERRE)/3,0)*3-0,1),"MMMM"),'ER AA'!$1:$1,0),,,"ER AA"))</f>
        <v>0</v>
      </c>
      <c r="H165" s="324">
        <f ca="1">IF(G$143=0, 0, G165/G$143)</f>
        <v>0</v>
      </c>
      <c r="I165" s="370">
        <f t="shared" ca="1" si="278"/>
        <v>0</v>
      </c>
      <c r="J165" s="326" t="str">
        <f t="shared" ca="1" si="279"/>
        <v>N.D.</v>
      </c>
      <c r="K165" s="370">
        <f t="shared" ca="1" si="280"/>
        <v>0</v>
      </c>
      <c r="L165" s="324" t="str">
        <f t="shared" ca="1" si="281"/>
        <v>N.D.</v>
      </c>
      <c r="S165" s="34"/>
      <c r="T165" s="34"/>
      <c r="U165" s="34"/>
      <c r="V165" s="34"/>
      <c r="W165" s="34"/>
      <c r="X165" s="34"/>
      <c r="Y165" s="34"/>
      <c r="Z165" s="34"/>
      <c r="AA165" s="33"/>
      <c r="AD165" s="1" t="s">
        <v>194</v>
      </c>
      <c r="AE165" s="373">
        <v>0</v>
      </c>
      <c r="AF165" s="324">
        <f>IF(AE$143=0, 0, AE165/AE$143)</f>
        <v>0</v>
      </c>
      <c r="AG165" s="447">
        <v>0</v>
      </c>
      <c r="AH165" s="324">
        <f ca="1">IF(AG$143=0, 0, AG165/AG$143)</f>
        <v>0</v>
      </c>
      <c r="AI165" s="447">
        <f ca="1">INDIRECT(ADDRESS(MATCH($B$140,INDIRECT("'"&amp;IF(MONTH(MES_CIERRE)=12,"ER ACT","ER AA")&amp;"'!$B:$B"),0)+24,MATCH(TEXT(DATE(YEAR(MES_CIERRE),ROUNDUP(MONTH(MES_CIERRE)+1,0),1),"MMMM"),'ER AA'!$1:$1,0),,,IF(MONTH(MES_CIERRE)=12,"ER ACT","ER AA")))+INDIRECT(ADDRESS(MATCH($B$140,INDIRECT("'"&amp;IF(MONTH(MES_CIERRE)=12,"ER ACT","ER AA")&amp;"'!$B:$B"),0)+24,MATCH(TEXT(DATE(YEAR(MES_CIERRE),ROUNDUP(MONTH(MES_CIERRE)+2,0),1),"MMMM"),'ER AA'!$1:$1,0),,,IF(MONTH(MES_CIERRE)=12,"ER ACT","ER AA")))+INDIRECT(ADDRESS(MATCH($B$140,INDIRECT("'"&amp;IF(MONTH(MES_CIERRE)=12,"ER ACT","ER AA")&amp;"'!$B:$B"),0)+24,MATCH(TEXT(DATE(YEAR(MES_CIERRE),ROUNDUP(MONTH(MES_CIERRE)+3,0),1),"MMMM"),'ER AA'!$1:$1,0),,,IF(MONTH(MES_CIERRE)=12,"ER ACT","ER AA")))</f>
        <v>0</v>
      </c>
      <c r="AJ165" s="324">
        <f ca="1">IF(AI$143=0, 0, AI165/AI$143)</f>
        <v>0</v>
      </c>
      <c r="AK165" s="370">
        <f t="shared" si="282"/>
        <v>0</v>
      </c>
      <c r="AL165" s="326" t="str">
        <f t="shared" si="283"/>
        <v>N.D.</v>
      </c>
      <c r="AM165" s="370">
        <f t="shared" ca="1" si="284"/>
        <v>0</v>
      </c>
      <c r="AN165" s="324" t="str">
        <f t="shared" ca="1" si="285"/>
        <v>N.D.</v>
      </c>
      <c r="AU165" s="34"/>
      <c r="AV165" s="34"/>
      <c r="AW165" s="34"/>
      <c r="AX165" s="34"/>
      <c r="AY165" s="34"/>
      <c r="AZ165" s="34"/>
      <c r="BA165" s="34"/>
      <c r="BB165" s="34"/>
      <c r="BC165" s="33"/>
    </row>
    <row r="166" spans="1:55" ht="13" x14ac:dyDescent="0.3">
      <c r="A166" s="317"/>
      <c r="B166" s="1" t="s">
        <v>123</v>
      </c>
      <c r="C166" s="408">
        <f ca="1">INDIRECT(ADDRESS(MATCH($B$140,'ER Act'!$B:$B,0)+25,MATCH(TEXT(DATE(YEAR(MES_CIERRE),ROUNDUP(MONTH(MES_CIERRE)/3,0)*3-2,1),"MMMM"),'ER Act'!$1:$1,0),,,"ER Act"))+INDIRECT(ADDRESS(MATCH($B$140,'ER Act'!$B:$B,0)+25,MATCH(TEXT(DATE(YEAR(MES_CIERRE),ROUNDUP(MONTH(MES_CIERRE)/3,0)*3-1,1),"MMMM"),'ER Act'!$1:$1,0),,,"ER Act"))+INDIRECT(ADDRESS(MATCH($B$140,'ER Act'!$B:$B,0)+25,MATCH(TEXT(DATE(YEAR(MES_CIERRE),ROUNDUP(MONTH(MES_CIERRE)/3,0)*3-0,1),"MMMM"),'ER Act'!$1:$1,0),,,"ER Act"))</f>
        <v>0</v>
      </c>
      <c r="D166" s="329">
        <f ca="1">IF(C$143=0, 0, C166/C$143)</f>
        <v>0</v>
      </c>
      <c r="E166" s="448">
        <f ca="1">INDIRECT(ADDRESS(MATCH($B$140,'ER Ppto'!$B:$B,0)+25,MATCH(TEXT(DATE(YEAR(MES_CIERRE),ROUNDUP(MONTH(MES_CIERRE)/3,0)*3-2,1),"MMMM"),'ER Ppto'!$1:$1,0),,,"ER Ppto"))+INDIRECT(ADDRESS(MATCH($B$140,'ER Ppto'!$B:$B,0)+25,MATCH(TEXT(DATE(YEAR(MES_CIERRE),ROUNDUP(MONTH(MES_CIERRE)/3,0)*3-1,1),"MMMM"),'ER Ppto'!$1:$1,0),,,"ER Ppto"))+INDIRECT(ADDRESS(MATCH($B$140,'ER Ppto'!$B:$B,0)+25,MATCH(TEXT(DATE(YEAR(MES_CIERRE),ROUNDUP(MONTH(MES_CIERRE)/3,0)*3-0,1),"MMMM"),'ER Ppto'!$1:$1,0),,,"ER Ppto"))</f>
        <v>0</v>
      </c>
      <c r="F166" s="329">
        <f ca="1">IF(E$143=0, 0, E166/E$143)</f>
        <v>0</v>
      </c>
      <c r="G166" s="448">
        <f ca="1">INDIRECT(ADDRESS(MATCH($B$140,'ER AA'!$B:$B,0)+25,MATCH(TEXT(DATE(YEAR(MES_CIERRE),ROUNDUP(MONTH(MES_CIERRE)/3,0)*3-2,1),"MMMM"),'ER AA'!$1:$1,0),,,"ER AA"))+INDIRECT(ADDRESS(MATCH($B$140,'ER AA'!$B:$B,0)+25,MATCH(TEXT(DATE(YEAR(MES_CIERRE),ROUNDUP(MONTH(MES_CIERRE)/3,0)*3-1,1),"MMMM"),'ER AA'!$1:$1,0),,,"ER AA"))+INDIRECT(ADDRESS(MATCH($B$140,'ER AA'!$B:$B,0)+25,MATCH(TEXT(DATE(YEAR(MES_CIERRE),ROUNDUP(MONTH(MES_CIERRE)/3,0)*3-0,1),"MMMM"),'ER AA'!$1:$1,0),,,"ER AA"))</f>
        <v>0</v>
      </c>
      <c r="H166" s="329">
        <f ca="1">IF(G$143=0, 0, G166/G$143)</f>
        <v>0</v>
      </c>
      <c r="I166" s="371">
        <f t="shared" ca="1" si="278"/>
        <v>0</v>
      </c>
      <c r="J166" s="372" t="str">
        <f t="shared" ca="1" si="279"/>
        <v>N.D.</v>
      </c>
      <c r="K166" s="371">
        <f t="shared" ca="1" si="280"/>
        <v>0</v>
      </c>
      <c r="L166" s="329" t="str">
        <f t="shared" ca="1" si="281"/>
        <v>N.D.</v>
      </c>
      <c r="S166" s="34"/>
      <c r="T166" s="34"/>
      <c r="U166" s="34"/>
      <c r="V166" s="34"/>
      <c r="W166" s="34"/>
      <c r="X166" s="34"/>
      <c r="Y166" s="34"/>
      <c r="Z166" s="34"/>
      <c r="AA166" s="33"/>
      <c r="AD166" s="1" t="s">
        <v>123</v>
      </c>
      <c r="AE166" s="408">
        <v>0</v>
      </c>
      <c r="AF166" s="329">
        <f>IF(AE$143=0, 0, AE166/AE$143)</f>
        <v>0</v>
      </c>
      <c r="AG166" s="448">
        <v>0</v>
      </c>
      <c r="AH166" s="329">
        <f ca="1">IF(AG$143=0, 0, AG166/AG$143)</f>
        <v>0</v>
      </c>
      <c r="AI166" s="448">
        <f ca="1">INDIRECT(ADDRESS(MATCH($B$140,INDIRECT("'"&amp;IF(MONTH(MES_CIERRE)=12,"ER ACT","ER AA")&amp;"'!$B:$B"),0)+25,MATCH(TEXT(DATE(YEAR(MES_CIERRE),ROUNDUP(MONTH(MES_CIERRE)+1,0),1),"MMMM"),'ER AA'!$1:$1,0),,,IF(MONTH(MES_CIERRE)=12,"ER ACT","ER AA")))+INDIRECT(ADDRESS(MATCH($B$140,INDIRECT("'"&amp;IF(MONTH(MES_CIERRE)=12,"ER ACT","ER AA")&amp;"'!$B:$B"),0)+25,MATCH(TEXT(DATE(YEAR(MES_CIERRE),ROUNDUP(MONTH(MES_CIERRE)+2,0),1),"MMMM"),'ER AA'!$1:$1,0),,,IF(MONTH(MES_CIERRE)=12,"ER ACT","ER AA")))+INDIRECT(ADDRESS(MATCH($B$140,INDIRECT("'"&amp;IF(MONTH(MES_CIERRE)=12,"ER ACT","ER AA")&amp;"'!$B:$B"),0)+25,MATCH(TEXT(DATE(YEAR(MES_CIERRE),ROUNDUP(MONTH(MES_CIERRE)+3,0),1),"MMMM"),'ER AA'!$1:$1,0),,,IF(MONTH(MES_CIERRE)=12,"ER ACT","ER AA")))</f>
        <v>0</v>
      </c>
      <c r="AJ166" s="329">
        <f ca="1">IF(AI$143=0, 0, AI166/AI$143)</f>
        <v>0</v>
      </c>
      <c r="AK166" s="371">
        <f t="shared" si="282"/>
        <v>0</v>
      </c>
      <c r="AL166" s="372" t="str">
        <f t="shared" si="283"/>
        <v>N.D.</v>
      </c>
      <c r="AM166" s="371">
        <f t="shared" ca="1" si="284"/>
        <v>0</v>
      </c>
      <c r="AN166" s="329" t="str">
        <f t="shared" ca="1" si="285"/>
        <v>N.D.</v>
      </c>
      <c r="AU166" s="34"/>
      <c r="AV166" s="34"/>
      <c r="AW166" s="34"/>
      <c r="AX166" s="34"/>
      <c r="AY166" s="34"/>
      <c r="AZ166" s="34"/>
      <c r="BA166" s="34"/>
      <c r="BB166" s="34"/>
      <c r="BC166" s="33"/>
    </row>
    <row r="167" spans="1:55" ht="13" x14ac:dyDescent="0.3">
      <c r="A167" s="317"/>
      <c r="B167" s="7" t="s">
        <v>190</v>
      </c>
      <c r="C167" s="410">
        <f ca="1">+C163+C149+C165+C166</f>
        <v>-50.558999999999955</v>
      </c>
      <c r="D167" s="334">
        <f ca="1">IF(C143=0,"N.D.",C167/C143)</f>
        <v>-7.3204951856946296E-2</v>
      </c>
      <c r="E167" s="410">
        <f ca="1">+E163+E149+E165+E166</f>
        <v>-61.455000000000027</v>
      </c>
      <c r="F167" s="334">
        <f ca="1">IF(E143=0,"N.D.",E167/E143)</f>
        <v>-8.0559215053974897E-2</v>
      </c>
      <c r="G167" s="410">
        <f ca="1">+G163+G149+G165+G166</f>
        <v>-63.127999999999901</v>
      </c>
      <c r="H167" s="334">
        <f ca="1">IF(G143=0,"N.D.",G167/G143)</f>
        <v>-8.5252808988763903E-2</v>
      </c>
      <c r="I167" s="367">
        <f t="shared" ca="1" si="278"/>
        <v>10.896000000000072</v>
      </c>
      <c r="J167" s="368">
        <f t="shared" ca="1" si="279"/>
        <v>-0.17730046375396746</v>
      </c>
      <c r="K167" s="369">
        <f t="shared" ca="1" si="280"/>
        <v>12.568999999999946</v>
      </c>
      <c r="L167" s="366">
        <f t="shared" ca="1" si="281"/>
        <v>-0.19910340894690104</v>
      </c>
      <c r="S167" s="34"/>
      <c r="T167" s="34"/>
      <c r="U167" s="34"/>
      <c r="V167" s="34"/>
      <c r="W167" s="34"/>
      <c r="X167" s="34"/>
      <c r="Y167" s="34"/>
      <c r="Z167" s="34"/>
      <c r="AA167" s="33"/>
      <c r="AD167" s="7" t="s">
        <v>190</v>
      </c>
      <c r="AE167" s="410">
        <f ca="1">+AE163+AE149+AE165+AE166</f>
        <v>-65.329436038514473</v>
      </c>
      <c r="AF167" s="334">
        <f ca="1">IF(AE143=0,"N.D.",AE167/AE143)</f>
        <v>-9.0109566949675132E-2</v>
      </c>
      <c r="AG167" s="410">
        <f ca="1">+AG163+AG149+AG165+AG166</f>
        <v>-64.3569999999999</v>
      </c>
      <c r="AH167" s="334">
        <f ca="1">IF(AG143=0,"N.D.",AG167/AG143)</f>
        <v>-8.9283658081477077E-2</v>
      </c>
      <c r="AI167" s="410">
        <f ca="1">+AI163+AI149+AI165+AI166</f>
        <v>-67.30930000000005</v>
      </c>
      <c r="AJ167" s="334">
        <f ca="1">IF(AI143=0,"N.D.",AI167/AI143)</f>
        <v>-9.3169534853699956E-2</v>
      </c>
      <c r="AK167" s="367">
        <f t="shared" ca="1" si="282"/>
        <v>-0.97243603851457294</v>
      </c>
      <c r="AL167" s="368">
        <f t="shared" ca="1" si="283"/>
        <v>1.5110027479754651E-2</v>
      </c>
      <c r="AM167" s="369">
        <f t="shared" ca="1" si="284"/>
        <v>1.9798639614855773</v>
      </c>
      <c r="AN167" s="366">
        <f t="shared" ca="1" si="285"/>
        <v>-2.941441912908882E-2</v>
      </c>
      <c r="AU167" s="34"/>
      <c r="AV167" s="34"/>
      <c r="AW167" s="34"/>
      <c r="AX167" s="34"/>
      <c r="AY167" s="34"/>
      <c r="AZ167" s="34"/>
      <c r="BA167" s="34"/>
      <c r="BB167" s="34"/>
      <c r="BC167" s="33"/>
    </row>
    <row r="168" spans="1:55" ht="13" x14ac:dyDescent="0.3">
      <c r="B168" s="7" t="s">
        <v>191</v>
      </c>
      <c r="C168" s="381">
        <f ca="1">INDIRECT(ADDRESS(MATCH($B$140,'ER Act'!$B:$B,0)+27,MATCH(TEXT(DATE(YEAR(MES_CIERRE),ROUNDUP(MONTH(MES_CIERRE)/3,0)*3-2,1),"MMMM"),'ER Act'!$1:$1,0),,,"ER Act"))+INDIRECT(ADDRESS(MATCH($B$140,'ER Act'!$B:$B,0)+27,MATCH(TEXT(DATE(YEAR(MES_CIERRE),ROUNDUP(MONTH(MES_CIERRE)/3,0)*3-1,1),"MMMM"),'ER Act'!$1:$1,0),,,"ER Act"))+INDIRECT(ADDRESS(MATCH($B$140,'ER Act'!$B:$B,0)+27,MATCH(TEXT(DATE(YEAR(MES_CIERRE),ROUNDUP(MONTH(MES_CIERRE)/3,0)*3-0,1),"MMMM"),'ER Act'!$1:$1,0),,,"ER Act"))</f>
        <v>0</v>
      </c>
      <c r="D168" s="329">
        <f ca="1">IF(C$143=0, 0, C168/C$143)</f>
        <v>0</v>
      </c>
      <c r="E168" s="381">
        <f ca="1">INDIRECT(ADDRESS(MATCH($B$140,'ER Ppto'!$B:$B,0)+27,MATCH(TEXT(DATE(YEAR(MES_CIERRE),ROUNDUP(MONTH(MES_CIERRE)/3,0)*3-2,1),"MMMM"),'ER Ppto'!$1:$1,0),,,"ER Ppto"))+INDIRECT(ADDRESS(MATCH($B$140,'ER Ppto'!$B:$B,0)+27,MATCH(TEXT(DATE(YEAR(MES_CIERRE),ROUNDUP(MONTH(MES_CIERRE)/3,0)*3-1,1),"MMMM"),'ER Ppto'!$1:$1,0),,,"ER Ppto"))+INDIRECT(ADDRESS(MATCH($B$140,'ER Ppto'!$B:$B,0)+27,MATCH(TEXT(DATE(YEAR(MES_CIERRE),ROUNDUP(MONTH(MES_CIERRE)/3,0)*3-0,1),"MMMM"),'ER Ppto'!$1:$1,0),,,"ER Ppto"))</f>
        <v>0</v>
      </c>
      <c r="F168" s="329">
        <f ca="1">IF(E$143=0, 0, E168/E$143)</f>
        <v>0</v>
      </c>
      <c r="G168" s="381">
        <f ca="1">INDIRECT(ADDRESS(MATCH($B$140,'ER AA'!$B:$B,0)+27,MATCH(TEXT(DATE(YEAR(MES_CIERRE),ROUNDUP(MONTH(MES_CIERRE)/3,0)*3-2,1),"MMMM"),'ER AA'!$1:$1,0),,,"ER AA"))+INDIRECT(ADDRESS(MATCH($B$140,'ER AA'!$B:$B,0)+27,MATCH(TEXT(DATE(YEAR(MES_CIERRE),ROUNDUP(MONTH(MES_CIERRE)/3,0)*3-1,1),"MMMM"),'ER AA'!$1:$1,0),,,"ER AA"))+INDIRECT(ADDRESS(MATCH($B$140,'ER AA'!$B:$B,0)+27,MATCH(TEXT(DATE(YEAR(MES_CIERRE),ROUNDUP(MONTH(MES_CIERRE)/3,0)*3-0,1),"MMMM"),'ER AA'!$1:$1,0),,,"ER AA"))</f>
        <v>23.697219999999998</v>
      </c>
      <c r="H168" s="329">
        <f ca="1">IF(G$143=0, 0, G168/G$143)</f>
        <v>3.2002511884183231E-2</v>
      </c>
      <c r="I168" s="335">
        <f t="shared" ca="1" si="278"/>
        <v>0</v>
      </c>
      <c r="J168" s="336" t="str">
        <f t="shared" ca="1" si="279"/>
        <v>N.D.</v>
      </c>
      <c r="K168" s="337">
        <f t="shared" ca="1" si="280"/>
        <v>-23.697219999999998</v>
      </c>
      <c r="L168" s="334">
        <f t="shared" ca="1" si="281"/>
        <v>-1</v>
      </c>
      <c r="S168" s="34"/>
      <c r="T168" s="34"/>
      <c r="U168" s="34"/>
      <c r="V168" s="34"/>
      <c r="W168" s="34"/>
      <c r="X168" s="34"/>
      <c r="Y168" s="34"/>
      <c r="Z168" s="34"/>
      <c r="AA168" s="33"/>
      <c r="AD168" s="7" t="s">
        <v>191</v>
      </c>
      <c r="AE168" s="381">
        <v>0</v>
      </c>
      <c r="AF168" s="329">
        <f>IF(AE$143=0, 0, AE168/AE$143)</f>
        <v>0</v>
      </c>
      <c r="AG168" s="381">
        <f ca="1">+C168</f>
        <v>0</v>
      </c>
      <c r="AH168" s="329">
        <f ca="1">IF(AG$143=0, 0, AG168/AG$143)</f>
        <v>0</v>
      </c>
      <c r="AI168" s="381">
        <f ca="1">INDIRECT(ADDRESS(MATCH($B$140,INDIRECT("'"&amp;IF(MONTH(MES_CIERRE)=12,"ER ACT","ER AA")&amp;"'!$B:$B"),0)+27,MATCH(TEXT(DATE(YEAR(MES_CIERRE),ROUNDUP(MONTH(MES_CIERRE)/3,0)*3-2,1),"MMMM"),'ER AA'!$1:$1,0),,,IF(MONTH(MES_CIERRE)=12,"ER ACT","ER AA")))+INDIRECT(ADDRESS(MATCH($B$140,INDIRECT("'"&amp;IF(MONTH(MES_CIERRE)=12,"ER ACT","ER AA")&amp;"'!$B:$B"),0)+27,MATCH(TEXT(DATE(YEAR(MES_CIERRE),ROUNDUP(MONTH(MES_CIERRE)/3,0)*3-1,1),"MMMM"),'ER AA'!$1:$1,0),,,IF(MONTH(MES_CIERRE)=12,"ER ACT","ER AA")))+INDIRECT(ADDRESS(MATCH($B$140,INDIRECT("'"&amp;IF(MONTH(MES_CIERRE)=12,"ER ACT","ER AA")&amp;"'!$B:$B"),0)+27,MATCH(TEXT(DATE(YEAR(MES_CIERRE),ROUNDUP(MONTH(MES_CIERRE)/3,0)*3-0,1),"MMMM"),'ER AA'!$1:$1,0),,,IF(MONTH(MES_CIERRE)=12,"ER ACT","ER AA")))</f>
        <v>23.697219999999998</v>
      </c>
      <c r="AJ168" s="329">
        <f ca="1">IF(AI$143=0, 0, AI168/AI$143)</f>
        <v>3.2801692555498183E-2</v>
      </c>
      <c r="AK168" s="335">
        <f t="shared" ca="1" si="282"/>
        <v>0</v>
      </c>
      <c r="AL168" s="336" t="str">
        <f t="shared" ca="1" si="283"/>
        <v>N.D.</v>
      </c>
      <c r="AM168" s="337">
        <f t="shared" ca="1" si="284"/>
        <v>-23.697219999999998</v>
      </c>
      <c r="AN168" s="334">
        <f t="shared" ca="1" si="285"/>
        <v>-1</v>
      </c>
      <c r="AU168" s="34"/>
      <c r="AV168" s="34"/>
      <c r="AW168" s="34"/>
      <c r="AX168" s="34"/>
      <c r="AY168" s="34"/>
      <c r="AZ168" s="34"/>
      <c r="BA168" s="34"/>
      <c r="BB168" s="34"/>
      <c r="BC168" s="33"/>
    </row>
    <row r="169" spans="1:55" ht="13" x14ac:dyDescent="0.3">
      <c r="A169" s="316"/>
      <c r="B169" s="7" t="s">
        <v>84</v>
      </c>
      <c r="C169" s="381">
        <f ca="1">C167-C168</f>
        <v>-50.558999999999955</v>
      </c>
      <c r="D169" s="334">
        <f ca="1">IF(C143=0,"N.D.",C169/C143)</f>
        <v>-7.3204951856946296E-2</v>
      </c>
      <c r="E169" s="381">
        <f ca="1">E167-E168</f>
        <v>-61.455000000000027</v>
      </c>
      <c r="F169" s="334">
        <f ca="1">IF(E143=0,"N.D.",E169/E143)</f>
        <v>-8.0559215053974897E-2</v>
      </c>
      <c r="G169" s="381">
        <f ca="1">G167-G168</f>
        <v>-86.825219999999902</v>
      </c>
      <c r="H169" s="334">
        <f ca="1">IF(G143=0,"N.D.",G169/G143)</f>
        <v>-0.11725532087294714</v>
      </c>
      <c r="I169" s="335">
        <f t="shared" ca="1" si="278"/>
        <v>10.896000000000072</v>
      </c>
      <c r="J169" s="336">
        <f t="shared" ca="1" si="279"/>
        <v>-0.17730046375396746</v>
      </c>
      <c r="K169" s="337">
        <f t="shared" ca="1" si="280"/>
        <v>36.266219999999947</v>
      </c>
      <c r="L169" s="334">
        <f t="shared" ca="1" si="281"/>
        <v>-0.41769223274067124</v>
      </c>
      <c r="S169" s="34"/>
      <c r="T169" s="34"/>
      <c r="U169" s="34"/>
      <c r="V169" s="34"/>
      <c r="W169" s="34"/>
      <c r="X169" s="34"/>
      <c r="Y169" s="34"/>
      <c r="Z169" s="34"/>
      <c r="AA169" s="33"/>
      <c r="AD169" s="7" t="s">
        <v>84</v>
      </c>
      <c r="AE169" s="381">
        <f ca="1">AE167-AE168</f>
        <v>-65.329436038514473</v>
      </c>
      <c r="AF169" s="334">
        <f ca="1">IF(AE143=0,"N.D.",AE169/AE143)</f>
        <v>-9.0109566949675132E-2</v>
      </c>
      <c r="AG169" s="381">
        <f ca="1">AG167-AG168</f>
        <v>-64.3569999999999</v>
      </c>
      <c r="AH169" s="334">
        <f ca="1">IF(AG143=0,"N.D.",AG169/AG143)</f>
        <v>-8.9283658081477077E-2</v>
      </c>
      <c r="AI169" s="381">
        <f ca="1">AI167-AI168</f>
        <v>-91.006520000000052</v>
      </c>
      <c r="AJ169" s="334">
        <f ca="1">IF(AI143=0,"N.D.",AI169/AI143)</f>
        <v>-0.12597122740919814</v>
      </c>
      <c r="AK169" s="335">
        <f t="shared" ca="1" si="282"/>
        <v>-0.97243603851457294</v>
      </c>
      <c r="AL169" s="336">
        <f t="shared" ca="1" si="283"/>
        <v>1.5110027479754651E-2</v>
      </c>
      <c r="AM169" s="337">
        <f t="shared" ca="1" si="284"/>
        <v>25.677083961485579</v>
      </c>
      <c r="AN169" s="334">
        <f t="shared" ca="1" si="285"/>
        <v>-0.28214554255547364</v>
      </c>
      <c r="AU169" s="34"/>
      <c r="AV169" s="34"/>
      <c r="AW169" s="34"/>
      <c r="AX169" s="34"/>
      <c r="AY169" s="34"/>
      <c r="AZ169" s="34"/>
      <c r="BA169" s="34"/>
      <c r="BB169" s="34"/>
      <c r="BC169" s="33"/>
    </row>
    <row r="170" spans="1:55" ht="13" x14ac:dyDescent="0.3">
      <c r="A170" s="316"/>
      <c r="B170" s="1" t="s">
        <v>193</v>
      </c>
      <c r="C170" s="412" t="str">
        <f ca="1">IF(C168=0,"N.D.",(C167-C165-C166)/C168)</f>
        <v>N.D.</v>
      </c>
      <c r="E170" s="412" t="str">
        <f ca="1">IF(E168=0,"N.D.",(E167-E165-E166)/E168)</f>
        <v>N.D.</v>
      </c>
      <c r="G170" s="412">
        <f ca="1">IF(G168=0,"N.D.",(G167-G165-G166)/G168)</f>
        <v>-2.6639411711584695</v>
      </c>
      <c r="S170" s="34"/>
      <c r="T170" s="34"/>
      <c r="U170" s="34"/>
      <c r="V170" s="34"/>
      <c r="W170" s="34"/>
      <c r="X170" s="34"/>
      <c r="Y170" s="34"/>
      <c r="Z170" s="34"/>
      <c r="AA170" s="33"/>
      <c r="AD170" s="1" t="s">
        <v>193</v>
      </c>
      <c r="AE170" s="412" t="str">
        <f>IF(AE168=0,"N.D.",(AE167-AE165-AE166)/AE168)</f>
        <v>N.D.</v>
      </c>
      <c r="AG170" s="412" t="str">
        <f ca="1">IF(AG168=0,"N.D.",(AG167-AG165-AG166)/AG168)</f>
        <v>N.D.</v>
      </c>
      <c r="AI170" s="412">
        <f ca="1">IF(AI168=0,"N.D.",(AI167-AI165-AI166)/AI168)</f>
        <v>-2.8403880286379608</v>
      </c>
      <c r="AU170" s="34"/>
      <c r="AV170" s="34"/>
      <c r="AW170" s="34"/>
      <c r="AX170" s="34"/>
      <c r="AY170" s="34"/>
      <c r="AZ170" s="34"/>
      <c r="BA170" s="34"/>
      <c r="BB170" s="34"/>
      <c r="BC170" s="33"/>
    </row>
    <row r="171" spans="1:55" x14ac:dyDescent="0.25">
      <c r="A171" s="316"/>
      <c r="R171" s="72"/>
      <c r="AT171" s="72"/>
    </row>
    <row r="172" spans="1:55" x14ac:dyDescent="0.25">
      <c r="A172" s="316"/>
    </row>
    <row r="173" spans="1:55" x14ac:dyDescent="0.25">
      <c r="A173" s="316"/>
    </row>
    <row r="174" spans="1:55" x14ac:dyDescent="0.25">
      <c r="A174" s="316"/>
    </row>
    <row r="175" spans="1:55" ht="13" x14ac:dyDescent="0.3">
      <c r="A175" s="316"/>
      <c r="B175" s="277" t="s">
        <v>328</v>
      </c>
      <c r="C175" s="319"/>
      <c r="D175" s="320"/>
      <c r="E175" s="319"/>
      <c r="F175" s="320"/>
      <c r="G175" s="319"/>
      <c r="H175" s="320"/>
      <c r="I175" s="319"/>
      <c r="J175" s="320"/>
      <c r="K175" s="319"/>
      <c r="L175" s="320"/>
      <c r="AD175" s="386" t="str">
        <f>+B175</f>
        <v>PIZZAS DEL GOLFO</v>
      </c>
      <c r="AE175" s="319"/>
      <c r="AF175" s="320"/>
      <c r="AG175" s="319"/>
      <c r="AH175" s="320"/>
      <c r="AI175" s="319"/>
      <c r="AJ175" s="320"/>
      <c r="AK175" s="319"/>
      <c r="AL175" s="320"/>
      <c r="AM175" s="319"/>
      <c r="AN175" s="320"/>
    </row>
    <row r="176" spans="1:55" ht="13" x14ac:dyDescent="0.3">
      <c r="A176" s="316"/>
      <c r="B176" s="318" t="s">
        <v>430</v>
      </c>
      <c r="C176" s="319"/>
      <c r="D176" s="320"/>
      <c r="E176" s="319"/>
      <c r="F176" s="320"/>
      <c r="G176" s="319"/>
      <c r="H176" s="320"/>
      <c r="I176" s="319"/>
      <c r="J176" s="320"/>
      <c r="K176" s="319"/>
      <c r="L176" s="320"/>
      <c r="AD176" s="318" t="s">
        <v>431</v>
      </c>
      <c r="AE176" s="319"/>
      <c r="AF176" s="320"/>
      <c r="AG176" s="319"/>
      <c r="AH176" s="320"/>
      <c r="AI176" s="319"/>
      <c r="AJ176" s="320"/>
      <c r="AK176" s="319"/>
      <c r="AL176" s="320"/>
      <c r="AM176" s="319"/>
      <c r="AN176" s="320"/>
    </row>
    <row r="177" spans="1:45" ht="13" x14ac:dyDescent="0.3">
      <c r="A177" s="316"/>
      <c r="B177" s="319"/>
      <c r="C177" s="390" t="s">
        <v>0</v>
      </c>
      <c r="D177" s="321"/>
      <c r="E177" s="390" t="s">
        <v>4</v>
      </c>
      <c r="F177" s="321"/>
      <c r="G177" s="390" t="s">
        <v>9</v>
      </c>
      <c r="H177" s="321"/>
      <c r="I177" s="390" t="s">
        <v>6</v>
      </c>
      <c r="J177" s="321"/>
      <c r="K177" s="390" t="s">
        <v>7</v>
      </c>
      <c r="L177" s="320"/>
      <c r="AD177" s="319"/>
      <c r="AE177" s="524" t="s">
        <v>498</v>
      </c>
      <c r="AF177" s="321"/>
      <c r="AG177" s="390" t="s">
        <v>4</v>
      </c>
      <c r="AH177" s="321"/>
      <c r="AI177" s="390" t="s">
        <v>9</v>
      </c>
      <c r="AJ177" s="321"/>
      <c r="AK177" s="390" t="s">
        <v>6</v>
      </c>
      <c r="AL177" s="321"/>
      <c r="AM177" s="390" t="s">
        <v>7</v>
      </c>
      <c r="AN177" s="320"/>
    </row>
    <row r="178" spans="1:45" x14ac:dyDescent="0.25">
      <c r="A178" s="316"/>
      <c r="B178" s="322" t="s">
        <v>38</v>
      </c>
      <c r="C178" s="323">
        <f ca="1">INDIRECT(ADDRESS(MATCH($B$175,'ER Act'!$B:$B,0)+1,MATCH(TEXT(DATE(YEAR(MES_CIERRE),ROUNDUP(MONTH(MES_CIERRE)/3,0)*3-2,1),"MMMM"),'ER Act'!$1:$1,0),,,"ER Act"))+INDIRECT(ADDRESS(MATCH($B$175,'ER Act'!$B:$B,0)+1,MATCH(TEXT(DATE(YEAR(MES_CIERRE),ROUNDUP(MONTH(MES_CIERRE)/3,0)*3-1,1),"MMMM"),'ER Act'!$1:$1,0),,,"ER Act"))+INDIRECT(ADDRESS(MATCH($B$175,'ER Act'!$B:$B,0)+1,MATCH(TEXT(DATE(YEAR(MES_CIERRE),ROUNDUP(MONTH(MES_CIERRE)/3,0)*3-0,1),"MMMM"),'ER Act'!$1:$1,0),,,"ER Act"))</f>
        <v>926.52700000000004</v>
      </c>
      <c r="D178" s="324">
        <f ca="1">IF(C178=0,"N.D.",C178/C178)</f>
        <v>1</v>
      </c>
      <c r="E178" s="323">
        <f ca="1">INDIRECT(ADDRESS(MATCH($B$175,'ER Ppto'!$B:$B,0)+1,MATCH(TEXT(DATE(YEAR(MES_CIERRE),ROUNDUP(MONTH(MES_CIERRE)/3,0)*3-2,1),"MMMM"),'ER Ppto'!$1:$1,0),,,"ER Ppto"))+INDIRECT(ADDRESS(MATCH($B$175,'ER Ppto'!$B:$B,0)+1,MATCH(TEXT(DATE(YEAR(MES_CIERRE),ROUNDUP(MONTH(MES_CIERRE)/3,0)*3-1,1),"MMMM"),'ER Ppto'!$1:$1,0),,,"ER Ppto"))+INDIRECT(ADDRESS(MATCH($B$175,'ER Ppto'!$B:$B,0)+1,MATCH(TEXT(DATE(YEAR(MES_CIERRE),ROUNDUP(MONTH(MES_CIERRE)/3,0)*3-0,1),"MMMM"),'ER Ppto'!$1:$1,0),,,"ER Ppto"))</f>
        <v>1019.426</v>
      </c>
      <c r="F178" s="324">
        <f ca="1">IF(E178=0,"N.D.",E178/E178)</f>
        <v>1</v>
      </c>
      <c r="G178" s="323">
        <f ca="1">INDIRECT(ADDRESS(MATCH($B$175,'ER AA'!$B:$B,0)+1,MATCH(TEXT(DATE(YEAR(MES_CIERRE),ROUNDUP(MONTH(MES_CIERRE)/3,0)*3-2,1),"MMMM"),'ER AA'!$1:$1,0),,,"ER AA"))+INDIRECT(ADDRESS(MATCH($B$175,'ER AA'!$B:$B,0)+1,MATCH(TEXT(DATE(YEAR(MES_CIERRE),ROUNDUP(MONTH(MES_CIERRE)/3,0)*3-1,1),"MMMM"),'ER AA'!$1:$1,0),,,"ER AA"))+INDIRECT(ADDRESS(MATCH($B$175,'ER AA'!$B:$B,0)+1,MATCH(TEXT(DATE(YEAR(MES_CIERRE),ROUNDUP(MONTH(MES_CIERRE)/3,0)*3-0,1),"MMMM"),'ER AA'!$1:$1,0),,,"ER AA"))</f>
        <v>989.20900000000006</v>
      </c>
      <c r="H178" s="324">
        <f ca="1">IF(G178=0,"N.D.",G178/G178)</f>
        <v>1</v>
      </c>
      <c r="I178" s="325">
        <f ca="1">C178-E178</f>
        <v>-92.899000000000001</v>
      </c>
      <c r="J178" s="326">
        <f ca="1">IF(E178=0,"N.D.",C178/E178-1)</f>
        <v>-9.1128733228306946E-2</v>
      </c>
      <c r="K178" s="327">
        <f ca="1">C178-G178</f>
        <v>-62.682000000000016</v>
      </c>
      <c r="L178" s="324">
        <f ca="1">IF(G178=0,"N.D.",C178/G178-1)</f>
        <v>-6.3365780133419758E-2</v>
      </c>
      <c r="AD178" s="322" t="s">
        <v>38</v>
      </c>
      <c r="AE178" s="323">
        <v>908</v>
      </c>
      <c r="AF178" s="324">
        <f>IF(AE178=0,"N.D.",AE178/AE178)</f>
        <v>1</v>
      </c>
      <c r="AG178" s="526">
        <f ca="1">((INDIRECT(ADDRESS(MATCH($B$175,BDPP!$B:$B,0)+6,MATCH(TEXT(DATE(YEAR(MES_CIERRE),ROUNDUP(MONTH(MES_CIERRE)/3,0)*3,1),"MMMM"),BDPP!$1:$1,0)+1,,,"BDPP")))++(INDIRECT(ADDRESS(MATCH($B$175,BDPP!$B:$B,0)+6,MATCH(TEXT(DATE(YEAR(MES_CIERRE),ROUNDUP(MONTH(MES_CIERRE)/3,0)*3,1),"MMMM"),BDPP!$1:$1,0)+2,,,"BDPP")))+(INDIRECT(ADDRESS(MATCH($B$175,BDPP!$B:$B,0)+6,MATCH(TEXT(DATE(YEAR(MES_CIERRE),ROUNDUP(MONTH(MES_CIERRE)/3,0)*3,1),"MMMM"),BDPP!$1:$1,0)+3,,,"BDPP"))))/1000</f>
        <v>973.505</v>
      </c>
      <c r="AH178" s="324">
        <f ca="1">IF(AG178=0,"N.D.",AG178/AG178)</f>
        <v>1</v>
      </c>
      <c r="AI178" s="323">
        <f ca="1">INDIRECT(ADDRESS(MATCH($B$175,INDIRECT("'"&amp;IF(MONTH(MES_CIERRE)=12,"ER ACT","ER AA")&amp;"'!$B:$B"),0)+1,MATCH(TEXT(DATE(YEAR(MES_CIERRE),ROUNDUP(MONTH(MES_CIERRE)+1,0),1),"MMMM"),'ER AA'!$1:$1,0),,,IF(MONTH(MES_CIERRE)=12,"ER ACT","ER AA")))+INDIRECT(ADDRESS(MATCH($B$175,INDIRECT("'"&amp;IF(MONTH(MES_CIERRE)=12,"ER ACT","ER AA")&amp;"'!$B:$B"),0)+1,MATCH(TEXT(DATE(YEAR(MES_CIERRE),ROUNDUP(MONTH(MES_CIERRE)+2,0),1),"MMMM"),'ER AA'!$1:$1,0),,,IF(MONTH(MES_CIERRE)=12,"ER ACT","ER AA")))+INDIRECT(ADDRESS(MATCH($B$175,INDIRECT("'"&amp;IF(MONTH(MES_CIERRE)=12,"ER ACT","ER AA")&amp;"'!$B:$B"),0)+1,MATCH(TEXT(DATE(YEAR(MES_CIERRE),ROUNDUP(MONTH(MES_CIERRE)+3,0),1),"MMMM"),'ER AA'!$1:$1,0),,,IF(MONTH(MES_CIERRE)=12,"ER ACT","ER AA")))</f>
        <v>964.65755000000001</v>
      </c>
      <c r="AJ178" s="324">
        <f ca="1">IF(AI178=0,"N.D.",AI178/AI178)</f>
        <v>1</v>
      </c>
      <c r="AK178" s="325">
        <f ca="1">AE178-AG178</f>
        <v>-65.504999999999995</v>
      </c>
      <c r="AL178" s="326">
        <f ca="1">IF(AG178=0,"N.D.",AE178/AG178-1)</f>
        <v>-6.7287789995942537E-2</v>
      </c>
      <c r="AM178" s="327">
        <f ca="1">AE178-AI178</f>
        <v>-56.657550000000015</v>
      </c>
      <c r="AN178" s="324">
        <f ca="1">IF(AI178=0,"N.D.",AE178/AI178-1)</f>
        <v>-5.8733329770756515E-2</v>
      </c>
      <c r="AO178" s="535">
        <v>917</v>
      </c>
    </row>
    <row r="179" spans="1:45" x14ac:dyDescent="0.25">
      <c r="A179" s="316"/>
      <c r="B179" s="322" t="s">
        <v>39</v>
      </c>
      <c r="C179" s="328">
        <f ca="1">INDIRECT(ADDRESS(MATCH($B$175,'ER Act'!$B:$B,0)+2,MATCH(TEXT(DATE(YEAR(MES_CIERRE),ROUNDUP(MONTH(MES_CIERRE)/3,0)*3-2,1),"MMMM"),'ER Act'!$1:$1,0),,,"ER Act"))+INDIRECT(ADDRESS(MATCH($B$175,'ER Act'!$B:$B,0)+2,MATCH(TEXT(DATE(YEAR(MES_CIERRE),ROUNDUP(MONTH(MES_CIERRE)/3,0)*3-1,1),"MMMM"),'ER Act'!$1:$1,0),,,"ER Act"))+INDIRECT(ADDRESS(MATCH($B$175,'ER Act'!$B:$B,0)+2,MATCH(TEXT(DATE(YEAR(MES_CIERRE),ROUNDUP(MONTH(MES_CIERRE)/3,0)*3-0,1),"MMMM"),'ER Act'!$1:$1,0),,,"ER Act"))</f>
        <v>302.47800000000001</v>
      </c>
      <c r="D179" s="329">
        <f ca="1">IF(C178=0,"N.D.",C179/C178)</f>
        <v>0.3264643124269449</v>
      </c>
      <c r="E179" s="328">
        <f ca="1">INDIRECT(ADDRESS(MATCH($B$175,'ER Ppto'!$B:$B,0)+2,MATCH(TEXT(DATE(YEAR(MES_CIERRE),ROUNDUP(MONTH(MES_CIERRE)/3,0)*3-2,1),"MMMM"),'ER Ppto'!$1:$1,0),,,"ER Ppto"))+INDIRECT(ADDRESS(MATCH($B$175,'ER Ppto'!$B:$B,0)+2,MATCH(TEXT(DATE(YEAR(MES_CIERRE),ROUNDUP(MONTH(MES_CIERRE)/3,0)*3-1,1),"MMMM"),'ER Ppto'!$1:$1,0),,,"ER Ppto"))+INDIRECT(ADDRESS(MATCH($B$175,'ER Ppto'!$B:$B,0)+2,MATCH(TEXT(DATE(YEAR(MES_CIERRE),ROUNDUP(MONTH(MES_CIERRE)/3,0)*3-0,1),"MMMM"),'ER Ppto'!$1:$1,0),,,"ER Ppto"))</f>
        <v>347.625</v>
      </c>
      <c r="F179" s="329">
        <f ca="1">IF(E178=0,"N.D.",E179/E178)</f>
        <v>0.34100072001302695</v>
      </c>
      <c r="G179" s="328">
        <f ca="1">INDIRECT(ADDRESS(MATCH($B$175,'ER AA'!$B:$B,0)+2,MATCH(TEXT(DATE(YEAR(MES_CIERRE),ROUNDUP(MONTH(MES_CIERRE)/3,0)*3-2,1),"MMMM"),'ER AA'!$1:$1,0),,,"ER AA"))+INDIRECT(ADDRESS(MATCH($B$175,'ER AA'!$B:$B,0)+2,MATCH(TEXT(DATE(YEAR(MES_CIERRE),ROUNDUP(MONTH(MES_CIERRE)/3,0)*3-1,1),"MMMM"),'ER AA'!$1:$1,0),,,"ER AA"))+INDIRECT(ADDRESS(MATCH($B$175,'ER AA'!$B:$B,0)+2,MATCH(TEXT(DATE(YEAR(MES_CIERRE),ROUNDUP(MONTH(MES_CIERRE)/3,0)*3-0,1),"MMMM"),'ER AA'!$1:$1,0),,,"ER AA"))</f>
        <v>339.68</v>
      </c>
      <c r="H179" s="329">
        <f ca="1">IF(G178=0,"N.D.",G179/G178)</f>
        <v>0.34338547263520652</v>
      </c>
      <c r="I179" s="330">
        <f ca="1">C179-E179</f>
        <v>-45.146999999999991</v>
      </c>
      <c r="J179" s="331">
        <f ca="1">IF(E179=0,"N.D.",C179/E179-1)</f>
        <v>-0.12987270765911541</v>
      </c>
      <c r="K179" s="328">
        <f ca="1">C179-G179</f>
        <v>-37.201999999999998</v>
      </c>
      <c r="L179" s="329">
        <f ca="1">IF(G179=0,"N.D.",C179/G179-1)</f>
        <v>-0.10952072538860103</v>
      </c>
      <c r="AD179" s="322" t="s">
        <v>39</v>
      </c>
      <c r="AE179" s="328">
        <f ca="1">AE178*D179</f>
        <v>296.42959568366598</v>
      </c>
      <c r="AF179" s="329">
        <f ca="1">IF(AE178=0,"N.D.",AE179/AE178)</f>
        <v>0.3264643124269449</v>
      </c>
      <c r="AG179" s="328">
        <f ca="1">((INDIRECT(ADDRESS(MATCH($B$175,BDPP!$B:$B,0)+7,MATCH(TEXT(DATE(YEAR(MES_CIERRE),ROUNDUP(MONTH(MES_CIERRE)/3,0)*3,1),"MMMM"),BDPP!$1:$1,0)+1,,,"BDPP")))+(INDIRECT(ADDRESS(MATCH($B$175,BDPP!$B:$B,0)+7,MATCH(TEXT(DATE(YEAR(MES_CIERRE),ROUNDUP(MONTH(MES_CIERRE)/3,0)*3,1),"MMMM"),BDPP!$1:$1,0)+2,,,"BDPP")))+(INDIRECT(ADDRESS(MATCH($B$175,BDPP!$B:$B,0)+7,MATCH(TEXT(DATE(YEAR(MES_CIERRE),ROUNDUP(MONTH(MES_CIERRE)/3,0)*3,1),"MMMM"),BDPP!$1:$1,0)+3,,,"BDPP"))))/1000</f>
        <v>331.964</v>
      </c>
      <c r="AH179" s="329">
        <f ca="1">IF(AG178=0,"N.D.",AG179/AG178)</f>
        <v>0.34099876220461117</v>
      </c>
      <c r="AI179" s="328">
        <f ca="1">INDIRECT(ADDRESS(MATCH($B$175,INDIRECT("'"&amp;IF(MONTH(MES_CIERRE)=12,"ER ACT","ER AA")&amp;"'!$B:$B"),0)+2,MATCH(TEXT(DATE(YEAR(MES_CIERRE),ROUNDUP(MONTH(MES_CIERRE)+1,0),1),"MMMM"),'ER AA'!$1:$1,0),,,IF(MONTH(MES_CIERRE)=12,"ER ACT","ER AA")))+INDIRECT(ADDRESS(MATCH($B$175,INDIRECT("'"&amp;IF(MONTH(MES_CIERRE)=12,"ER ACT","ER AA")&amp;"'!$B:$B"),0)+2,MATCH(TEXT(DATE(YEAR(MES_CIERRE),ROUNDUP(MONTH(MES_CIERRE)+2,0),1),"MMMM"),'ER AA'!$1:$1,0),,,IF(MONTH(MES_CIERRE)=12,"ER ACT","ER AA")))+INDIRECT(ADDRESS(MATCH($B$175,INDIRECT("'"&amp;IF(MONTH(MES_CIERRE)=12,"ER ACT","ER AA")&amp;"'!$B:$B"),0)+2,MATCH(TEXT(DATE(YEAR(MES_CIERRE),ROUNDUP(MONTH(MES_CIERRE)+3,0),1),"MMMM"),'ER AA'!$1:$1,0),,,IF(MONTH(MES_CIERRE)=12,"ER ACT","ER AA")))+INDIRECT(ADDRESS(MATCH($B$175,INDIRECT("'"&amp;IF(MONTH(MES_CIERRE)=12,"ER ACT","ER AA")&amp;"'!$B:$B"),0)+3,MATCH(TEXT(DATE(YEAR(MES_CIERRE),ROUNDUP(MONTH(MES_CIERRE)+1,0),1),"MMMM"),'ER AA'!$1:$1,0),,,IF(MONTH(MES_CIERRE)=12,"ER ACT","ER AA")))+INDIRECT(ADDRESS(MATCH($B$175,INDIRECT("'"&amp;IF(MONTH(MES_CIERRE)=12,"ER ACT","ER AA")&amp;"'!$B:$B"),0)+3,MATCH(TEXT(DATE(YEAR(MES_CIERRE),ROUNDUP(MONTH(MES_CIERRE)+2,0),1),"MMMM"),'ER AA'!$1:$1,0),,,IF(MONTH(MES_CIERRE)=12,"ER ACT","ER AA")))+INDIRECT(ADDRESS(MATCH($B$175,INDIRECT("'"&amp;IF(MONTH(MES_CIERRE)=12,"ER ACT","ER AA")&amp;"'!$B:$B"),0)+3,MATCH(TEXT(DATE(YEAR(MES_CIERRE),ROUNDUP(MONTH(MES_CIERRE)+3,0),1),"MMMM"),'ER AA'!$1:$1,0),,,IF(MONTH(MES_CIERRE)=12,"ER ACT","ER AA")))</f>
        <v>352.02314999999999</v>
      </c>
      <c r="AJ179" s="329">
        <f ca="1">IF(AI178=0,"N.D.",AI179/AI178)</f>
        <v>0.36492032846267569</v>
      </c>
      <c r="AK179" s="330">
        <f ca="1">AE179-AG179</f>
        <v>-35.534404316334019</v>
      </c>
      <c r="AL179" s="331">
        <f ca="1">IF(AG179=0,"N.D.",AE179/AG179-1)</f>
        <v>-0.10704294536857617</v>
      </c>
      <c r="AM179" s="328">
        <f ca="1">AE179-AI179</f>
        <v>-55.593554316334007</v>
      </c>
      <c r="AN179" s="329">
        <f ca="1">IF(AI179=0,"N.D.",AE179/AI179-1)</f>
        <v>-0.15792584753682826</v>
      </c>
    </row>
    <row r="180" spans="1:45" ht="13" x14ac:dyDescent="0.3">
      <c r="A180" s="316"/>
      <c r="B180" s="332" t="s">
        <v>40</v>
      </c>
      <c r="C180" s="333">
        <f ca="1">+C178-C179</f>
        <v>624.04899999999998</v>
      </c>
      <c r="D180" s="334">
        <f ca="1">IF(C178=0,"N.D.",C180/C178)</f>
        <v>0.67353568757305504</v>
      </c>
      <c r="E180" s="333">
        <f ca="1">+E178-E179</f>
        <v>671.80100000000004</v>
      </c>
      <c r="F180" s="334">
        <f ca="1">IF(E178=0,"N.D.",E180/E178)</f>
        <v>0.65899927998697305</v>
      </c>
      <c r="G180" s="333">
        <f ca="1">+G178-G179</f>
        <v>649.529</v>
      </c>
      <c r="H180" s="334">
        <f ca="1">IF(G178=0,"N.D.",G180/G178)</f>
        <v>0.65661452736479342</v>
      </c>
      <c r="I180" s="335">
        <f ca="1">C180-E180</f>
        <v>-47.752000000000066</v>
      </c>
      <c r="J180" s="336">
        <f ca="1">IF(E180=0,"N.D.",C180/E180-1)</f>
        <v>-7.1080572967292532E-2</v>
      </c>
      <c r="K180" s="337">
        <f ca="1">C180-G180</f>
        <v>-25.480000000000018</v>
      </c>
      <c r="L180" s="334">
        <f ca="1">IF(G180=0,"N.D.",C180/G180-1)</f>
        <v>-3.9228425520646537E-2</v>
      </c>
      <c r="AD180" s="332" t="s">
        <v>40</v>
      </c>
      <c r="AE180" s="333">
        <f ca="1">+AE178-AE179</f>
        <v>611.57040431633402</v>
      </c>
      <c r="AF180" s="334">
        <f ca="1">IF(AE178=0,"N.D.",AE180/AE178)</f>
        <v>0.67353568757305504</v>
      </c>
      <c r="AG180" s="333">
        <f ca="1">+AG178-AG179</f>
        <v>641.54099999999994</v>
      </c>
      <c r="AH180" s="334">
        <f ca="1">IF(AG178=0,"N.D.",AG180/AG178)</f>
        <v>0.65900123779538877</v>
      </c>
      <c r="AI180" s="333">
        <f ca="1">+AI178-AI179</f>
        <v>612.63440000000003</v>
      </c>
      <c r="AJ180" s="334">
        <f ca="1">IF(AI178=0,"N.D.",AI180/AI178)</f>
        <v>0.63507967153732436</v>
      </c>
      <c r="AK180" s="335">
        <f ca="1">AE180-AG180</f>
        <v>-29.97059568366592</v>
      </c>
      <c r="AL180" s="336">
        <f ca="1">IF(AG180=0,"N.D.",AE180/AG180-1)</f>
        <v>-4.6716571012087926E-2</v>
      </c>
      <c r="AM180" s="337">
        <f ca="1">AE180-AI180</f>
        <v>-1.0639956836660076</v>
      </c>
      <c r="AN180" s="334">
        <f ca="1">IF(AI180=0,"N.D.",AE180/AI180-1)</f>
        <v>-1.7367547164606201E-3</v>
      </c>
    </row>
    <row r="181" spans="1:45" ht="13" x14ac:dyDescent="0.3">
      <c r="A181" s="316"/>
      <c r="B181" s="322"/>
      <c r="C181" s="338"/>
      <c r="D181" s="339"/>
      <c r="E181" s="338"/>
      <c r="F181" s="339"/>
      <c r="G181" s="338"/>
      <c r="H181" s="339"/>
      <c r="I181" s="338"/>
      <c r="J181" s="340"/>
      <c r="K181" s="338"/>
      <c r="L181" s="339"/>
      <c r="O181" s="73"/>
      <c r="AD181" s="322"/>
      <c r="AE181" s="338"/>
      <c r="AF181" s="339"/>
      <c r="AG181" s="338"/>
      <c r="AH181" s="339"/>
      <c r="AI181" s="338"/>
      <c r="AJ181" s="339"/>
      <c r="AK181" s="338"/>
      <c r="AL181" s="340"/>
      <c r="AM181" s="338"/>
      <c r="AN181" s="339"/>
      <c r="AQ181" s="73"/>
    </row>
    <row r="182" spans="1:45" x14ac:dyDescent="0.25">
      <c r="A182" s="316"/>
      <c r="B182" s="9" t="s">
        <v>41</v>
      </c>
      <c r="C182" s="327">
        <f ca="1">INDIRECT(ADDRESS(MATCH($B$175,'ER Act'!$B:$B,0)+6,MATCH(TEXT(DATE(YEAR(MES_CIERRE),ROUNDUP(MONTH(MES_CIERRE)/3,0)*3-2,1),"MMMM"),'ER Act'!$1:$1,0),,,"ER Act"))+INDIRECT(ADDRESS(MATCH($B$175,'ER Act'!$B:$B,0)+6,MATCH(TEXT(DATE(YEAR(MES_CIERRE),ROUNDUP(MONTH(MES_CIERRE)/3,0)*3-1,1),"MMMM"),'ER Act'!$1:$1,0),,,"ER Act"))+INDIRECT(ADDRESS(MATCH($B$175,'ER Act'!$B:$B,0)+6,MATCH(TEXT(DATE(YEAR(MES_CIERRE),ROUNDUP(MONTH(MES_CIERRE)/3,0)*3-0,1),"MMMM"),'ER Act'!$1:$1,0),,,"ER Act"))</f>
        <v>587.52500000000009</v>
      </c>
      <c r="D182" s="324">
        <f ca="1">IF(C178=0,"N.D.",C182/C178)</f>
        <v>0.63411535767441218</v>
      </c>
      <c r="E182" s="327">
        <f ca="1">INDIRECT(ADDRESS(MATCH($B$175,'ER Ppto'!$B:$B,0)+6,MATCH(TEXT(DATE(YEAR(MES_CIERRE),ROUNDUP(MONTH(MES_CIERRE)/3,0)*3-2,1),"MMMM"),'ER Ppto'!$1:$1,0),,,"ER Ppto"))+INDIRECT(ADDRESS(MATCH($B$175,'ER Ppto'!$B:$B,0)+6,MATCH(TEXT(DATE(YEAR(MES_CIERRE),ROUNDUP(MONTH(MES_CIERRE)/3,0)*3-1,1),"MMMM"),'ER Ppto'!$1:$1,0),,,"ER Ppto"))+INDIRECT(ADDRESS(MATCH($B$175,'ER Ppto'!$B:$B,0)+6,MATCH(TEXT(DATE(YEAR(MES_CIERRE),ROUNDUP(MONTH(MES_CIERRE)/3,0)*3-0,1),"MMMM"),'ER Ppto'!$1:$1,0),,,"ER Ppto"))</f>
        <v>623.62699999999995</v>
      </c>
      <c r="F182" s="324">
        <f ca="1">IF(E178=0,"N.D.",E182/E178)</f>
        <v>0.61174327513718496</v>
      </c>
      <c r="G182" s="327">
        <f ca="1">INDIRECT(ADDRESS(MATCH($B$175,'ER AA'!$B:$B,0)+6,MATCH(TEXT(DATE(YEAR(MES_CIERRE),ROUNDUP(MONTH(MES_CIERRE)/3,0)*3-2,1),"MMMM"),'ER AA'!$1:$1,0),,,"ER AA"))+INDIRECT(ADDRESS(MATCH($B$175,'ER AA'!$B:$B,0)+6,MATCH(TEXT(DATE(YEAR(MES_CIERRE),ROUNDUP(MONTH(MES_CIERRE)/3,0)*3-1,1),"MMMM"),'ER AA'!$1:$1,0),,,"ER AA"))+INDIRECT(ADDRESS(MATCH($B$175,'ER AA'!$B:$B,0)+6,MATCH(TEXT(DATE(YEAR(MES_CIERRE),ROUNDUP(MONTH(MES_CIERRE)/3,0)*3-0,1),"MMMM"),'ER AA'!$1:$1,0),,,"ER AA"))</f>
        <v>636.34699999999998</v>
      </c>
      <c r="H182" s="324">
        <f ca="1">IF(G178=0,"N.D.",G182/G178)</f>
        <v>0.64328872867108966</v>
      </c>
      <c r="I182" s="325">
        <f ca="1">C182-E182</f>
        <v>-36.101999999999862</v>
      </c>
      <c r="J182" s="326">
        <f ca="1">IF(E182=0,"N.D.",C182/E182-1)</f>
        <v>-5.7890373572664244E-2</v>
      </c>
      <c r="K182" s="327">
        <f ca="1">C182-G182</f>
        <v>-48.821999999999889</v>
      </c>
      <c r="L182" s="324">
        <f ca="1">IF(G182=0,"N.D.",C182/G182-1)</f>
        <v>-7.6722291454190739E-2</v>
      </c>
      <c r="Q182" s="60"/>
      <c r="AD182" s="9" t="s">
        <v>41</v>
      </c>
      <c r="AE182" s="327">
        <f ca="1">AE178*D182</f>
        <v>575.77674476836626</v>
      </c>
      <c r="AF182" s="324">
        <f ca="1">IF(AE178=0,"N.D.",AE182/AE178)</f>
        <v>0.63411535767441218</v>
      </c>
      <c r="AG182" s="327">
        <f ca="1">((INDIRECT(ADDRESS(MATCH($B$175,BDPP!$B:$B,0)+10,MATCH(TEXT(DATE(YEAR(MES_CIERRE),ROUNDUP(MONTH(MES_CIERRE)/3,0)*3,1),"MMMM"),BDPP!$1:$1,0)+1,,,"BDPP")))+(INDIRECT(ADDRESS(MATCH($B$175,BDPP!$B:$B,0)+10,MATCH(TEXT(DATE(YEAR(MES_CIERRE),ROUNDUP(MONTH(MES_CIERRE)/3,0)*3,1),"MMMM"),BDPP!$1:$1,0)+2,,,"BDPP")))+(INDIRECT(ADDRESS(MATCH($B$175,BDPP!$B:$B,0)+10,MATCH(TEXT(DATE(YEAR(MES_CIERRE),ROUNDUP(MONTH(MES_CIERRE)/3,0)*3,1),"MMMM"),BDPP!$1:$1,0)+3,,,"BDPP"))))/1000</f>
        <v>608.01800000000003</v>
      </c>
      <c r="AH182" s="324">
        <f ca="1">IF(AG178=0,"N.D.",AG182/AG178)</f>
        <v>0.62456587279983156</v>
      </c>
      <c r="AI182" s="327">
        <f ca="1">INDIRECT(ADDRESS(MATCH($B$175,INDIRECT("'"&amp;IF(MONTH(MES_CIERRE)=12,"ER ACT","ER AA")&amp;"'!$B:$B"),0)+6,MATCH(TEXT(DATE(YEAR(MES_CIERRE),ROUNDUP(MONTH(MES_CIERRE)+1,0),1),"MMMM"),'ER AA'!$1:$1,0),,,IF(MONTH(MES_CIERRE)=12,"ER ACT","ER AA")))+INDIRECT(ADDRESS(MATCH($B$175,INDIRECT("'"&amp;IF(MONTH(MES_CIERRE)=12,"ER ACT","ER AA")&amp;"'!$B:$B"),0)+6,MATCH(TEXT(DATE(YEAR(MES_CIERRE),ROUNDUP(MONTH(MES_CIERRE)+2,0),1),"MMMM"),'ER AA'!$1:$1,0),,,IF(MONTH(MES_CIERRE)=12,"ER ACT","ER AA")))+INDIRECT(ADDRESS(MATCH($B$175,INDIRECT("'"&amp;IF(MONTH(MES_CIERRE)=12,"ER ACT","ER AA")&amp;"'!$B:$B"),0)+6,MATCH(TEXT(DATE(YEAR(MES_CIERRE),ROUNDUP(MONTH(MES_CIERRE)+3,0),1),"MMMM"),'ER AA'!$1:$1,0),,,IF(MONTH(MES_CIERRE)=12,"ER ACT","ER AA")))</f>
        <v>575.85283000000004</v>
      </c>
      <c r="AJ182" s="324">
        <f ca="1">IF(AI178=0,"N.D.",AI182/AI178)</f>
        <v>0.59695052404866378</v>
      </c>
      <c r="AK182" s="325">
        <f ca="1">AE182-AG182</f>
        <v>-32.241255231633772</v>
      </c>
      <c r="AL182" s="326">
        <f ca="1">IF(AG182=0,"N.D.",AE182/AG182-1)</f>
        <v>-5.3026810442509564E-2</v>
      </c>
      <c r="AM182" s="327">
        <f ca="1">AE182-AI182</f>
        <v>-7.6085231633783224E-2</v>
      </c>
      <c r="AN182" s="324">
        <f ca="1">IF(AI182=0,"N.D.",AE182/AI182-1)</f>
        <v>-1.3212617472724286E-4</v>
      </c>
      <c r="AS182" s="60"/>
    </row>
    <row r="183" spans="1:45" x14ac:dyDescent="0.25">
      <c r="A183" s="316"/>
      <c r="B183" s="9" t="s">
        <v>42</v>
      </c>
      <c r="C183" s="328">
        <f ca="1">INDIRECT(ADDRESS(MATCH($B$175,'ER Act'!$B:$B,0)+7,MATCH(TEXT(DATE(YEAR(MES_CIERRE),ROUNDUP(MONTH(MES_CIERRE)/3,0)*3-2,1),"MMMM"),'ER Act'!$1:$1,0),,,"ER Act"))+INDIRECT(ADDRESS(MATCH($B$175,'ER Act'!$B:$B,0)+7,MATCH(TEXT(DATE(YEAR(MES_CIERRE),ROUNDUP(MONTH(MES_CIERRE)/3,0)*3-1,1),"MMMM"),'ER Act'!$1:$1,0),,,"ER Act"))+INDIRECT(ADDRESS(MATCH($B$175,'ER Act'!$B:$B,0)+7,MATCH(TEXT(DATE(YEAR(MES_CIERRE),ROUNDUP(MONTH(MES_CIERRE)/3,0)*3-0,1),"MMMM"),'ER Act'!$1:$1,0),,,"ER Act"))</f>
        <v>51.051000000000002</v>
      </c>
      <c r="D183" s="341">
        <f ca="1">IF(C178=0,"N.D.",C183/C178)</f>
        <v>5.5099311730796838E-2</v>
      </c>
      <c r="E183" s="328">
        <f ca="1">INDIRECT(ADDRESS(MATCH($B$175,'ER Ppto'!$B:$B,0)+7,MATCH(TEXT(DATE(YEAR(MES_CIERRE),ROUNDUP(MONTH(MES_CIERRE)/3,0)*3-2,1),"MMMM"),'ER Ppto'!$1:$1,0),,,"ER Ppto"))+INDIRECT(ADDRESS(MATCH($B$175,'ER Ppto'!$B:$B,0)+7,MATCH(TEXT(DATE(YEAR(MES_CIERRE),ROUNDUP(MONTH(MES_CIERRE)/3,0)*3-1,1),"MMMM"),'ER Ppto'!$1:$1,0),,,"ER Ppto"))+INDIRECT(ADDRESS(MATCH($B$175,'ER Ppto'!$B:$B,0)+7,MATCH(TEXT(DATE(YEAR(MES_CIERRE),ROUNDUP(MONTH(MES_CIERRE)/3,0)*3-0,1),"MMMM"),'ER Ppto'!$1:$1,0),,,"ER Ppto"))</f>
        <v>54.031999999999996</v>
      </c>
      <c r="F183" s="341">
        <f ca="1">IF(E178=0,"N.D.",E183/E178)</f>
        <v>5.3002375846800058E-2</v>
      </c>
      <c r="G183" s="328">
        <f ca="1">INDIRECT(ADDRESS(MATCH($B$175,'ER AA'!$B:$B,0)+7,MATCH(TEXT(DATE(YEAR(MES_CIERRE),ROUNDUP(MONTH(MES_CIERRE)/3,0)*3-2,1),"MMMM"),'ER AA'!$1:$1,0),,,"ER AA"))+INDIRECT(ADDRESS(MATCH($B$175,'ER AA'!$B:$B,0)+7,MATCH(TEXT(DATE(YEAR(MES_CIERRE),ROUNDUP(MONTH(MES_CIERRE)/3,0)*3-1,1),"MMMM"),'ER AA'!$1:$1,0),,,"ER AA"))+INDIRECT(ADDRESS(MATCH($B$175,'ER AA'!$B:$B,0)+7,MATCH(TEXT(DATE(YEAR(MES_CIERRE),ROUNDUP(MONTH(MES_CIERRE)/3,0)*3-0,1),"MMMM"),'ER AA'!$1:$1,0),,,"ER AA"))</f>
        <v>54.031999999999996</v>
      </c>
      <c r="H183" s="341">
        <f ca="1">IF(G178=0,"N.D.",G183/G178)</f>
        <v>5.4621419740418856E-2</v>
      </c>
      <c r="I183" s="330">
        <f ca="1">C183-E183</f>
        <v>-2.9809999999999945</v>
      </c>
      <c r="J183" s="331">
        <f ca="1">IF(E183=0,"N.D.",C183/E183-1)</f>
        <v>-5.5171009771986856E-2</v>
      </c>
      <c r="K183" s="328">
        <f ca="1">C183-G183</f>
        <v>-2.9809999999999945</v>
      </c>
      <c r="L183" s="341">
        <f ca="1">IF(G183=0,"N.D.",C183/G183-1)</f>
        <v>-5.5171009771986856E-2</v>
      </c>
      <c r="AD183" s="9" t="s">
        <v>42</v>
      </c>
      <c r="AE183" s="328">
        <v>54</v>
      </c>
      <c r="AF183" s="341">
        <f>IF(AE178=0,"N.D.",AE183/AE178)</f>
        <v>5.9471365638766517E-2</v>
      </c>
      <c r="AG183" s="328">
        <f ca="1">((INDIRECT(ADDRESS(MATCH($B$175,BDPP!$B:$B,0)+11,MATCH(TEXT(DATE(YEAR(MES_CIERRE),ROUNDUP(MONTH(MES_CIERRE)/3,0)*3,1),"MMMM"),BDPP!$1:$1,0)+1,,,"BDPP")))+(INDIRECT(ADDRESS(MATCH($B$175,BDPP!$B:$B,0)+11,MATCH(TEXT(DATE(YEAR(MES_CIERRE),ROUNDUP(MONTH(MES_CIERRE)/3,0)*3,1),"MMMM"),BDPP!$1:$1,0)+2,,,"BDPP")))+(INDIRECT(ADDRESS(MATCH($B$175,BDPP!$B:$B,0)+11,MATCH(TEXT(DATE(YEAR(MES_CIERRE),ROUNDUP(MONTH(MES_CIERRE)/3,0)*3,1),"MMMM"),BDPP!$1:$1,0)+3,,,"BDPP"))))/1000</f>
        <v>47.191000000000003</v>
      </c>
      <c r="AH183" s="341">
        <f ca="1">IF(AG178=0,"N.D.",AG183/AG178)</f>
        <v>4.8475354517953172E-2</v>
      </c>
      <c r="AI183" s="328">
        <f ca="1">INDIRECT(ADDRESS(MATCH($B$175,INDIRECT("'"&amp;IF(MONTH(MES_CIERRE)=12,"ER ACT","ER AA")&amp;"'!$B:$B"),0)+7,MATCH(TEXT(DATE(YEAR(MES_CIERRE),ROUNDUP(MONTH(MES_CIERRE)+1,0),1),"MMMM"),'ER AA'!$1:$1,0),,,IF(MONTH(MES_CIERRE)=12,"ER ACT","ER AA")))+INDIRECT(ADDRESS(MATCH($B$175,INDIRECT("'"&amp;IF(MONTH(MES_CIERRE)=12,"ER ACT","ER AA")&amp;"'!$B:$B"),0)+7,MATCH(TEXT(DATE(YEAR(MES_CIERRE),ROUNDUP(MONTH(MES_CIERRE)+2,0),1),"MMMM"),'ER AA'!$1:$1,0),,,IF(MONTH(MES_CIERRE)=12,"ER ACT","ER AA")))+INDIRECT(ADDRESS(MATCH($B$175,INDIRECT("'"&amp;IF(MONTH(MES_CIERRE)=12,"ER ACT","ER AA")&amp;"'!$B:$B"),0)+7,MATCH(TEXT(DATE(YEAR(MES_CIERRE),ROUNDUP(MONTH(MES_CIERRE)+3,0),1),"MMMM"),'ER AA'!$1:$1,0),,,IF(MONTH(MES_CIERRE)=12,"ER ACT","ER AA")))</f>
        <v>54.695830000000001</v>
      </c>
      <c r="AJ183" s="341">
        <f ca="1">IF(AI178=0,"N.D.",AI183/AI178)</f>
        <v>5.6699737642648421E-2</v>
      </c>
      <c r="AK183" s="330">
        <f ca="1">AE183-AG183</f>
        <v>6.8089999999999975</v>
      </c>
      <c r="AL183" s="331">
        <f ca="1">IF(AG183=0,"N.D.",AE183/AG183-1)</f>
        <v>0.14428598673475879</v>
      </c>
      <c r="AM183" s="328">
        <f ca="1">AE183-AI183</f>
        <v>-0.69583000000000084</v>
      </c>
      <c r="AN183" s="341">
        <f ca="1">IF(AI183=0,"N.D.",AE183/AI183-1)</f>
        <v>-1.2721810785209731E-2</v>
      </c>
    </row>
    <row r="184" spans="1:45" x14ac:dyDescent="0.25">
      <c r="A184" s="316"/>
      <c r="B184" s="9" t="s">
        <v>43</v>
      </c>
      <c r="C184" s="342">
        <f ca="1">INDIRECT(ADDRESS(MATCH($B$175,'ER Act'!$B:$B,0)+8,MATCH(TEXT(DATE(YEAR(MES_CIERRE),ROUNDUP(MONTH(MES_CIERRE)/3,0)*3-2,1),"MMMM"),'ER Act'!$1:$1,0),,,"ER Act"))+INDIRECT(ADDRESS(MATCH($B$175,'ER Act'!$B:$B,0)+8,MATCH(TEXT(DATE(YEAR(MES_CIERRE),ROUNDUP(MONTH(MES_CIERRE)/3,0)*3-1,1),"MMMM"),'ER Act'!$1:$1,0),,,"ER Act"))+INDIRECT(ADDRESS(MATCH($B$175,'ER Act'!$B:$B,0)+8,MATCH(TEXT(DATE(YEAR(MES_CIERRE),ROUNDUP(MONTH(MES_CIERRE)/3,0)*3-0,1),"MMMM"),'ER Act'!$1:$1,0),,,"ER Act"))</f>
        <v>24.962</v>
      </c>
      <c r="D184" s="329">
        <f ca="1">IF(C178=0,"N.D.",C184/C178)</f>
        <v>2.6941470674896682E-2</v>
      </c>
      <c r="E184" s="342">
        <f ca="1">INDIRECT(ADDRESS(MATCH($B$175,'ER Ppto'!$B:$B,0)+8,MATCH(TEXT(DATE(YEAR(MES_CIERRE),ROUNDUP(MONTH(MES_CIERRE)/3,0)*3-2,1),"MMMM"),'ER Ppto'!$1:$1,0),,,"ER Ppto"))+INDIRECT(ADDRESS(MATCH($B$175,'ER Ppto'!$B:$B,0)+8,MATCH(TEXT(DATE(YEAR(MES_CIERRE),ROUNDUP(MONTH(MES_CIERRE)/3,0)*3-1,1),"MMMM"),'ER Ppto'!$1:$1,0),,,"ER Ppto"))+INDIRECT(ADDRESS(MATCH($B$175,'ER Ppto'!$B:$B,0)+8,MATCH(TEXT(DATE(YEAR(MES_CIERRE),ROUNDUP(MONTH(MES_CIERRE)/3,0)*3-0,1),"MMMM"),'ER Ppto'!$1:$1,0),,,"ER Ppto"))</f>
        <v>44.171999999999997</v>
      </c>
      <c r="F184" s="329">
        <f ca="1">IF(E178=0,"N.D.",E184/E178)</f>
        <v>4.3330266247868891E-2</v>
      </c>
      <c r="G184" s="342">
        <f ca="1">INDIRECT(ADDRESS(MATCH($B$175,'ER AA'!$B:$B,0)+8,MATCH(TEXT(DATE(YEAR(MES_CIERRE),ROUNDUP(MONTH(MES_CIERRE)/3,0)*3-2,1),"MMMM"),'ER AA'!$1:$1,0),,,"ER AA"))+INDIRECT(ADDRESS(MATCH($B$175,'ER AA'!$B:$B,0)+8,MATCH(TEXT(DATE(YEAR(MES_CIERRE),ROUNDUP(MONTH(MES_CIERRE)/3,0)*3-1,1),"MMMM"),'ER AA'!$1:$1,0),,,"ER AA"))+INDIRECT(ADDRESS(MATCH($B$175,'ER AA'!$B:$B,0)+8,MATCH(TEXT(DATE(YEAR(MES_CIERRE),ROUNDUP(MONTH(MES_CIERRE)/3,0)*3-0,1),"MMMM"),'ER AA'!$1:$1,0),,,"ER AA"))</f>
        <v>44.171999999999997</v>
      </c>
      <c r="H184" s="329">
        <f ca="1">IF(G178=0,"N.D.",G184/G178)</f>
        <v>4.4653859801113811E-2</v>
      </c>
      <c r="I184" s="330">
        <f ca="1">C184-E184</f>
        <v>-19.209999999999997</v>
      </c>
      <c r="J184" s="331">
        <f ca="1">IF(E184=0,"N.D.",C184/E184-1)</f>
        <v>-0.43489088110115004</v>
      </c>
      <c r="K184" s="342">
        <f ca="1">C184-G184</f>
        <v>-19.209999999999997</v>
      </c>
      <c r="L184" s="329">
        <f ca="1">IF(G184=0,"N.D.",C184/G184-1)</f>
        <v>-0.43489088110115004</v>
      </c>
      <c r="AD184" s="9" t="s">
        <v>43</v>
      </c>
      <c r="AE184" s="342">
        <v>44</v>
      </c>
      <c r="AF184" s="329">
        <f>IF(AE178=0,"N.D.",AE184/AE178)</f>
        <v>4.8458149779735685E-2</v>
      </c>
      <c r="AG184" s="342">
        <f ca="1">((INDIRECT(ADDRESS(MATCH($B$175,BDPP!$B:$B,0)+12,MATCH(TEXT(DATE(YEAR(MES_CIERRE),ROUNDUP(MONTH(MES_CIERRE)/3,0)*3,1),"MMMM"),BDPP!$1:$1,0)+1,,,"BDPP")))+(INDIRECT(ADDRESS(MATCH($B$175,BDPP!$B:$B,0)+12,MATCH(TEXT(DATE(YEAR(MES_CIERRE),ROUNDUP(MONTH(MES_CIERRE)/3,0)*3,1),"MMMM"),BDPP!$1:$1,0)+2,,,"BDPP")))+(INDIRECT(ADDRESS(MATCH($B$175,BDPP!$B:$B,0)+12,MATCH(TEXT(DATE(YEAR(MES_CIERRE),ROUNDUP(MONTH(MES_CIERRE)/3,0)*3,1),"MMMM"),BDPP!$1:$1,0)+3,,,"BDPP"))))/1000</f>
        <v>44.171999999999997</v>
      </c>
      <c r="AH184" s="329">
        <f ca="1">IF(AG178=0,"N.D.",AG184/AG178)</f>
        <v>4.5374189141298704E-2</v>
      </c>
      <c r="AI184" s="342">
        <f ca="1">INDIRECT(ADDRESS(MATCH($B$175,INDIRECT("'"&amp;IF(MONTH(MES_CIERRE)=12,"ER ACT","ER AA")&amp;"'!$B:$B"),0)+8,MATCH(TEXT(DATE(YEAR(MES_CIERRE),ROUNDUP(MONTH(MES_CIERRE)+1,0),1),"MMMM"),'ER AA'!$1:$1,0),,,IF(MONTH(MES_CIERRE)=12,"ER ACT","ER AA")))+INDIRECT(ADDRESS(MATCH($B$175,INDIRECT("'"&amp;IF(MONTH(MES_CIERRE)=12,"ER ACT","ER AA")&amp;"'!$B:$B"),0)+8,MATCH(TEXT(DATE(YEAR(MES_CIERRE),ROUNDUP(MONTH(MES_CIERRE)+2,0),1),"MMMM"),'ER AA'!$1:$1,0),,,IF(MONTH(MES_CIERRE)=12,"ER ACT","ER AA")))+INDIRECT(ADDRESS(MATCH($B$175,INDIRECT("'"&amp;IF(MONTH(MES_CIERRE)=12,"ER ACT","ER AA")&amp;"'!$B:$B"),0)+8,MATCH(TEXT(DATE(YEAR(MES_CIERRE),ROUNDUP(MONTH(MES_CIERRE)+3,0),1),"MMMM"),'ER AA'!$1:$1,0),,,IF(MONTH(MES_CIERRE)=12,"ER ACT","ER AA")))</f>
        <v>44.171639999999996</v>
      </c>
      <c r="AJ184" s="329">
        <f ca="1">IF(AI178=0,"N.D.",AI184/AI178)</f>
        <v>4.5789969715159536E-2</v>
      </c>
      <c r="AK184" s="330">
        <f ca="1">AE184-AG184</f>
        <v>-0.17199999999999704</v>
      </c>
      <c r="AL184" s="331">
        <f ca="1">IF(AG184=0,"N.D.",AE184/AG184-1)</f>
        <v>-3.8938694195417289E-3</v>
      </c>
      <c r="AM184" s="342">
        <f ca="1">AE184-AI184</f>
        <v>-0.17163999999999646</v>
      </c>
      <c r="AN184" s="329">
        <f ca="1">IF(AI184=0,"N.D.",AE184/AI184-1)</f>
        <v>-3.8857511290049107E-3</v>
      </c>
    </row>
    <row r="185" spans="1:45" ht="12.5" hidden="1" customHeight="1" x14ac:dyDescent="0.3">
      <c r="A185" s="316"/>
      <c r="B185" s="9" t="s">
        <v>44</v>
      </c>
      <c r="C185" s="337">
        <f ca="1">+C182+C183+C184</f>
        <v>663.53800000000012</v>
      </c>
      <c r="D185" s="334">
        <f ca="1">IF(C178=0,"N.D.",C185/C178)</f>
        <v>0.71615614008010575</v>
      </c>
      <c r="E185" s="337">
        <f ca="1">+E182+E183+E184</f>
        <v>721.83100000000002</v>
      </c>
      <c r="F185" s="334">
        <f ca="1">IF(E178=0,"N.D.",E185/E178)</f>
        <v>0.70807591723185404</v>
      </c>
      <c r="G185" s="337">
        <f ca="1">+G182+G183+G184</f>
        <v>734.55100000000004</v>
      </c>
      <c r="H185" s="334">
        <f ca="1">IF(G178=0,"N.D.",G185/G178)</f>
        <v>0.74256400821262236</v>
      </c>
      <c r="I185" s="335">
        <f ca="1">C185-E185</f>
        <v>-58.292999999999893</v>
      </c>
      <c r="J185" s="336">
        <f ca="1">IF(E185=0,"N.D.",C185/E185-1)</f>
        <v>-8.0757130131568045E-2</v>
      </c>
      <c r="K185" s="337">
        <f ca="1">C185-G185</f>
        <v>-71.01299999999992</v>
      </c>
      <c r="L185" s="334">
        <f ca="1">IF(G185=0,"N.D.",C185/G185-1)</f>
        <v>-9.6675384010095899E-2</v>
      </c>
      <c r="AD185" s="9" t="s">
        <v>44</v>
      </c>
      <c r="AE185" s="337">
        <f ca="1">+AE182+AE183+AE184</f>
        <v>673.77674476836626</v>
      </c>
      <c r="AF185" s="334">
        <f ca="1">IF(AE178=0,"N.D.",AE185/AE178)</f>
        <v>0.74204487309291434</v>
      </c>
      <c r="AG185" s="337">
        <f ca="1">+AG182+AG183+AG184</f>
        <v>699.38100000000009</v>
      </c>
      <c r="AH185" s="334">
        <f ca="1">IF(AG178=0,"N.D.",AG185/AG178)</f>
        <v>0.71841541645908347</v>
      </c>
      <c r="AI185" s="337">
        <f ca="1">+AI182+AI183+AI184</f>
        <v>674.72030000000007</v>
      </c>
      <c r="AJ185" s="334">
        <f ca="1">IF(AI178=0,"N.D.",AI185/AI178)</f>
        <v>0.69944023140647171</v>
      </c>
      <c r="AK185" s="335">
        <f ca="1">AE185-AG185</f>
        <v>-25.604255231633829</v>
      </c>
      <c r="AL185" s="336">
        <f ca="1">IF(AG185=0,"N.D.",AE185/AG185-1)</f>
        <v>-3.6609881068593308E-2</v>
      </c>
      <c r="AM185" s="337">
        <f ca="1">AE185-AI185</f>
        <v>-0.94355523163380894</v>
      </c>
      <c r="AN185" s="334">
        <f ca="1">IF(AI185=0,"N.D.",AE185/AI185-1)</f>
        <v>-1.398439074137503E-3</v>
      </c>
    </row>
    <row r="186" spans="1:45" ht="13" x14ac:dyDescent="0.3">
      <c r="A186" s="316"/>
      <c r="B186" s="9" t="s">
        <v>45</v>
      </c>
      <c r="C186" s="337">
        <f ca="1">+C180-C185</f>
        <v>-39.489000000000146</v>
      </c>
      <c r="D186" s="334">
        <f ca="1">IF(C178=0,"N.D.",C186/C178)</f>
        <v>-4.2620452507050682E-2</v>
      </c>
      <c r="E186" s="337">
        <f ca="1">+E180-E185</f>
        <v>-50.029999999999973</v>
      </c>
      <c r="F186" s="334">
        <f ca="1">IF(E178=0,"N.D.",E186/E178)</f>
        <v>-4.9076637244880914E-2</v>
      </c>
      <c r="G186" s="337">
        <f ca="1">+G180-G185</f>
        <v>-85.022000000000048</v>
      </c>
      <c r="H186" s="334">
        <f ca="1">IF(G178=0,"N.D.",G186/G178)</f>
        <v>-8.5949480847828968E-2</v>
      </c>
      <c r="I186" s="335">
        <f ca="1">C186-E186</f>
        <v>10.540999999999826</v>
      </c>
      <c r="J186" s="336">
        <f ca="1">IF(E186=0,"N.D.",C186/E186-1)</f>
        <v>-0.21069358384968684</v>
      </c>
      <c r="K186" s="337">
        <f ca="1">C186-G186</f>
        <v>45.532999999999902</v>
      </c>
      <c r="L186" s="334">
        <f ca="1">IF(G186=0,"N.D.",C186/G186-1)</f>
        <v>-0.53554374161981455</v>
      </c>
      <c r="AD186" s="9" t="s">
        <v>45</v>
      </c>
      <c r="AE186" s="337">
        <f ca="1">+AE180-AE185</f>
        <v>-62.206340452032236</v>
      </c>
      <c r="AF186" s="334">
        <f ca="1">IF(AE178=0,"N.D.",AE186/AE178)</f>
        <v>-6.8509185519859295E-2</v>
      </c>
      <c r="AG186" s="337">
        <f ca="1">+AG180-AG185</f>
        <v>-57.840000000000146</v>
      </c>
      <c r="AH186" s="334">
        <f ca="1">IF(AG178=0,"N.D.",AG186/AG178)</f>
        <v>-5.9414178663694736E-2</v>
      </c>
      <c r="AI186" s="337">
        <f ca="1">+AI180-AI185</f>
        <v>-62.085900000000038</v>
      </c>
      <c r="AJ186" s="334">
        <f ca="1">IF(AI178=0,"N.D.",AI186/AI178)</f>
        <v>-6.4360559869147391E-2</v>
      </c>
      <c r="AK186" s="335">
        <f ca="1">AE186-AG186</f>
        <v>-4.366340452032091</v>
      </c>
      <c r="AL186" s="336">
        <f ca="1">IF(AG186=0,"N.D.",AE186/AG186-1)</f>
        <v>7.5489980152698477E-2</v>
      </c>
      <c r="AM186" s="337">
        <f ca="1">AE186-AI186</f>
        <v>-0.12044045203219866</v>
      </c>
      <c r="AN186" s="334">
        <f ca="1">IF(AI186=0,"N.D.",AE186/AI186-1)</f>
        <v>1.9399002355156014E-3</v>
      </c>
    </row>
    <row r="187" spans="1:45" x14ac:dyDescent="0.25">
      <c r="A187" s="316"/>
      <c r="B187" s="322"/>
      <c r="C187" s="338"/>
      <c r="D187" s="339"/>
      <c r="E187" s="338"/>
      <c r="F187" s="339"/>
      <c r="G187" s="338"/>
      <c r="H187" s="339"/>
      <c r="I187" s="338"/>
      <c r="J187" s="340"/>
      <c r="K187" s="338"/>
      <c r="L187" s="339"/>
      <c r="AD187" s="322"/>
      <c r="AE187" s="338"/>
      <c r="AF187" s="339"/>
      <c r="AG187" s="338"/>
      <c r="AH187" s="339"/>
      <c r="AI187" s="338"/>
      <c r="AJ187" s="339"/>
      <c r="AK187" s="338"/>
      <c r="AL187" s="340"/>
      <c r="AM187" s="338"/>
      <c r="AN187" s="339"/>
    </row>
    <row r="188" spans="1:45" x14ac:dyDescent="0.25">
      <c r="A188" s="316"/>
      <c r="B188" s="322"/>
      <c r="C188" s="327"/>
      <c r="D188" s="343"/>
      <c r="E188" s="327"/>
      <c r="F188" s="343"/>
      <c r="G188" s="327"/>
      <c r="H188" s="343"/>
      <c r="I188" s="325"/>
      <c r="J188" s="326"/>
      <c r="K188" s="327"/>
      <c r="L188" s="324"/>
      <c r="AD188" s="1"/>
      <c r="AE188" s="327"/>
      <c r="AF188" s="343"/>
      <c r="AG188" s="327"/>
      <c r="AH188" s="343"/>
      <c r="AI188" s="327"/>
      <c r="AJ188" s="343"/>
      <c r="AK188" s="325"/>
      <c r="AL188" s="326"/>
      <c r="AM188" s="327"/>
      <c r="AN188" s="324"/>
    </row>
    <row r="189" spans="1:45" x14ac:dyDescent="0.25">
      <c r="A189" s="316"/>
      <c r="B189" s="9" t="s">
        <v>52</v>
      </c>
      <c r="C189" s="328">
        <f ca="1">INDIRECT(ADDRESS(MATCH($B$175,'ER Act'!$B:$B,0)+13,MATCH(TEXT(DATE(YEAR(MES_CIERRE),ROUNDUP(MONTH(MES_CIERRE)/3,0)*3-2,1),"MMMM"),'ER Act'!$1:$1,0),,,"ER Act"))+INDIRECT(ADDRESS(MATCH($B$175,'ER Act'!$B:$B,0)+13,MATCH(TEXT(DATE(YEAR(MES_CIERRE),ROUNDUP(MONTH(MES_CIERRE)/3,0)*3-1,1),"MMMM"),'ER Act'!$1:$1,0),,,"ER Act"))+INDIRECT(ADDRESS(MATCH($B$175,'ER Act'!$B:$B,0)+13,MATCH(TEXT(DATE(YEAR(MES_CIERRE),ROUNDUP(MONTH(MES_CIERRE)/3,0)*3-0,1),"MMMM"),'ER Act'!$1:$1,0),,,"ER Act"))</f>
        <v>-10.081</v>
      </c>
      <c r="D189" s="344">
        <f ca="1">IF(C178=0,"N.D.",C189/C178)</f>
        <v>-1.0880416868585588E-2</v>
      </c>
      <c r="E189" s="328">
        <f ca="1">INDIRECT(ADDRESS(MATCH($B$175,'ER Ppto'!$B:$B,0)+13,MATCH(TEXT(DATE(YEAR(MES_CIERRE),ROUNDUP(MONTH(MES_CIERRE)/3,0)*3-2,1),"MMMM"),'ER Ppto'!$1:$1,0),,,"ER Ppto"))+INDIRECT(ADDRESS(MATCH($B$175,'ER Ppto'!$B:$B,0)+13,MATCH(TEXT(DATE(YEAR(MES_CIERRE),ROUNDUP(MONTH(MES_CIERRE)/3,0)*3-1,1),"MMMM"),'ER Ppto'!$1:$1,0),,,"ER Ppto"))+INDIRECT(ADDRESS(MATCH($B$175,'ER Ppto'!$B:$B,0)+13,MATCH(TEXT(DATE(YEAR(MES_CIERRE),ROUNDUP(MONTH(MES_CIERRE)/3,0)*3-0,1),"MMMM"),'ER Ppto'!$1:$1,0),,,"ER Ppto"))</f>
        <v>-6.5040000000000004</v>
      </c>
      <c r="F189" s="344">
        <f ca="1">IF(E178=0,"N.D.",E189/E178)</f>
        <v>-6.380060936252362E-3</v>
      </c>
      <c r="G189" s="328">
        <f ca="1">INDIRECT(ADDRESS(MATCH($B$175,'ER AA'!$B:$B,0)+13,MATCH(TEXT(DATE(YEAR(MES_CIERRE),ROUNDUP(MONTH(MES_CIERRE)/3,0)*3-2,1),"MMMM"),'ER AA'!$1:$1,0),,,"ER AA"))+INDIRECT(ADDRESS(MATCH($B$175,'ER AA'!$B:$B,0)+13,MATCH(TEXT(DATE(YEAR(MES_CIERRE),ROUNDUP(MONTH(MES_CIERRE)/3,0)*3-1,1),"MMMM"),'ER AA'!$1:$1,0),,,"ER AA"))+INDIRECT(ADDRESS(MATCH($B$175,'ER AA'!$B:$B,0)+13,MATCH(TEXT(DATE(YEAR(MES_CIERRE),ROUNDUP(MONTH(MES_CIERRE)/3,0)*3-0,1),"MMMM"),'ER AA'!$1:$1,0),,,"ER AA"))</f>
        <v>-5.5609999999999999</v>
      </c>
      <c r="H189" s="344">
        <f ca="1">IF(G178=0,"N.D.",G189/G178)</f>
        <v>-5.6216633694194046E-3</v>
      </c>
      <c r="I189" s="330">
        <f t="shared" ref="I189:I194" ca="1" si="286">C189-E189</f>
        <v>-3.5769999999999991</v>
      </c>
      <c r="J189" s="331">
        <f t="shared" ref="J189:J194" ca="1" si="287">IF(E189=0,"N.D.",C189/E189-1)</f>
        <v>0.54996924969249683</v>
      </c>
      <c r="K189" s="328">
        <f t="shared" ref="K189:K194" ca="1" si="288">C189-G189</f>
        <v>-4.5199999999999996</v>
      </c>
      <c r="L189" s="341">
        <f t="shared" ref="L189:L194" ca="1" si="289">IF(G189=0,"N.D.",C189/G189-1)</f>
        <v>0.81280345261643583</v>
      </c>
      <c r="AD189" s="9" t="s">
        <v>52</v>
      </c>
      <c r="AE189" s="328">
        <v>-7</v>
      </c>
      <c r="AF189" s="344">
        <f>IF(AE178=0,"N.D.",AE189/AE178)</f>
        <v>-7.709251101321586E-3</v>
      </c>
      <c r="AG189" s="328">
        <f ca="1">((INDIRECT(ADDRESS(MATCH($B$175,BDPP!$B:$B,0)+16,MATCH(TEXT(DATE(YEAR(MES_CIERRE),ROUNDUP(MONTH(MES_CIERRE)/3,0)*3,1),"MMMM"),BDPP!$1:$1,0)+1,,,"BDPP")))+(INDIRECT(ADDRESS(MATCH($B$175,BDPP!$B:$B,0)+16,MATCH(TEXT(DATE(YEAR(MES_CIERRE),ROUNDUP(MONTH(MES_CIERRE)/3,0)*3,1),"MMMM"),BDPP!$1:$1,0)+2,,,"BDPP")))+(INDIRECT(ADDRESS(MATCH($B$175,BDPP!$B:$B,0)+16,MATCH(TEXT(DATE(YEAR(MES_CIERRE),ROUNDUP(MONTH(MES_CIERRE)/3,0)*3,1),"MMMM"),BDPP!$1:$1,0)+3,,,"BDPP"))))/1000</f>
        <v>-6.5039999999999996</v>
      </c>
      <c r="AH189" s="344">
        <f ca="1">IF(AG178=0,"N.D.",AG189/AG178)</f>
        <v>-6.6810134513947024E-3</v>
      </c>
      <c r="AI189" s="328">
        <f ca="1">INDIRECT(ADDRESS(MATCH($B$175,INDIRECT("'"&amp;IF(MONTH(MES_CIERRE)=12,"ER ACT","ER AA")&amp;"'!$B:$B"),0)+13,MATCH(TEXT(DATE(YEAR(MES_CIERRE),ROUNDUP(MONTH(MES_CIERRE)+1,0),1),"MMMM"),'ER AA'!$1:$1,0),,,IF(MONTH(MES_CIERRE)=12,"ER ACT","ER AA")))+INDIRECT(ADDRESS(MATCH($B$175,INDIRECT("'"&amp;IF(MONTH(MES_CIERRE)=12,"ER ACT","ER AA")&amp;"'!$B:$B"),0)+13,MATCH(TEXT(DATE(YEAR(MES_CIERRE),ROUNDUP(MONTH(MES_CIERRE)+2,0),1),"MMMM"),'ER AA'!$1:$1,0),,,IF(MONTH(MES_CIERRE)=12,"ER ACT","ER AA")))+INDIRECT(ADDRESS(MATCH($B$175,INDIRECT("'"&amp;IF(MONTH(MES_CIERRE)=12,"ER ACT","ER AA")&amp;"'!$B:$B"),0)+13,MATCH(TEXT(DATE(YEAR(MES_CIERRE),ROUNDUP(MONTH(MES_CIERRE)+3,0),1),"MMMM"),'ER AA'!$1:$1,0),,,IF(MONTH(MES_CIERRE)=12,"ER ACT","ER AA")))</f>
        <v>-3.2797200000000002</v>
      </c>
      <c r="AJ189" s="344">
        <f ca="1">IF(AI178=0,"N.D.",AI189/AI178)</f>
        <v>-3.3998800921632762E-3</v>
      </c>
      <c r="AK189" s="330">
        <f t="shared" ref="AK189:AK194" ca="1" si="290">AE189-AG189</f>
        <v>-0.49600000000000044</v>
      </c>
      <c r="AL189" s="331">
        <f t="shared" ref="AL189:AL194" ca="1" si="291">IF(AG189=0,"N.D.",AE189/AG189-1)</f>
        <v>7.6260762607626154E-2</v>
      </c>
      <c r="AM189" s="328">
        <f t="shared" ref="AM189:AM194" ca="1" si="292">AE189-AI189</f>
        <v>-3.7202799999999998</v>
      </c>
      <c r="AN189" s="341">
        <f t="shared" ref="AN189:AN194" ca="1" si="293">IF(AI189=0,"N.D.",AE189/AI189-1)</f>
        <v>1.1343285402412402</v>
      </c>
    </row>
    <row r="190" spans="1:45" x14ac:dyDescent="0.25">
      <c r="A190" s="316"/>
      <c r="B190" s="9" t="s">
        <v>184</v>
      </c>
      <c r="C190" s="328">
        <f ca="1">INDIRECT(ADDRESS(MATCH($B$175,'ER Act'!$B:$B,0)+14,MATCH(TEXT(DATE(YEAR(MES_CIERRE),ROUNDUP(MONTH(MES_CIERRE)/3,0)*3-2,1),"MMMM"),'ER Act'!$1:$1,0),,,"ER Act"))+INDIRECT(ADDRESS(MATCH($B$175,'ER Act'!$B:$B,0)+14,MATCH(TEXT(DATE(YEAR(MES_CIERRE),ROUNDUP(MONTH(MES_CIERRE)/3,0)*3-1,1),"MMMM"),'ER Act'!$1:$1,0),,,"ER Act"))+INDIRECT(ADDRESS(MATCH($B$175,'ER Act'!$B:$B,0)+14,MATCH(TEXT(DATE(YEAR(MES_CIERRE),ROUNDUP(MONTH(MES_CIERRE)/3,0)*3-0,1),"MMMM"),'ER Act'!$1:$1,0),,,"ER Act"))</f>
        <v>0</v>
      </c>
      <c r="D190" s="344">
        <f ca="1">IF(C178=0,"N.D.",C190/C178)</f>
        <v>0</v>
      </c>
      <c r="E190" s="328">
        <f ca="1">INDIRECT(ADDRESS(MATCH($B$175,'ER Ppto'!$B:$B,0)+14,MATCH(TEXT(DATE(YEAR(MES_CIERRE),ROUNDUP(MONTH(MES_CIERRE)/3,0)*3-2,1),"MMMM"),'ER Ppto'!$1:$1,0),,,"ER Ppto"))+INDIRECT(ADDRESS(MATCH($B$175,'ER Ppto'!$B:$B,0)+14,MATCH(TEXT(DATE(YEAR(MES_CIERRE),ROUNDUP(MONTH(MES_CIERRE)/3,0)*3-1,1),"MMMM"),'ER Ppto'!$1:$1,0),,,"ER Ppto"))+INDIRECT(ADDRESS(MATCH($B$175,'ER Ppto'!$B:$B,0)+14,MATCH(TEXT(DATE(YEAR(MES_CIERRE),ROUNDUP(MONTH(MES_CIERRE)/3,0)*3-0,1),"MMMM"),'ER Ppto'!$1:$1,0),,,"ER Ppto"))</f>
        <v>0</v>
      </c>
      <c r="F190" s="344">
        <f ca="1">IF(E178=0,"N.D.",E190/E178)</f>
        <v>0</v>
      </c>
      <c r="G190" s="328">
        <f ca="1">INDIRECT(ADDRESS(MATCH($B$175,'ER AA'!$B:$B,0)+14,MATCH(TEXT(DATE(YEAR(MES_CIERRE),ROUNDUP(MONTH(MES_CIERRE)/3,0)*3-2,1),"MMMM"),'ER AA'!$1:$1,0),,,"ER AA"))+INDIRECT(ADDRESS(MATCH($B$175,'ER AA'!$B:$B,0)+14,MATCH(TEXT(DATE(YEAR(MES_CIERRE),ROUNDUP(MONTH(MES_CIERRE)/3,0)*3-1,1),"MMMM"),'ER AA'!$1:$1,0),,,"ER AA"))+INDIRECT(ADDRESS(MATCH($B$175,'ER AA'!$B:$B,0)+14,MATCH(TEXT(DATE(YEAR(MES_CIERRE),ROUNDUP(MONTH(MES_CIERRE)/3,0)*3-0,1),"MMMM"),'ER AA'!$1:$1,0),,,"ER AA"))</f>
        <v>7.4</v>
      </c>
      <c r="H190" s="344">
        <f ca="1">IF(G178=0,"N.D.",G190/G178)</f>
        <v>7.4807244980585495E-3</v>
      </c>
      <c r="I190" s="330">
        <f t="shared" ca="1" si="286"/>
        <v>0</v>
      </c>
      <c r="J190" s="331" t="str">
        <f t="shared" ca="1" si="287"/>
        <v>N.D.</v>
      </c>
      <c r="K190" s="328">
        <f t="shared" ca="1" si="288"/>
        <v>-7.4</v>
      </c>
      <c r="L190" s="341">
        <f t="shared" ca="1" si="289"/>
        <v>-1</v>
      </c>
      <c r="AD190" s="9" t="s">
        <v>184</v>
      </c>
      <c r="AE190" s="328">
        <v>0</v>
      </c>
      <c r="AF190" s="344">
        <f>IF(AE178=0,"N.D.",AE190/AE178)</f>
        <v>0</v>
      </c>
      <c r="AG190" s="328">
        <f ca="1">((INDIRECT(ADDRESS(MATCH($B$175,BDPP!$B:$B,0)+17,MATCH(TEXT(DATE(YEAR(MES_CIERRE),ROUNDUP(MONTH(MES_CIERRE)/3,0)*3,1),"MMMM"),BDPP!$1:$1,0)+1,,,"BDPP")))+(INDIRECT(ADDRESS(MATCH($B$175,BDPP!$B:$B,0)+17,MATCH(TEXT(DATE(YEAR(MES_CIERRE),ROUNDUP(MONTH(MES_CIERRE)/3,0)*3,1),"MMMM"),BDPP!$1:$1,0)+2,,,"BDPP")))+(INDIRECT(ADDRESS(MATCH($B$175,BDPP!$B:$B,0)+17,MATCH(TEXT(DATE(YEAR(MES_CIERRE),ROUNDUP(MONTH(MES_CIERRE)/3,0)*3,1),"MMMM"),BDPP!$1:$1,0)+3,,,"BDPP"))))/1000</f>
        <v>0</v>
      </c>
      <c r="AH190" s="344">
        <f ca="1">IF(AG178=0,"N.D.",AG190/AG178)</f>
        <v>0</v>
      </c>
      <c r="AI190" s="328">
        <f ca="1">INDIRECT(ADDRESS(MATCH($B$175,INDIRECT("'"&amp;IF(MONTH(MES_CIERRE)=12,"ER ACT","ER AA")&amp;"'!$B:$B"),0)+14,MATCH(TEXT(DATE(YEAR(MES_CIERRE),ROUNDUP(MONTH(MES_CIERRE)+1,0),1),"MMMM"),'ER AA'!$1:$1,0),,,IF(MONTH(MES_CIERRE)=12,"ER ACT","ER AA")))+INDIRECT(ADDRESS(MATCH($B$175,INDIRECT("'"&amp;IF(MONTH(MES_CIERRE)=12,"ER ACT","ER AA")&amp;"'!$B:$B"),0)+14,MATCH(TEXT(DATE(YEAR(MES_CIERRE),ROUNDUP(MONTH(MES_CIERRE)+2,0),1),"MMMM"),'ER AA'!$1:$1,0),,,IF(MONTH(MES_CIERRE)=12,"ER ACT","ER AA")))+INDIRECT(ADDRESS(MATCH($B$175,INDIRECT("'"&amp;IF(MONTH(MES_CIERRE)=12,"ER ACT","ER AA")&amp;"'!$B:$B"),0)+14,MATCH(TEXT(DATE(YEAR(MES_CIERRE),ROUNDUP(MONTH(MES_CIERRE)+3,0),1),"MMMM"),'ER AA'!$1:$1,0),,,IF(MONTH(MES_CIERRE)=12,"ER ACT","ER AA")))</f>
        <v>5.3047000000000004</v>
      </c>
      <c r="AJ190" s="344">
        <f ca="1">IF(AI178=0,"N.D.",AI190/AI178)</f>
        <v>5.4990498959967713E-3</v>
      </c>
      <c r="AK190" s="330">
        <f t="shared" ca="1" si="290"/>
        <v>0</v>
      </c>
      <c r="AL190" s="331" t="str">
        <f t="shared" ca="1" si="291"/>
        <v>N.D.</v>
      </c>
      <c r="AM190" s="328">
        <f t="shared" ca="1" si="292"/>
        <v>-5.3047000000000004</v>
      </c>
      <c r="AN190" s="341">
        <f t="shared" ca="1" si="293"/>
        <v>-1</v>
      </c>
    </row>
    <row r="191" spans="1:45" x14ac:dyDescent="0.25">
      <c r="A191" s="316"/>
      <c r="B191" s="9" t="s">
        <v>47</v>
      </c>
      <c r="C191" s="328">
        <f ca="1">INDIRECT(ADDRESS(MATCH($B$175,'ER Act'!$B:$B,0)+15,MATCH(TEXT(DATE(YEAR(MES_CIERRE),ROUNDUP(MONTH(MES_CIERRE)/3,0)*3-2,1),"MMMM"),'ER Act'!$1:$1,0),,,"ER Act"))+INDIRECT(ADDRESS(MATCH($B$175,'ER Act'!$B:$B,0)+15,MATCH(TEXT(DATE(YEAR(MES_CIERRE),ROUNDUP(MONTH(MES_CIERRE)/3,0)*3-1,1),"MMMM"),'ER Act'!$1:$1,0),,,"ER Act"))+INDIRECT(ADDRESS(MATCH($B$175,'ER Act'!$B:$B,0)+15,MATCH(TEXT(DATE(YEAR(MES_CIERRE),ROUNDUP(MONTH(MES_CIERRE)/3,0)*3-0,1),"MMMM"),'ER Act'!$1:$1,0),,,"ER Act"))</f>
        <v>0</v>
      </c>
      <c r="D191" s="344">
        <f ca="1">IF(C178=0,"N.D.",C191/C178)</f>
        <v>0</v>
      </c>
      <c r="E191" s="328">
        <f ca="1">INDIRECT(ADDRESS(MATCH($B$175,'ER Ppto'!$B:$B,0)+15,MATCH(TEXT(DATE(YEAR(MES_CIERRE),ROUNDUP(MONTH(MES_CIERRE)/3,0)*3-2,1),"MMMM"),'ER Ppto'!$1:$1,0),,,"ER Ppto"))+INDIRECT(ADDRESS(MATCH($B$175,'ER Ppto'!$B:$B,0)+15,MATCH(TEXT(DATE(YEAR(MES_CIERRE),ROUNDUP(MONTH(MES_CIERRE)/3,0)*3-1,1),"MMMM"),'ER Ppto'!$1:$1,0),,,"ER Ppto"))+INDIRECT(ADDRESS(MATCH($B$175,'ER Ppto'!$B:$B,0)+15,MATCH(TEXT(DATE(YEAR(MES_CIERRE),ROUNDUP(MONTH(MES_CIERRE)/3,0)*3-0,1),"MMMM"),'ER Ppto'!$1:$1,0),,,"ER Ppto"))</f>
        <v>0</v>
      </c>
      <c r="F191" s="344">
        <f ca="1">IF(E178=0,"N.D.",E191/E178)</f>
        <v>0</v>
      </c>
      <c r="G191" s="328">
        <f ca="1">INDIRECT(ADDRESS(MATCH($B$175,'ER AA'!$B:$B,0)+15,MATCH(TEXT(DATE(YEAR(MES_CIERRE),ROUNDUP(MONTH(MES_CIERRE)/3,0)*3-2,1),"MMMM"),'ER AA'!$1:$1,0),,,"ER AA"))+INDIRECT(ADDRESS(MATCH($B$175,'ER AA'!$B:$B,0)+15,MATCH(TEXT(DATE(YEAR(MES_CIERRE),ROUNDUP(MONTH(MES_CIERRE)/3,0)*3-1,1),"MMMM"),'ER AA'!$1:$1,0),,,"ER AA"))+INDIRECT(ADDRESS(MATCH($B$175,'ER AA'!$B:$B,0)+15,MATCH(TEXT(DATE(YEAR(MES_CIERRE),ROUNDUP(MONTH(MES_CIERRE)/3,0)*3-0,1),"MMMM"),'ER AA'!$1:$1,0),,,"ER AA"))</f>
        <v>0</v>
      </c>
      <c r="H191" s="344">
        <f ca="1">IF(G178=0,"N.D.",G191/G178)</f>
        <v>0</v>
      </c>
      <c r="I191" s="330">
        <f t="shared" ca="1" si="286"/>
        <v>0</v>
      </c>
      <c r="J191" s="331" t="str">
        <f t="shared" ca="1" si="287"/>
        <v>N.D.</v>
      </c>
      <c r="K191" s="328">
        <f t="shared" ca="1" si="288"/>
        <v>0</v>
      </c>
      <c r="L191" s="341" t="str">
        <f t="shared" ca="1" si="289"/>
        <v>N.D.</v>
      </c>
      <c r="AD191" s="9" t="s">
        <v>47</v>
      </c>
      <c r="AE191" s="328">
        <v>0</v>
      </c>
      <c r="AF191" s="344">
        <f>IF(AE178=0,"N.D.",AE191/AE178)</f>
        <v>0</v>
      </c>
      <c r="AG191" s="328">
        <f ca="1">((INDIRECT(ADDRESS(MATCH($B$175,BDPP!$B:$B,0)+18,MATCH(TEXT(DATE(YEAR(MES_CIERRE),ROUNDUP(MONTH(MES_CIERRE)/3,0)*3,1),"MMMM"),BDPP!$1:$1,0)+1,,,"BDPP")))+(INDIRECT(ADDRESS(MATCH($B$175,BDPP!$B:$B,0)+18,MATCH(TEXT(DATE(YEAR(MES_CIERRE),ROUNDUP(MONTH(MES_CIERRE)/3,0)*3,1),"MMMM"),BDPP!$1:$1,0)+2,,,"BDPP")))+(INDIRECT(ADDRESS(MATCH($B$175,BDPP!$B:$B,0)+18,MATCH(TEXT(DATE(YEAR(MES_CIERRE),ROUNDUP(MONTH(MES_CIERRE)/3,0)*3,1),"MMMM"),BDPP!$1:$1,0)+3,,,"BDPP"))))/1000</f>
        <v>0</v>
      </c>
      <c r="AH191" s="344">
        <f ca="1">IF(AG178=0,"N.D.",AG191/AG178)</f>
        <v>0</v>
      </c>
      <c r="AI191" s="328">
        <f ca="1">INDIRECT(ADDRESS(MATCH($B$175,INDIRECT("'"&amp;IF(MONTH(MES_CIERRE)=12,"ER ACT","ER AA")&amp;"'!$B:$B"),0)+15,MATCH(TEXT(DATE(YEAR(MES_CIERRE),ROUNDUP(MONTH(MES_CIERRE)+1,0),1),"MMMM"),'ER AA'!$1:$1,0),,,IF(MONTH(MES_CIERRE)=12,"ER ACT","ER AA")))+INDIRECT(ADDRESS(MATCH($B$175,INDIRECT("'"&amp;IF(MONTH(MES_CIERRE)=12,"ER ACT","ER AA")&amp;"'!$B:$B"),0)+15,MATCH(TEXT(DATE(YEAR(MES_CIERRE),ROUNDUP(MONTH(MES_CIERRE)+2,0),1),"MMMM"),'ER AA'!$1:$1,0),,,IF(MONTH(MES_CIERRE)=12,"ER ACT","ER AA")))+INDIRECT(ADDRESS(MATCH($B$175,INDIRECT("'"&amp;IF(MONTH(MES_CIERRE)=12,"ER ACT","ER AA")&amp;"'!$B:$B"),0)+15,MATCH(TEXT(DATE(YEAR(MES_CIERRE),ROUNDUP(MONTH(MES_CIERRE)+3,0),1),"MMMM"),'ER AA'!$1:$1,0),,,IF(MONTH(MES_CIERRE)=12,"ER ACT","ER AA")))</f>
        <v>0</v>
      </c>
      <c r="AJ191" s="344">
        <f ca="1">IF(AI178=0,"N.D.",AI191/AI178)</f>
        <v>0</v>
      </c>
      <c r="AK191" s="330">
        <f t="shared" ca="1" si="290"/>
        <v>0</v>
      </c>
      <c r="AL191" s="331" t="str">
        <f t="shared" ca="1" si="291"/>
        <v>N.D.</v>
      </c>
      <c r="AM191" s="328">
        <f t="shared" ca="1" si="292"/>
        <v>0</v>
      </c>
      <c r="AN191" s="341" t="str">
        <f t="shared" ca="1" si="293"/>
        <v>N.D.</v>
      </c>
    </row>
    <row r="192" spans="1:45" x14ac:dyDescent="0.25">
      <c r="A192" s="316"/>
      <c r="B192" s="322"/>
      <c r="C192" s="342"/>
      <c r="D192" s="345"/>
      <c r="E192" s="342"/>
      <c r="F192" s="345"/>
      <c r="G192" s="342"/>
      <c r="H192" s="345"/>
      <c r="I192" s="330"/>
      <c r="J192" s="331"/>
      <c r="K192" s="342"/>
      <c r="L192" s="329"/>
      <c r="AD192" s="9"/>
      <c r="AE192" s="342"/>
      <c r="AF192" s="345"/>
      <c r="AG192" s="342"/>
      <c r="AH192" s="345"/>
      <c r="AI192" s="342"/>
      <c r="AJ192" s="345"/>
      <c r="AK192" s="330"/>
      <c r="AL192" s="331"/>
      <c r="AM192" s="342"/>
      <c r="AN192" s="329"/>
    </row>
    <row r="193" spans="1:55" ht="13" x14ac:dyDescent="0.3">
      <c r="B193" s="9" t="s">
        <v>48</v>
      </c>
      <c r="C193" s="335">
        <f ca="1">+C188+C189+C190-C191-C192</f>
        <v>-10.081</v>
      </c>
      <c r="D193" s="334">
        <f ca="1">IF(C178=0,"N.D.",C193/C178)</f>
        <v>-1.0880416868585588E-2</v>
      </c>
      <c r="E193" s="335">
        <f ca="1">+E188+E189+E190-E191-E192</f>
        <v>-6.5040000000000004</v>
      </c>
      <c r="F193" s="334">
        <f ca="1">IF(E178=0,"N.D.",E193/E178)</f>
        <v>-6.380060936252362E-3</v>
      </c>
      <c r="G193" s="335">
        <f ca="1">+G188+G189+G190-G191-G192</f>
        <v>1.8390000000000004</v>
      </c>
      <c r="H193" s="334">
        <f ca="1">IF(G178=0,"N.D.",G193/G178)</f>
        <v>1.8590611286391453E-3</v>
      </c>
      <c r="I193" s="335">
        <f t="shared" ca="1" si="286"/>
        <v>-3.5769999999999991</v>
      </c>
      <c r="J193" s="336">
        <f t="shared" ca="1" si="287"/>
        <v>0.54996924969249683</v>
      </c>
      <c r="K193" s="337">
        <f t="shared" ca="1" si="288"/>
        <v>-11.92</v>
      </c>
      <c r="L193" s="334">
        <f t="shared" ca="1" si="289"/>
        <v>-6.4817835780315374</v>
      </c>
      <c r="AD193" s="9" t="s">
        <v>48</v>
      </c>
      <c r="AE193" s="335">
        <f>+AE188+AE189+AE190-AE191-AE192</f>
        <v>-7</v>
      </c>
      <c r="AF193" s="334">
        <f>IF(AE178=0,"N.D.",AE193/AE178)</f>
        <v>-7.709251101321586E-3</v>
      </c>
      <c r="AG193" s="335">
        <f ca="1">+AG188+AG189+AG190-AG191-AG192</f>
        <v>-6.5039999999999996</v>
      </c>
      <c r="AH193" s="334">
        <f ca="1">IF(AG178=0,"N.D.",AG193/AG178)</f>
        <v>-6.6810134513947024E-3</v>
      </c>
      <c r="AI193" s="335">
        <f ca="1">+AI188+AI189+AI190-AI191-AI192</f>
        <v>2.0249800000000002</v>
      </c>
      <c r="AJ193" s="334">
        <f ca="1">IF(AI178=0,"N.D.",AI193/AI178)</f>
        <v>2.0991698038334951E-3</v>
      </c>
      <c r="AK193" s="335">
        <f t="shared" ca="1" si="290"/>
        <v>-0.49600000000000044</v>
      </c>
      <c r="AL193" s="336">
        <f t="shared" ca="1" si="291"/>
        <v>7.6260762607626154E-2</v>
      </c>
      <c r="AM193" s="337">
        <f t="shared" ca="1" si="292"/>
        <v>-9.0249799999999993</v>
      </c>
      <c r="AN193" s="334">
        <f t="shared" ca="1" si="293"/>
        <v>-4.4568242649310115</v>
      </c>
    </row>
    <row r="194" spans="1:55" ht="13" x14ac:dyDescent="0.3">
      <c r="B194" s="332" t="s">
        <v>49</v>
      </c>
      <c r="C194" s="337">
        <f ca="1">+C186-C193</f>
        <v>-29.408000000000147</v>
      </c>
      <c r="D194" s="334">
        <f ca="1">IF(C178=0,"N.D.",C194/C178)</f>
        <v>-3.1740035638465093E-2</v>
      </c>
      <c r="E194" s="337">
        <f ca="1">+E186-E193</f>
        <v>-43.525999999999975</v>
      </c>
      <c r="F194" s="334">
        <f ca="1">IF(E178=0,"N.D.",E194/E178)</f>
        <v>-4.2696576308628553E-2</v>
      </c>
      <c r="G194" s="337">
        <f ca="1">+G186-G193</f>
        <v>-86.861000000000047</v>
      </c>
      <c r="H194" s="334">
        <f ca="1">IF(G178=0,"N.D.",G194/G178)</f>
        <v>-8.7808541976468105E-2</v>
      </c>
      <c r="I194" s="335">
        <f t="shared" ca="1" si="286"/>
        <v>14.117999999999828</v>
      </c>
      <c r="J194" s="336">
        <f t="shared" ca="1" si="287"/>
        <v>-0.32435785507512371</v>
      </c>
      <c r="K194" s="337">
        <f t="shared" ca="1" si="288"/>
        <v>57.452999999999903</v>
      </c>
      <c r="L194" s="334">
        <f t="shared" ca="1" si="289"/>
        <v>-0.66143608754216354</v>
      </c>
      <c r="AD194" s="332" t="s">
        <v>49</v>
      </c>
      <c r="AE194" s="337">
        <f ca="1">+AE186-AE193</f>
        <v>-55.206340452032236</v>
      </c>
      <c r="AF194" s="334">
        <f ca="1">IF(AE178=0,"N.D.",AE194/AE178)</f>
        <v>-6.0799934418537704E-2</v>
      </c>
      <c r="AG194" s="337">
        <f ca="1">+AG186-AG193</f>
        <v>-51.336000000000148</v>
      </c>
      <c r="AH194" s="334">
        <f ca="1">IF(AG178=0,"N.D.",AG194/AG178)</f>
        <v>-5.2733165212300037E-2</v>
      </c>
      <c r="AI194" s="337">
        <f ca="1">+AI186-AI193</f>
        <v>-64.110880000000037</v>
      </c>
      <c r="AJ194" s="334">
        <f ca="1">IF(AI178=0,"N.D.",AI194/AI178)</f>
        <v>-6.6459729672980875E-2</v>
      </c>
      <c r="AK194" s="335">
        <f t="shared" ca="1" si="290"/>
        <v>-3.8703404520320888</v>
      </c>
      <c r="AL194" s="336">
        <f t="shared" ca="1" si="291"/>
        <v>7.5392326087581285E-2</v>
      </c>
      <c r="AM194" s="337">
        <f t="shared" ca="1" si="292"/>
        <v>8.9045395479678007</v>
      </c>
      <c r="AN194" s="334">
        <f t="shared" ca="1" si="293"/>
        <v>-0.13889279866331261</v>
      </c>
    </row>
    <row r="195" spans="1:55" x14ac:dyDescent="0.25">
      <c r="B195" s="322"/>
      <c r="C195" s="338"/>
      <c r="D195" s="339"/>
      <c r="E195" s="338"/>
      <c r="F195" s="339"/>
      <c r="G195" s="338"/>
      <c r="H195" s="339"/>
      <c r="I195" s="338"/>
      <c r="J195" s="340"/>
      <c r="K195" s="338"/>
      <c r="L195" s="339"/>
      <c r="AD195" s="322"/>
      <c r="AE195" s="338"/>
      <c r="AF195" s="339"/>
      <c r="AG195" s="338"/>
      <c r="AH195" s="339"/>
      <c r="AI195" s="338"/>
      <c r="AJ195" s="339"/>
      <c r="AK195" s="338"/>
      <c r="AL195" s="340"/>
      <c r="AM195" s="338"/>
      <c r="AN195" s="339"/>
    </row>
    <row r="196" spans="1:55" x14ac:dyDescent="0.25">
      <c r="A196" s="317"/>
      <c r="B196" s="9" t="s">
        <v>213</v>
      </c>
      <c r="C196" s="327">
        <f ca="1">INDIRECT(ADDRESS(MATCH($B$175,'ER Act'!$B:$B,0)+20,MATCH(TEXT(DATE(YEAR(MES_CIERRE),ROUNDUP(MONTH(MES_CIERRE)/3,0)*3-2,1),"MMMM"),'ER Act'!$1:$1,0),,,"ER Act"))+INDIRECT(ADDRESS(MATCH($B$175,'ER Act'!$B:$B,0)+20,MATCH(TEXT(DATE(YEAR(MES_CIERRE),ROUNDUP(MONTH(MES_CIERRE)/3,0)*3-1,1),"MMMM"),'ER Act'!$1:$1,0),,,"ER Act"))+INDIRECT(ADDRESS(MATCH($B$175,'ER Act'!$B:$B,0)+20,MATCH(TEXT(DATE(YEAR(MES_CIERRE),ROUNDUP(MONTH(MES_CIERRE)/3,0)*3-0,1),"MMMM"),'ER Act'!$1:$1,0),,,"ER Act"))</f>
        <v>0</v>
      </c>
      <c r="D196" s="343">
        <f ca="1">IF(C178=0,"N.D.",C196/C178)</f>
        <v>0</v>
      </c>
      <c r="E196" s="327">
        <f ca="1">INDIRECT(ADDRESS(MATCH($B$175,'ER Ppto'!$B:$B,0)+20,MATCH(TEXT(DATE(YEAR(MES_CIERRE),ROUNDUP(MONTH(MES_CIERRE)/3,0)*3-2,1),"MMMM"),'ER Ppto'!$1:$1,0),,,"ER Ppto"))+INDIRECT(ADDRESS(MATCH($B$175,'ER Ppto'!$B:$B,0)+20,MATCH(TEXT(DATE(YEAR(MES_CIERRE),ROUNDUP(MONTH(MES_CIERRE)/3,0)*3-1,1),"MMMM"),'ER Ppto'!$1:$1,0),,,"ER Ppto"))+INDIRECT(ADDRESS(MATCH($B$175,'ER Ppto'!$B:$B,0)+20,MATCH(TEXT(DATE(YEAR(MES_CIERRE),ROUNDUP(MONTH(MES_CIERRE)/3,0)*3-0,1),"MMMM"),'ER Ppto'!$1:$1,0),,,"ER Ppto"))</f>
        <v>0</v>
      </c>
      <c r="F196" s="343">
        <f ca="1">IF(E178=0,"N.D.",E196/E178)</f>
        <v>0</v>
      </c>
      <c r="G196" s="327">
        <f ca="1">INDIRECT(ADDRESS(MATCH($B$175,'ER AA'!$B:$B,0)+20,MATCH(TEXT(DATE(YEAR(MES_CIERRE),ROUNDUP(MONTH(MES_CIERRE)/3,0)*3-2,1),"MMMM"),'ER AA'!$1:$1,0),,,"ER AA"))+INDIRECT(ADDRESS(MATCH($B$175,'ER AA'!$B:$B,0)+20,MATCH(TEXT(DATE(YEAR(MES_CIERRE),ROUNDUP(MONTH(MES_CIERRE)/3,0)*3-1,1),"MMMM"),'ER AA'!$1:$1,0),,,"ER AA"))+INDIRECT(ADDRESS(MATCH($B$175,'ER AA'!$B:$B,0)+20,MATCH(TEXT(DATE(YEAR(MES_CIERRE),ROUNDUP(MONTH(MES_CIERRE)/3,0)*3-0,1),"MMMM"),'ER AA'!$1:$1,0),,,"ER AA"))</f>
        <v>0</v>
      </c>
      <c r="H196" s="343">
        <f ca="1">IF(G178=0,"N.D.",G196/G178)</f>
        <v>0</v>
      </c>
      <c r="I196" s="325">
        <f t="shared" ref="I196:I204" ca="1" si="294">C196-E196</f>
        <v>0</v>
      </c>
      <c r="J196" s="326" t="str">
        <f t="shared" ref="J196:J204" ca="1" si="295">IF(E196=0,"N.D.",C196/E196-1)</f>
        <v>N.D.</v>
      </c>
      <c r="K196" s="327">
        <f t="shared" ref="K196:K204" ca="1" si="296">C196-G196</f>
        <v>0</v>
      </c>
      <c r="L196" s="324" t="str">
        <f t="shared" ref="L196:L204" ca="1" si="297">IF(G196=0,"N.D.",C196/G196-1)</f>
        <v>N.D.</v>
      </c>
      <c r="AD196" s="9" t="s">
        <v>213</v>
      </c>
      <c r="AE196" s="327">
        <v>0</v>
      </c>
      <c r="AF196" s="343">
        <f>IF(AE178=0,"N.D.",AE196/AE178)</f>
        <v>0</v>
      </c>
      <c r="AG196" s="327">
        <f ca="1">((INDIRECT(ADDRESS(MATCH($B$175,BDPP!$B:$B,0)+22,MATCH(TEXT(DATE(YEAR(MES_CIERRE),ROUNDUP(MONTH(MES_CIERRE)/3,0)*3,1),"MMMM"),BDPP!$1:$1,0)+1,,,"BDPP")))+(INDIRECT(ADDRESS(MATCH($B$175,BDPP!$B:$B,0)+22,MATCH(TEXT(DATE(YEAR(MES_CIERRE),ROUNDUP(MONTH(MES_CIERRE)/3,0)*3,1),"MMMM"),BDPP!$1:$1,0)+2,,,"BDPP")))+(INDIRECT(ADDRESS(MATCH($B$175,BDPP!$B:$B,0)+22,MATCH(TEXT(DATE(YEAR(MES_CIERRE),ROUNDUP(MONTH(MES_CIERRE)/3,0)*3,1),"MMMM"),BDPP!$1:$1,0)+3,,,"BDPP"))))/1000</f>
        <v>0</v>
      </c>
      <c r="AH196" s="343">
        <f ca="1">IF(AG178=0,"N.D.",AG196/AG178)</f>
        <v>0</v>
      </c>
      <c r="AI196" s="327">
        <f ca="1">INDIRECT(ADDRESS(MATCH($B$175,INDIRECT("'"&amp;IF(MONTH(MES_CIERRE)=12,"ER ACT","ER AA")&amp;"'!$B:$B"),0)+20,MATCH(TEXT(DATE(YEAR(MES_CIERRE),ROUNDUP(MONTH(MES_CIERRE)+1,0),1),"MMMM"),'ER AA'!$1:$1,0),,,IF(MONTH(MES_CIERRE)=12,"ER ACT","ER AA")))+INDIRECT(ADDRESS(MATCH($B$175,INDIRECT("'"&amp;IF(MONTH(MES_CIERRE)=12,"ER ACT","ER AA")&amp;"'!$B:$B"),0)+20,MATCH(TEXT(DATE(YEAR(MES_CIERRE),ROUNDUP(MONTH(MES_CIERRE)+2,0),1),"MMMM"),'ER AA'!$1:$1,0),,,IF(MONTH(MES_CIERRE)=12,"ER ACT","ER AA")))+INDIRECT(ADDRESS(MATCH($B$175,INDIRECT("'"&amp;IF(MONTH(MES_CIERRE)=12,"ER ACT","ER AA")&amp;"'!$B:$B"),0)+20,MATCH(TEXT(DATE(YEAR(MES_CIERRE),ROUNDUP(MONTH(MES_CIERRE)+3,0),1),"MMMM"),'ER AA'!$1:$1,0),,,IF(MONTH(MES_CIERRE)=12,"ER ACT","ER AA")))</f>
        <v>0</v>
      </c>
      <c r="AJ196" s="343">
        <f ca="1">IF(AI178=0,"N.D.",AI196/AI178)</f>
        <v>0</v>
      </c>
      <c r="AK196" s="325">
        <f t="shared" ref="AK196:AK204" ca="1" si="298">AE196-AG196</f>
        <v>0</v>
      </c>
      <c r="AL196" s="326" t="str">
        <f t="shared" ref="AL196:AL204" ca="1" si="299">IF(AG196=0,"N.D.",AE196/AG196-1)</f>
        <v>N.D.</v>
      </c>
      <c r="AM196" s="327">
        <f t="shared" ref="AM196:AM204" ca="1" si="300">AE196-AI196</f>
        <v>0</v>
      </c>
      <c r="AN196" s="324" t="str">
        <f t="shared" ref="AN196:AN204" ca="1" si="301">IF(AI196=0,"N.D.",AE196/AI196-1)</f>
        <v>N.D.</v>
      </c>
    </row>
    <row r="197" spans="1:55" x14ac:dyDescent="0.25">
      <c r="A197" s="317"/>
      <c r="B197" s="9" t="s">
        <v>51</v>
      </c>
      <c r="C197" s="342">
        <f ca="1">INDIRECT(ADDRESS(MATCH($B$175,'ER Act'!$B:$B,0)+21,MATCH(TEXT(DATE(YEAR(MES_CIERRE),ROUNDUP(MONTH(MES_CIERRE)/3,0)*3-2,1),"MMMM"),'ER Act'!$1:$1,0),,,"ER Act"))+INDIRECT(ADDRESS(MATCH($B$175,'ER Act'!$B:$B,0)+21,MATCH(TEXT(DATE(YEAR(MES_CIERRE),ROUNDUP(MONTH(MES_CIERRE)/3,0)*3-1,1),"MMMM"),'ER Act'!$1:$1,0),,,"ER Act"))+INDIRECT(ADDRESS(MATCH($B$175,'ER Act'!$B:$B,0)+21,MATCH(TEXT(DATE(YEAR(MES_CIERRE),ROUNDUP(MONTH(MES_CIERRE)/3,0)*3-0,1),"MMMM"),'ER Act'!$1:$1,0),,,"ER Act"))</f>
        <v>0</v>
      </c>
      <c r="D197" s="345">
        <f ca="1">IF(C178=0,"N.D.",C197/C178)</f>
        <v>0</v>
      </c>
      <c r="E197" s="342">
        <f ca="1">INDIRECT(ADDRESS(MATCH($B$175,'ER Ppto'!$B:$B,0)+21,MATCH(TEXT(DATE(YEAR(MES_CIERRE),ROUNDUP(MONTH(MES_CIERRE)/3,0)*3-2,1),"MMMM"),'ER Ppto'!$1:$1,0),,,"ER Ppto"))+INDIRECT(ADDRESS(MATCH($B$175,'ER Ppto'!$B:$B,0)+21,MATCH(TEXT(DATE(YEAR(MES_CIERRE),ROUNDUP(MONTH(MES_CIERRE)/3,0)*3-1,1),"MMMM"),'ER Ppto'!$1:$1,0),,,"ER Ppto"))+INDIRECT(ADDRESS(MATCH($B$175,'ER Ppto'!$B:$B,0)+21,MATCH(TEXT(DATE(YEAR(MES_CIERRE),ROUNDUP(MONTH(MES_CIERRE)/3,0)*3-0,1),"MMMM"),'ER Ppto'!$1:$1,0),,,"ER Ppto"))</f>
        <v>0</v>
      </c>
      <c r="F197" s="345">
        <f ca="1">IF(E178=0,"N.D.",E197/E178)</f>
        <v>0</v>
      </c>
      <c r="G197" s="342">
        <f ca="1">INDIRECT(ADDRESS(MATCH($B$175,'ER AA'!$B:$B,0)+21,MATCH(TEXT(DATE(YEAR(MES_CIERRE),ROUNDUP(MONTH(MES_CIERRE)/3,0)*3-2,1),"MMMM"),'ER AA'!$1:$1,0),,,"ER AA"))+INDIRECT(ADDRESS(MATCH($B$175,'ER AA'!$B:$B,0)+21,MATCH(TEXT(DATE(YEAR(MES_CIERRE),ROUNDUP(MONTH(MES_CIERRE)/3,0)*3-1,1),"MMMM"),'ER AA'!$1:$1,0),,,"ER AA"))+INDIRECT(ADDRESS(MATCH($B$175,'ER AA'!$B:$B,0)+21,MATCH(TEXT(DATE(YEAR(MES_CIERRE),ROUNDUP(MONTH(MES_CIERRE)/3,0)*3-0,1),"MMMM"),'ER AA'!$1:$1,0),,,"ER AA"))</f>
        <v>0</v>
      </c>
      <c r="H197" s="345">
        <f ca="1">IF(G178=0,"N.D.",G197/G178)</f>
        <v>0</v>
      </c>
      <c r="I197" s="330">
        <f t="shared" ca="1" si="294"/>
        <v>0</v>
      </c>
      <c r="J197" s="331" t="str">
        <f t="shared" ca="1" si="295"/>
        <v>N.D.</v>
      </c>
      <c r="K197" s="342">
        <f t="shared" ca="1" si="296"/>
        <v>0</v>
      </c>
      <c r="L197" s="329" t="str">
        <f t="shared" ca="1" si="297"/>
        <v>N.D.</v>
      </c>
      <c r="AD197" s="9" t="s">
        <v>51</v>
      </c>
      <c r="AE197" s="342">
        <v>0</v>
      </c>
      <c r="AF197" s="345">
        <f>IF(AE178=0,"N.D.",AE197/AE178)</f>
        <v>0</v>
      </c>
      <c r="AG197" s="342">
        <f ca="1">((INDIRECT(ADDRESS(MATCH($B$175,BDPP!$B:$B,0)+23,MATCH(TEXT(DATE(YEAR(MES_CIERRE),ROUNDUP(MONTH(MES_CIERRE)/3,0)*3,1),"MMMM"),BDPP!$1:$1,0)+1,,,"BDPP")))+(INDIRECT(ADDRESS(MATCH($B$175,BDPP!$B:$B,0)+23,MATCH(TEXT(DATE(YEAR(MES_CIERRE),ROUNDUP(MONTH(MES_CIERRE)/3,0)*3,1),"MMMM"),BDPP!$1:$1,0)+2,,,"BDPP")))+(INDIRECT(ADDRESS(MATCH($B$175,BDPP!$B:$B,0)+23,MATCH(TEXT(DATE(YEAR(MES_CIERRE),ROUNDUP(MONTH(MES_CIERRE)/3,0)*3,1),"MMMM"),BDPP!$1:$1,0)+3,,,"BDPP"))))/1000</f>
        <v>0</v>
      </c>
      <c r="AH197" s="345">
        <f ca="1">IF(AG178=0,"N.D.",AG197/AG178)</f>
        <v>0</v>
      </c>
      <c r="AI197" s="342">
        <f ca="1">INDIRECT(ADDRESS(MATCH($B$175,INDIRECT("'"&amp;IF(MONTH(MES_CIERRE)=12,"ER ACT","ER AA")&amp;"'!$B:$B"),0)+21,MATCH(TEXT(DATE(YEAR(MES_CIERRE),ROUNDUP(MONTH(MES_CIERRE)+1,0),1),"MMMM"),'ER AA'!$1:$1,0),,,IF(MONTH(MES_CIERRE)=12,"ER ACT","ER AA")))+INDIRECT(ADDRESS(MATCH($B$175,INDIRECT("'"&amp;IF(MONTH(MES_CIERRE)=12,"ER ACT","ER AA")&amp;"'!$B:$B"),0)+21,MATCH(TEXT(DATE(YEAR(MES_CIERRE),ROUNDUP(MONTH(MES_CIERRE)+2,0),1),"MMMM"),'ER AA'!$1:$1,0),,,IF(MONTH(MES_CIERRE)=12,"ER ACT","ER AA")))+INDIRECT(ADDRESS(MATCH($B$175,INDIRECT("'"&amp;IF(MONTH(MES_CIERRE)=12,"ER ACT","ER AA")&amp;"'!$B:$B"),0)+21,MATCH(TEXT(DATE(YEAR(MES_CIERRE),ROUNDUP(MONTH(MES_CIERRE)+3,0),1),"MMMM"),'ER AA'!$1:$1,0),,,IF(MONTH(MES_CIERRE)=12,"ER ACT","ER AA")))</f>
        <v>0</v>
      </c>
      <c r="AJ197" s="345">
        <f ca="1">IF(AI178=0,"N.D.",AI197/AI178)</f>
        <v>0</v>
      </c>
      <c r="AK197" s="330">
        <f t="shared" ca="1" si="298"/>
        <v>0</v>
      </c>
      <c r="AL197" s="331" t="str">
        <f t="shared" ca="1" si="299"/>
        <v>N.D.</v>
      </c>
      <c r="AM197" s="342">
        <f t="shared" ca="1" si="300"/>
        <v>0</v>
      </c>
      <c r="AN197" s="329" t="str">
        <f t="shared" ca="1" si="301"/>
        <v>N.D.</v>
      </c>
    </row>
    <row r="198" spans="1:55" ht="13" x14ac:dyDescent="0.3">
      <c r="B198" s="87" t="s">
        <v>53</v>
      </c>
      <c r="C198" s="337">
        <f ca="1">+C194-C196-C197</f>
        <v>-29.408000000000147</v>
      </c>
      <c r="D198" s="334">
        <f ca="1">IF(C178=0,"N.D.",C198/C178)</f>
        <v>-3.1740035638465093E-2</v>
      </c>
      <c r="E198" s="337">
        <f ca="1">+E194-E196-E197</f>
        <v>-43.525999999999975</v>
      </c>
      <c r="F198" s="334">
        <f ca="1">IF(E178=0,"N.D.",E198/E178)</f>
        <v>-4.2696576308628553E-2</v>
      </c>
      <c r="G198" s="337">
        <f ca="1">+G194-G196-G197</f>
        <v>-86.861000000000047</v>
      </c>
      <c r="H198" s="334">
        <f ca="1">IF(G178=0,"N.D.",G198/G178)</f>
        <v>-8.7808541976468105E-2</v>
      </c>
      <c r="I198" s="335">
        <f t="shared" ca="1" si="294"/>
        <v>14.117999999999828</v>
      </c>
      <c r="J198" s="336">
        <f t="shared" ca="1" si="295"/>
        <v>-0.32435785507512371</v>
      </c>
      <c r="K198" s="337">
        <f t="shared" ca="1" si="296"/>
        <v>57.452999999999903</v>
      </c>
      <c r="L198" s="334">
        <f t="shared" ca="1" si="297"/>
        <v>-0.66143608754216354</v>
      </c>
      <c r="AD198" s="87" t="s">
        <v>53</v>
      </c>
      <c r="AE198" s="337">
        <f ca="1">+AE194-AE196-AE197</f>
        <v>-55.206340452032236</v>
      </c>
      <c r="AF198" s="334">
        <f ca="1">IF(AE178=0,"N.D.",AE198/AE178)</f>
        <v>-6.0799934418537704E-2</v>
      </c>
      <c r="AG198" s="337">
        <f ca="1">+AG194-AG196-AG197</f>
        <v>-51.336000000000148</v>
      </c>
      <c r="AH198" s="334">
        <f ca="1">IF(AG178=0,"N.D.",AG198/AG178)</f>
        <v>-5.2733165212300037E-2</v>
      </c>
      <c r="AI198" s="337">
        <f ca="1">+AI194-AI196-AI197</f>
        <v>-64.110880000000037</v>
      </c>
      <c r="AJ198" s="334">
        <f ca="1">IF(AI178=0,"N.D.",AI198/AI178)</f>
        <v>-6.6459729672980875E-2</v>
      </c>
      <c r="AK198" s="335">
        <f t="shared" ca="1" si="298"/>
        <v>-3.8703404520320888</v>
      </c>
      <c r="AL198" s="336">
        <f t="shared" ca="1" si="299"/>
        <v>7.5392326087581285E-2</v>
      </c>
      <c r="AM198" s="337">
        <f t="shared" ca="1" si="300"/>
        <v>8.9045395479678007</v>
      </c>
      <c r="AN198" s="334">
        <f t="shared" ca="1" si="301"/>
        <v>-0.13889279866331261</v>
      </c>
    </row>
    <row r="199" spans="1:55" ht="13" x14ac:dyDescent="0.3">
      <c r="A199" s="316"/>
      <c r="B199" s="7" t="s">
        <v>122</v>
      </c>
      <c r="C199" s="337">
        <f ca="1">+C186+C184</f>
        <v>-14.527000000000147</v>
      </c>
      <c r="D199" s="334">
        <f ca="1">IF(C178=0,"N.D.",C199/C178)</f>
        <v>-1.5678981832153997E-2</v>
      </c>
      <c r="E199" s="337">
        <f ca="1">+E186+E184</f>
        <v>-5.8579999999999757</v>
      </c>
      <c r="F199" s="334">
        <f ca="1">IF(E178=0,"N.D.",E199/E178)</f>
        <v>-5.7463709970120196E-3</v>
      </c>
      <c r="G199" s="337">
        <f ca="1">+G186+G184</f>
        <v>-40.850000000000051</v>
      </c>
      <c r="H199" s="334">
        <f ca="1">IF(G178=0,"N.D.",G199/G178)</f>
        <v>-4.129562104671515E-2</v>
      </c>
      <c r="I199" s="335">
        <f t="shared" ca="1" si="294"/>
        <v>-8.669000000000171</v>
      </c>
      <c r="J199" s="336">
        <f t="shared" ca="1" si="295"/>
        <v>1.4798566063503253</v>
      </c>
      <c r="K199" s="337">
        <f t="shared" ca="1" si="296"/>
        <v>26.322999999999904</v>
      </c>
      <c r="L199" s="334">
        <f t="shared" ca="1" si="297"/>
        <v>-0.64438188494491722</v>
      </c>
      <c r="AD199" s="7" t="s">
        <v>122</v>
      </c>
      <c r="AE199" s="337">
        <f ca="1">+AE186+AE184</f>
        <v>-18.206340452032236</v>
      </c>
      <c r="AF199" s="334">
        <f ca="1">IF(AE178=0,"N.D.",AE199/AE178)</f>
        <v>-2.005103574012361E-2</v>
      </c>
      <c r="AG199" s="337">
        <f ca="1">+AG186+AG184</f>
        <v>-13.668000000000148</v>
      </c>
      <c r="AH199" s="334">
        <f ca="1">IF(AG178=0,"N.D.",AG199/AG178)</f>
        <v>-1.4039989522396032E-2</v>
      </c>
      <c r="AI199" s="337">
        <f ca="1">+AI186+AI184</f>
        <v>-17.914260000000041</v>
      </c>
      <c r="AJ199" s="334">
        <f ca="1">IF(AI178=0,"N.D.",AI199/AI178)</f>
        <v>-1.8570590153987848E-2</v>
      </c>
      <c r="AK199" s="335">
        <f t="shared" ca="1" si="298"/>
        <v>-4.538340452032088</v>
      </c>
      <c r="AL199" s="336">
        <f t="shared" ca="1" si="299"/>
        <v>0.3320412973391893</v>
      </c>
      <c r="AM199" s="337">
        <f t="shared" ca="1" si="300"/>
        <v>-0.29208045203219513</v>
      </c>
      <c r="AN199" s="334">
        <f t="shared" ca="1" si="301"/>
        <v>1.6304354856532921E-2</v>
      </c>
    </row>
    <row r="200" spans="1:55" ht="13" x14ac:dyDescent="0.3">
      <c r="A200" s="317"/>
      <c r="B200" s="1" t="s">
        <v>194</v>
      </c>
      <c r="C200" s="373">
        <f ca="1">INDIRECT(ADDRESS(MATCH($B$175,'ER Act'!$B:$B,0)+24,MATCH(TEXT(DATE(YEAR(MES_CIERRE),ROUNDUP(MONTH(MES_CIERRE)/3,0)*3-2,1),"MMMM"),'ER Act'!$1:$1,0),,,"ER Act"))+INDIRECT(ADDRESS(MATCH($B$175,'ER Act'!$B:$B,0)+24,MATCH(TEXT(DATE(YEAR(MES_CIERRE),ROUNDUP(MONTH(MES_CIERRE)/3,0)*3-1,1),"MMMM"),'ER Act'!$1:$1,0),,,"ER Act"))+INDIRECT(ADDRESS(MATCH($B$175,'ER Act'!$B:$B,0)+24,MATCH(TEXT(DATE(YEAR(MES_CIERRE),ROUNDUP(MONTH(MES_CIERRE)/3,0)*3-0,1),"MMMM"),'ER Act'!$1:$1,0),,,"ER Act"))</f>
        <v>0</v>
      </c>
      <c r="D200" s="324">
        <f ca="1">IF(C$178=0, 0, C200/C$178)</f>
        <v>0</v>
      </c>
      <c r="E200" s="447">
        <f ca="1">INDIRECT(ADDRESS(MATCH($B$175,'ER Ppto'!$B:$B,0)+24,MATCH(TEXT(DATE(YEAR(MES_CIERRE),ROUNDUP(MONTH(MES_CIERRE)/3,0)*3-2,1),"MMMM"),'ER Ppto'!$1:$1,0),,,"ER Ppto"))+INDIRECT(ADDRESS(MATCH($B$175,'ER Ppto'!$B:$B,0)+24,MATCH(TEXT(DATE(YEAR(MES_CIERRE),ROUNDUP(MONTH(MES_CIERRE)/3,0)*3-1,1),"MMMM"),'ER Ppto'!$1:$1,0),,,"ER Ppto"))+INDIRECT(ADDRESS(MATCH($B$175,'ER Ppto'!$B:$B,0)+24,MATCH(TEXT(DATE(YEAR(MES_CIERRE),ROUNDUP(MONTH(MES_CIERRE)/3,0)*3-0,1),"MMMM"),'ER Ppto'!$1:$1,0),,,"ER Ppto"))</f>
        <v>0</v>
      </c>
      <c r="F200" s="324">
        <f ca="1">IF(E$178=0, 0, E200/E$178)</f>
        <v>0</v>
      </c>
      <c r="G200" s="447">
        <f ca="1">INDIRECT(ADDRESS(MATCH($B$175,'ER AA'!$B:$B,0)+24,MATCH(TEXT(DATE(YEAR(MES_CIERRE),ROUNDUP(MONTH(MES_CIERRE)/3,0)*3-2,1),"MMMM"),'ER AA'!$1:$1,0),,,"ER AA"))+INDIRECT(ADDRESS(MATCH($B$175,'ER AA'!$B:$B,0)+24,MATCH(TEXT(DATE(YEAR(MES_CIERRE),ROUNDUP(MONTH(MES_CIERRE)/3,0)*3-1,1),"MMMM"),'ER AA'!$1:$1,0),,,"ER AA"))+INDIRECT(ADDRESS(MATCH($B$175,'ER AA'!$B:$B,0)+24,MATCH(TEXT(DATE(YEAR(MES_CIERRE),ROUNDUP(MONTH(MES_CIERRE)/3,0)*3-0,1),"MMMM"),'ER AA'!$1:$1,0),,,"ER AA"))</f>
        <v>0</v>
      </c>
      <c r="H200" s="324">
        <f ca="1">IF(G$178=0, 0, G200/G$178)</f>
        <v>0</v>
      </c>
      <c r="I200" s="370">
        <f t="shared" ca="1" si="294"/>
        <v>0</v>
      </c>
      <c r="J200" s="326" t="str">
        <f t="shared" ca="1" si="295"/>
        <v>N.D.</v>
      </c>
      <c r="K200" s="370">
        <f t="shared" ca="1" si="296"/>
        <v>0</v>
      </c>
      <c r="L200" s="324" t="str">
        <f t="shared" ca="1" si="297"/>
        <v>N.D.</v>
      </c>
      <c r="S200" s="34"/>
      <c r="T200" s="34"/>
      <c r="U200" s="34"/>
      <c r="V200" s="34"/>
      <c r="W200" s="34"/>
      <c r="X200" s="34"/>
      <c r="Y200" s="34"/>
      <c r="Z200" s="34"/>
      <c r="AA200" s="33"/>
      <c r="AD200" s="1" t="s">
        <v>194</v>
      </c>
      <c r="AE200" s="373">
        <v>0</v>
      </c>
      <c r="AF200" s="324">
        <f>IF(AE$178=0, 0, AE200/AE$178)</f>
        <v>0</v>
      </c>
      <c r="AG200" s="447">
        <v>0</v>
      </c>
      <c r="AH200" s="324">
        <f ca="1">IF(AG$178=0, 0, AG200/AG$178)</f>
        <v>0</v>
      </c>
      <c r="AI200" s="447">
        <f ca="1">INDIRECT(ADDRESS(MATCH($B$175,INDIRECT("'"&amp;IF(MONTH(MES_CIERRE)=12,"ER ACT","ER AA")&amp;"'!$B:$B"),0)+24,MATCH(TEXT(DATE(YEAR(MES_CIERRE),ROUNDUP(MONTH(MES_CIERRE)+1,0),1),"MMMM"),'ER AA'!$1:$1,0),,,IF(MONTH(MES_CIERRE)=12,"ER ACT","ER AA")))+INDIRECT(ADDRESS(MATCH($B$175,INDIRECT("'"&amp;IF(MONTH(MES_CIERRE)=12,"ER ACT","ER AA")&amp;"'!$B:$B"),0)+24,MATCH(TEXT(DATE(YEAR(MES_CIERRE),ROUNDUP(MONTH(MES_CIERRE)+2,0),1),"MMMM"),'ER AA'!$1:$1,0),,,IF(MONTH(MES_CIERRE)=12,"ER ACT","ER AA")))+INDIRECT(ADDRESS(MATCH($B$175,INDIRECT("'"&amp;IF(MONTH(MES_CIERRE)=12,"ER ACT","ER AA")&amp;"'!$B:$B"),0)+24,MATCH(TEXT(DATE(YEAR(MES_CIERRE),ROUNDUP(MONTH(MES_CIERRE)+3,0),1),"MMMM"),'ER AA'!$1:$1,0),,,IF(MONTH(MES_CIERRE)=12,"ER ACT","ER AA")))</f>
        <v>0</v>
      </c>
      <c r="AJ200" s="324">
        <f ca="1">IF(AI$178=0, 0, AI200/AI$178)</f>
        <v>0</v>
      </c>
      <c r="AK200" s="370">
        <f t="shared" si="298"/>
        <v>0</v>
      </c>
      <c r="AL200" s="326" t="str">
        <f t="shared" si="299"/>
        <v>N.D.</v>
      </c>
      <c r="AM200" s="370">
        <f t="shared" ca="1" si="300"/>
        <v>0</v>
      </c>
      <c r="AN200" s="324" t="str">
        <f t="shared" ca="1" si="301"/>
        <v>N.D.</v>
      </c>
      <c r="AU200" s="34"/>
      <c r="AV200" s="34"/>
      <c r="AW200" s="34"/>
      <c r="AX200" s="34"/>
      <c r="AY200" s="34"/>
      <c r="AZ200" s="34"/>
      <c r="BA200" s="34"/>
      <c r="BB200" s="34"/>
      <c r="BC200" s="33"/>
    </row>
    <row r="201" spans="1:55" ht="13" x14ac:dyDescent="0.3">
      <c r="A201" s="317"/>
      <c r="B201" s="1" t="s">
        <v>123</v>
      </c>
      <c r="C201" s="408">
        <f ca="1">INDIRECT(ADDRESS(MATCH($B$175,'ER Act'!$B:$B,0)+25,MATCH(TEXT(DATE(YEAR(MES_CIERRE),ROUNDUP(MONTH(MES_CIERRE)/3,0)*3-2,1),"MMMM"),'ER Act'!$1:$1,0),,,"ER Act"))+INDIRECT(ADDRESS(MATCH($B$175,'ER Act'!$B:$B,0)+25,MATCH(TEXT(DATE(YEAR(MES_CIERRE),ROUNDUP(MONTH(MES_CIERRE)/3,0)*3-1,1),"MMMM"),'ER Act'!$1:$1,0),,,"ER Act"))+INDIRECT(ADDRESS(MATCH($B$175,'ER Act'!$B:$B,0)+25,MATCH(TEXT(DATE(YEAR(MES_CIERRE),ROUNDUP(MONTH(MES_CIERRE)/3,0)*3-0,1),"MMMM"),'ER Act'!$1:$1,0),,,"ER Act"))</f>
        <v>0</v>
      </c>
      <c r="D201" s="329">
        <f ca="1">IF(C$178=0, 0, C201/C$178)</f>
        <v>0</v>
      </c>
      <c r="E201" s="448">
        <f ca="1">INDIRECT(ADDRESS(MATCH($B$175,'ER Ppto'!$B:$B,0)+25,MATCH(TEXT(DATE(YEAR(MES_CIERRE),ROUNDUP(MONTH(MES_CIERRE)/3,0)*3-2,1),"MMMM"),'ER Ppto'!$1:$1,0),,,"ER Ppto"))+INDIRECT(ADDRESS(MATCH($B$175,'ER Ppto'!$B:$B,0)+25,MATCH(TEXT(DATE(YEAR(MES_CIERRE),ROUNDUP(MONTH(MES_CIERRE)/3,0)*3-1,1),"MMMM"),'ER Ppto'!$1:$1,0),,,"ER Ppto"))+INDIRECT(ADDRESS(MATCH($B$175,'ER Ppto'!$B:$B,0)+25,MATCH(TEXT(DATE(YEAR(MES_CIERRE),ROUNDUP(MONTH(MES_CIERRE)/3,0)*3-0,1),"MMMM"),'ER Ppto'!$1:$1,0),,,"ER Ppto"))</f>
        <v>0</v>
      </c>
      <c r="F201" s="329">
        <f ca="1">IF(E$178=0, 0, E201/E$178)</f>
        <v>0</v>
      </c>
      <c r="G201" s="448">
        <f ca="1">INDIRECT(ADDRESS(MATCH($B$175,'ER AA'!$B:$B,0)+25,MATCH(TEXT(DATE(YEAR(MES_CIERRE),ROUNDUP(MONTH(MES_CIERRE)/3,0)*3-2,1),"MMMM"),'ER AA'!$1:$1,0),,,"ER AA"))+INDIRECT(ADDRESS(MATCH($B$175,'ER AA'!$B:$B,0)+25,MATCH(TEXT(DATE(YEAR(MES_CIERRE),ROUNDUP(MONTH(MES_CIERRE)/3,0)*3-1,1),"MMMM"),'ER AA'!$1:$1,0),,,"ER AA"))+INDIRECT(ADDRESS(MATCH($B$175,'ER AA'!$B:$B,0)+25,MATCH(TEXT(DATE(YEAR(MES_CIERRE),ROUNDUP(MONTH(MES_CIERRE)/3,0)*3-0,1),"MMMM"),'ER AA'!$1:$1,0),,,"ER AA"))</f>
        <v>0</v>
      </c>
      <c r="H201" s="329">
        <f ca="1">IF(G$178=0, 0, G201/G$178)</f>
        <v>0</v>
      </c>
      <c r="I201" s="371">
        <f t="shared" ca="1" si="294"/>
        <v>0</v>
      </c>
      <c r="J201" s="372" t="str">
        <f t="shared" ca="1" si="295"/>
        <v>N.D.</v>
      </c>
      <c r="K201" s="371">
        <f t="shared" ca="1" si="296"/>
        <v>0</v>
      </c>
      <c r="L201" s="329" t="str">
        <f t="shared" ca="1" si="297"/>
        <v>N.D.</v>
      </c>
      <c r="S201" s="34"/>
      <c r="T201" s="34"/>
      <c r="U201" s="34"/>
      <c r="V201" s="34"/>
      <c r="W201" s="34"/>
      <c r="X201" s="34"/>
      <c r="Y201" s="34"/>
      <c r="Z201" s="34"/>
      <c r="AA201" s="33"/>
      <c r="AD201" s="1" t="s">
        <v>123</v>
      </c>
      <c r="AE201" s="408">
        <v>0</v>
      </c>
      <c r="AF201" s="329">
        <f>IF(AE$178=0, 0, AE201/AE$178)</f>
        <v>0</v>
      </c>
      <c r="AG201" s="448">
        <v>0</v>
      </c>
      <c r="AH201" s="329">
        <f ca="1">IF(AG$178=0, 0, AG201/AG$178)</f>
        <v>0</v>
      </c>
      <c r="AI201" s="448">
        <f ca="1">INDIRECT(ADDRESS(MATCH($B$175,INDIRECT("'"&amp;IF(MONTH(MES_CIERRE)=12,"ER ACT","ER AA")&amp;"'!$B:$B"),0)+25,MATCH(TEXT(DATE(YEAR(MES_CIERRE),ROUNDUP(MONTH(MES_CIERRE)+1,0),1),"MMMM"),'ER AA'!$1:$1,0),,,IF(MONTH(MES_CIERRE)=12,"ER ACT","ER AA")))+INDIRECT(ADDRESS(MATCH($B$175,INDIRECT("'"&amp;IF(MONTH(MES_CIERRE)=12,"ER ACT","ER AA")&amp;"'!$B:$B"),0)+25,MATCH(TEXT(DATE(YEAR(MES_CIERRE),ROUNDUP(MONTH(MES_CIERRE)+2,0),1),"MMMM"),'ER AA'!$1:$1,0),,,IF(MONTH(MES_CIERRE)=12,"ER ACT","ER AA")))+INDIRECT(ADDRESS(MATCH($B$175,INDIRECT("'"&amp;IF(MONTH(MES_CIERRE)=12,"ER ACT","ER AA")&amp;"'!$B:$B"),0)+25,MATCH(TEXT(DATE(YEAR(MES_CIERRE),ROUNDUP(MONTH(MES_CIERRE)+3,0),1),"MMMM"),'ER AA'!$1:$1,0),,,IF(MONTH(MES_CIERRE)=12,"ER ACT","ER AA")))</f>
        <v>0</v>
      </c>
      <c r="AJ201" s="329">
        <f ca="1">IF(AI$178=0, 0, AI201/AI$178)</f>
        <v>0</v>
      </c>
      <c r="AK201" s="371">
        <f t="shared" si="298"/>
        <v>0</v>
      </c>
      <c r="AL201" s="372" t="str">
        <f t="shared" si="299"/>
        <v>N.D.</v>
      </c>
      <c r="AM201" s="371">
        <f t="shared" ca="1" si="300"/>
        <v>0</v>
      </c>
      <c r="AN201" s="329" t="str">
        <f t="shared" ca="1" si="301"/>
        <v>N.D.</v>
      </c>
      <c r="AU201" s="34"/>
      <c r="AV201" s="34"/>
      <c r="AW201" s="34"/>
      <c r="AX201" s="34"/>
      <c r="AY201" s="34"/>
      <c r="AZ201" s="34"/>
      <c r="BA201" s="34"/>
      <c r="BB201" s="34"/>
      <c r="BC201" s="33"/>
    </row>
    <row r="202" spans="1:55" ht="13" x14ac:dyDescent="0.3">
      <c r="A202" s="317"/>
      <c r="B202" s="7" t="s">
        <v>190</v>
      </c>
      <c r="C202" s="410">
        <f ca="1">+C198+C184+C200+C201</f>
        <v>-4.4460000000001472</v>
      </c>
      <c r="D202" s="334">
        <f ca="1">IF(C178=0,"N.D.",C202/C178)</f>
        <v>-4.798564963568409E-3</v>
      </c>
      <c r="E202" s="410">
        <f ca="1">+E198+E184+E200+E201</f>
        <v>0.64600000000002211</v>
      </c>
      <c r="F202" s="334">
        <f ca="1">IF(E178=0,"N.D.",E202/E178)</f>
        <v>6.3368993924033926E-4</v>
      </c>
      <c r="G202" s="410">
        <f ca="1">+G198+G184+G200+G201</f>
        <v>-42.68900000000005</v>
      </c>
      <c r="H202" s="334">
        <f ca="1">IF(G178=0,"N.D.",G202/G178)</f>
        <v>-4.3154682175354293E-2</v>
      </c>
      <c r="I202" s="367">
        <f t="shared" ca="1" si="294"/>
        <v>-5.0920000000001693</v>
      </c>
      <c r="J202" s="368">
        <f t="shared" ca="1" si="295"/>
        <v>-7.882352941176463</v>
      </c>
      <c r="K202" s="369">
        <f t="shared" ca="1" si="296"/>
        <v>38.242999999999903</v>
      </c>
      <c r="L202" s="366">
        <f t="shared" ca="1" si="297"/>
        <v>-0.89585139028789285</v>
      </c>
      <c r="S202" s="34"/>
      <c r="T202" s="34"/>
      <c r="U202" s="34"/>
      <c r="V202" s="34"/>
      <c r="W202" s="34"/>
      <c r="X202" s="34"/>
      <c r="Y202" s="34"/>
      <c r="Z202" s="34"/>
      <c r="AA202" s="33"/>
      <c r="AD202" s="7" t="s">
        <v>190</v>
      </c>
      <c r="AE202" s="410">
        <f ca="1">+AE198+AE184+AE200+AE201</f>
        <v>-11.206340452032236</v>
      </c>
      <c r="AF202" s="334">
        <f ca="1">IF(AE178=0,"N.D.",AE202/AE178)</f>
        <v>-1.2341784638802023E-2</v>
      </c>
      <c r="AG202" s="410">
        <f ca="1">+AG198+AG184+AG200+AG201</f>
        <v>-7.1640000000001507</v>
      </c>
      <c r="AH202" s="334">
        <f ca="1">IF(AG178=0,"N.D.",AG202/AG178)</f>
        <v>-7.3589760710013313E-3</v>
      </c>
      <c r="AI202" s="410">
        <f ca="1">+AI198+AI184+AI200+AI201</f>
        <v>-19.939240000000041</v>
      </c>
      <c r="AJ202" s="334">
        <f ca="1">IF(AI178=0,"N.D.",AI202/AI178)</f>
        <v>-2.0669759957821342E-2</v>
      </c>
      <c r="AK202" s="367">
        <f t="shared" ca="1" si="298"/>
        <v>-4.0423404520320858</v>
      </c>
      <c r="AL202" s="368">
        <f t="shared" ca="1" si="299"/>
        <v>0.56425746119933007</v>
      </c>
      <c r="AM202" s="369">
        <f t="shared" ca="1" si="300"/>
        <v>8.7328995479678042</v>
      </c>
      <c r="AN202" s="366">
        <f t="shared" ca="1" si="301"/>
        <v>-0.43797554711051101</v>
      </c>
      <c r="AU202" s="34"/>
      <c r="AV202" s="34"/>
      <c r="AW202" s="34"/>
      <c r="AX202" s="34"/>
      <c r="AY202" s="34"/>
      <c r="AZ202" s="34"/>
      <c r="BA202" s="34"/>
      <c r="BB202" s="34"/>
      <c r="BC202" s="33"/>
    </row>
    <row r="203" spans="1:55" ht="13" x14ac:dyDescent="0.3">
      <c r="B203" s="7" t="s">
        <v>191</v>
      </c>
      <c r="C203" s="381">
        <f ca="1">INDIRECT(ADDRESS(MATCH($B$175,'ER Act'!$B:$B,0)+27,MATCH(TEXT(DATE(YEAR(MES_CIERRE),ROUNDUP(MONTH(MES_CIERRE)/3,0)*3-2,1),"MMMM"),'ER Act'!$1:$1,0),,,"ER Act"))+INDIRECT(ADDRESS(MATCH($B$175,'ER Act'!$B:$B,0)+27,MATCH(TEXT(DATE(YEAR(MES_CIERRE),ROUNDUP(MONTH(MES_CIERRE)/3,0)*3-1,1),"MMMM"),'ER Act'!$1:$1,0),,,"ER Act"))+INDIRECT(ADDRESS(MATCH($B$175,'ER Act'!$B:$B,0)+27,MATCH(TEXT(DATE(YEAR(MES_CIERRE),ROUNDUP(MONTH(MES_CIERRE)/3,0)*3-0,1),"MMMM"),'ER Act'!$1:$1,0),,,"ER Act"))</f>
        <v>0</v>
      </c>
      <c r="D203" s="329">
        <f ca="1">IF(C$178=0, 0, C203/C$178)</f>
        <v>0</v>
      </c>
      <c r="E203" s="381">
        <f ca="1">INDIRECT(ADDRESS(MATCH($B$175,'ER Ppto'!$B:$B,0)+27,MATCH(TEXT(DATE(YEAR(MES_CIERRE),ROUNDUP(MONTH(MES_CIERRE)/3,0)*3-2,1),"MMMM"),'ER Ppto'!$1:$1,0),,,"ER Ppto"))+INDIRECT(ADDRESS(MATCH($B$175,'ER Ppto'!$B:$B,0)+27,MATCH(TEXT(DATE(YEAR(MES_CIERRE),ROUNDUP(MONTH(MES_CIERRE)/3,0)*3-1,1),"MMMM"),'ER Ppto'!$1:$1,0),,,"ER Ppto"))+INDIRECT(ADDRESS(MATCH($B$175,'ER Ppto'!$B:$B,0)+27,MATCH(TEXT(DATE(YEAR(MES_CIERRE),ROUNDUP(MONTH(MES_CIERRE)/3,0)*3-0,1),"MMMM"),'ER Ppto'!$1:$1,0),,,"ER Ppto"))</f>
        <v>0</v>
      </c>
      <c r="F203" s="329">
        <f ca="1">IF(E$178=0, 0, E203/E$178)</f>
        <v>0</v>
      </c>
      <c r="G203" s="381">
        <f ca="1">INDIRECT(ADDRESS(MATCH($B$175,'ER AA'!$B:$B,0)+27,MATCH(TEXT(DATE(YEAR(MES_CIERRE),ROUNDUP(MONTH(MES_CIERRE)/3,0)*3-2,1),"MMMM"),'ER AA'!$1:$1,0),,,"ER AA"))+INDIRECT(ADDRESS(MATCH($B$175,'ER AA'!$B:$B,0)+27,MATCH(TEXT(DATE(YEAR(MES_CIERRE),ROUNDUP(MONTH(MES_CIERRE)/3,0)*3-1,1),"MMMM"),'ER AA'!$1:$1,0),,,"ER AA"))+INDIRECT(ADDRESS(MATCH($B$175,'ER AA'!$B:$B,0)+27,MATCH(TEXT(DATE(YEAR(MES_CIERRE),ROUNDUP(MONTH(MES_CIERRE)/3,0)*3-0,1),"MMMM"),'ER AA'!$1:$1,0),,,"ER AA"))</f>
        <v>7.2024999999999988</v>
      </c>
      <c r="H203" s="329">
        <f ca="1">IF(G$178=0, 0, G203/G$178)</f>
        <v>7.2810700266576611E-3</v>
      </c>
      <c r="I203" s="335">
        <f t="shared" ca="1" si="294"/>
        <v>0</v>
      </c>
      <c r="J203" s="336" t="str">
        <f t="shared" ca="1" si="295"/>
        <v>N.D.</v>
      </c>
      <c r="K203" s="337">
        <f t="shared" ca="1" si="296"/>
        <v>-7.2024999999999988</v>
      </c>
      <c r="L203" s="334">
        <f t="shared" ca="1" si="297"/>
        <v>-1</v>
      </c>
      <c r="S203" s="34"/>
      <c r="T203" s="34"/>
      <c r="U203" s="34"/>
      <c r="V203" s="34"/>
      <c r="W203" s="34"/>
      <c r="X203" s="34"/>
      <c r="Y203" s="34"/>
      <c r="Z203" s="34"/>
      <c r="AA203" s="33"/>
      <c r="AD203" s="7" t="s">
        <v>191</v>
      </c>
      <c r="AE203" s="381">
        <v>0</v>
      </c>
      <c r="AF203" s="329">
        <f>IF(AE$178=0, 0, AE203/AE$178)</f>
        <v>0</v>
      </c>
      <c r="AG203" s="381">
        <f ca="1">+C203</f>
        <v>0</v>
      </c>
      <c r="AH203" s="329">
        <f ca="1">IF(AG$178=0, 0, AG203/AG$178)</f>
        <v>0</v>
      </c>
      <c r="AI203" s="381">
        <f ca="1">INDIRECT(ADDRESS(MATCH($B$175,INDIRECT("'"&amp;IF(MONTH(MES_CIERRE)=12,"ER ACT","ER AA")&amp;"'!$B:$B"),0)+27,MATCH(TEXT(DATE(YEAR(MES_CIERRE),ROUNDUP(MONTH(MES_CIERRE)/3,0)*3-2,1),"MMMM"),'ER AA'!$1:$1,0),,,IF(MONTH(MES_CIERRE)=12,"ER ACT","ER AA")))+INDIRECT(ADDRESS(MATCH($B$175,INDIRECT("'"&amp;IF(MONTH(MES_CIERRE)=12,"ER ACT","ER AA")&amp;"'!$B:$B"),0)+27,MATCH(TEXT(DATE(YEAR(MES_CIERRE),ROUNDUP(MONTH(MES_CIERRE)/3,0)*3-1,1),"MMMM"),'ER AA'!$1:$1,0),,,IF(MONTH(MES_CIERRE)=12,"ER ACT","ER AA")))+INDIRECT(ADDRESS(MATCH($B$175,INDIRECT("'"&amp;IF(MONTH(MES_CIERRE)=12,"ER ACT","ER AA")&amp;"'!$B:$B"),0)+27,MATCH(TEXT(DATE(YEAR(MES_CIERRE),ROUNDUP(MONTH(MES_CIERRE)/3,0)*3-0,1),"MMMM"),'ER AA'!$1:$1,0),,,IF(MONTH(MES_CIERRE)=12,"ER ACT","ER AA")))</f>
        <v>7.2024999999999988</v>
      </c>
      <c r="AJ203" s="329">
        <f ca="1">IF(AI$178=0, 0, AI203/AI$178)</f>
        <v>7.4663801677600497E-3</v>
      </c>
      <c r="AK203" s="335">
        <f t="shared" ca="1" si="298"/>
        <v>0</v>
      </c>
      <c r="AL203" s="336" t="str">
        <f t="shared" ca="1" si="299"/>
        <v>N.D.</v>
      </c>
      <c r="AM203" s="337">
        <f t="shared" ca="1" si="300"/>
        <v>-7.2024999999999988</v>
      </c>
      <c r="AN203" s="334">
        <f t="shared" ca="1" si="301"/>
        <v>-1</v>
      </c>
      <c r="AU203" s="34"/>
      <c r="AV203" s="34"/>
      <c r="AW203" s="34"/>
      <c r="AX203" s="34"/>
      <c r="AY203" s="34"/>
      <c r="AZ203" s="34"/>
      <c r="BA203" s="34"/>
      <c r="BB203" s="34"/>
      <c r="BC203" s="33"/>
    </row>
    <row r="204" spans="1:55" ht="13" x14ac:dyDescent="0.3">
      <c r="A204" s="316"/>
      <c r="B204" s="7" t="s">
        <v>84</v>
      </c>
      <c r="C204" s="381">
        <f ca="1">C202-C203</f>
        <v>-4.4460000000001472</v>
      </c>
      <c r="D204" s="334">
        <f ca="1">IF(C178=0,"N.D.",C204/C178)</f>
        <v>-4.798564963568409E-3</v>
      </c>
      <c r="E204" s="381">
        <f ca="1">E202-E203</f>
        <v>0.64600000000002211</v>
      </c>
      <c r="F204" s="334">
        <f ca="1">IF(E178=0,"N.D.",E204/E178)</f>
        <v>6.3368993924033926E-4</v>
      </c>
      <c r="G204" s="381">
        <f ca="1">G202-G203</f>
        <v>-49.89150000000005</v>
      </c>
      <c r="H204" s="334">
        <f ca="1">IF(G178=0,"N.D.",G204/G178)</f>
        <v>-5.0435752202011956E-2</v>
      </c>
      <c r="I204" s="335">
        <f t="shared" ca="1" si="294"/>
        <v>-5.0920000000001693</v>
      </c>
      <c r="J204" s="336">
        <f t="shared" ca="1" si="295"/>
        <v>-7.882352941176463</v>
      </c>
      <c r="K204" s="337">
        <f t="shared" ca="1" si="296"/>
        <v>45.445499999999903</v>
      </c>
      <c r="L204" s="334">
        <f t="shared" ca="1" si="297"/>
        <v>-0.91088662397402076</v>
      </c>
      <c r="S204" s="34"/>
      <c r="T204" s="34"/>
      <c r="U204" s="34"/>
      <c r="V204" s="34"/>
      <c r="W204" s="34"/>
      <c r="X204" s="34"/>
      <c r="Y204" s="34"/>
      <c r="Z204" s="34"/>
      <c r="AA204" s="33"/>
      <c r="AD204" s="7" t="s">
        <v>84</v>
      </c>
      <c r="AE204" s="381">
        <f ca="1">AE202-AE203</f>
        <v>-11.206340452032236</v>
      </c>
      <c r="AF204" s="334">
        <f ca="1">IF(AE178=0,"N.D.",AE204/AE178)</f>
        <v>-1.2341784638802023E-2</v>
      </c>
      <c r="AG204" s="381">
        <f ca="1">AG202-AG203</f>
        <v>-7.1640000000001507</v>
      </c>
      <c r="AH204" s="334">
        <f ca="1">IF(AG178=0,"N.D.",AG204/AG178)</f>
        <v>-7.3589760710013313E-3</v>
      </c>
      <c r="AI204" s="381">
        <f ca="1">AI202-AI203</f>
        <v>-27.141740000000041</v>
      </c>
      <c r="AJ204" s="334">
        <f ca="1">IF(AI178=0,"N.D.",AI204/AI178)</f>
        <v>-2.8136140125581396E-2</v>
      </c>
      <c r="AK204" s="335">
        <f t="shared" ca="1" si="298"/>
        <v>-4.0423404520320858</v>
      </c>
      <c r="AL204" s="336">
        <f t="shared" ca="1" si="299"/>
        <v>0.56425746119933007</v>
      </c>
      <c r="AM204" s="337">
        <f t="shared" ca="1" si="300"/>
        <v>15.935399547967805</v>
      </c>
      <c r="AN204" s="334">
        <f t="shared" ca="1" si="301"/>
        <v>-0.58711783209063895</v>
      </c>
      <c r="AU204" s="34"/>
      <c r="AV204" s="34"/>
      <c r="AW204" s="34"/>
      <c r="AX204" s="34"/>
      <c r="AY204" s="34"/>
      <c r="AZ204" s="34"/>
      <c r="BA204" s="34"/>
      <c r="BB204" s="34"/>
      <c r="BC204" s="33"/>
    </row>
    <row r="205" spans="1:55" ht="13" x14ac:dyDescent="0.3">
      <c r="A205" s="316"/>
      <c r="B205" s="1" t="s">
        <v>193</v>
      </c>
      <c r="C205" s="412" t="str">
        <f ca="1">IF(C203=0,"N.D.",(C202-C200-C201)/C203)</f>
        <v>N.D.</v>
      </c>
      <c r="E205" s="412" t="str">
        <f ca="1">IF(E203=0,"N.D.",(E202-E200-E201)/E203)</f>
        <v>N.D.</v>
      </c>
      <c r="G205" s="412">
        <f ca="1">IF(G203=0,"N.D.",(G202-G200-G201)/G203)</f>
        <v>-5.9269698021520387</v>
      </c>
      <c r="S205" s="34"/>
      <c r="T205" s="34"/>
      <c r="U205" s="34"/>
      <c r="V205" s="34"/>
      <c r="W205" s="34"/>
      <c r="X205" s="34"/>
      <c r="Y205" s="34"/>
      <c r="Z205" s="34"/>
      <c r="AA205" s="33"/>
      <c r="AD205" s="1" t="s">
        <v>193</v>
      </c>
      <c r="AE205" s="412" t="str">
        <f>IF(AE203=0,"N.D.",(AE202-AE200-AE201)/AE203)</f>
        <v>N.D.</v>
      </c>
      <c r="AG205" s="412" t="str">
        <f ca="1">IF(AG203=0,"N.D.",(AG202-AG200-AG201)/AG203)</f>
        <v>N.D.</v>
      </c>
      <c r="AI205" s="412">
        <f ca="1">IF(AI203=0,"N.D.",(AI202-AI200-AI201)/AI203)</f>
        <v>-2.7683776466504746</v>
      </c>
      <c r="AU205" s="34"/>
      <c r="AV205" s="34"/>
      <c r="AW205" s="34"/>
      <c r="AX205" s="34"/>
      <c r="AY205" s="34"/>
      <c r="AZ205" s="34"/>
      <c r="BA205" s="34"/>
      <c r="BB205" s="34"/>
      <c r="BC205" s="33"/>
    </row>
    <row r="206" spans="1:55" x14ac:dyDescent="0.25">
      <c r="A206" s="316"/>
    </row>
    <row r="207" spans="1:55" x14ac:dyDescent="0.25">
      <c r="A207" s="316"/>
    </row>
    <row r="208" spans="1:55" x14ac:dyDescent="0.25">
      <c r="A208" s="316"/>
    </row>
    <row r="209" spans="1:40" ht="13" x14ac:dyDescent="0.3">
      <c r="A209" s="316"/>
      <c r="B209" s="277" t="s">
        <v>340</v>
      </c>
      <c r="C209" s="319"/>
      <c r="D209" s="320"/>
      <c r="E209" s="319"/>
      <c r="F209" s="320"/>
      <c r="G209" s="319"/>
      <c r="H209" s="320"/>
      <c r="I209" s="319"/>
      <c r="J209" s="320"/>
      <c r="K209" s="319"/>
      <c r="L209" s="320"/>
      <c r="AD209" s="386" t="str">
        <f>+B209</f>
        <v>REAL ESTATE</v>
      </c>
      <c r="AE209" s="319"/>
      <c r="AF209" s="320"/>
      <c r="AG209" s="319"/>
      <c r="AH209" s="320"/>
      <c r="AI209" s="319"/>
      <c r="AJ209" s="320"/>
      <c r="AK209" s="319"/>
      <c r="AL209" s="320"/>
      <c r="AM209" s="319"/>
      <c r="AN209" s="320"/>
    </row>
    <row r="210" spans="1:40" ht="13" x14ac:dyDescent="0.3">
      <c r="A210" s="316"/>
      <c r="B210" s="318" t="s">
        <v>430</v>
      </c>
      <c r="C210" s="319"/>
      <c r="D210" s="320"/>
      <c r="E210" s="319"/>
      <c r="F210" s="320"/>
      <c r="G210" s="319"/>
      <c r="H210" s="320"/>
      <c r="I210" s="319"/>
      <c r="J210" s="320"/>
      <c r="K210" s="319"/>
      <c r="L210" s="320"/>
      <c r="AD210" s="318" t="s">
        <v>431</v>
      </c>
      <c r="AE210" s="319"/>
      <c r="AF210" s="320"/>
      <c r="AG210" s="319"/>
      <c r="AH210" s="320"/>
      <c r="AI210" s="319"/>
      <c r="AJ210" s="320"/>
      <c r="AK210" s="319"/>
      <c r="AL210" s="320"/>
      <c r="AM210" s="319"/>
      <c r="AN210" s="320"/>
    </row>
    <row r="211" spans="1:40" ht="13" x14ac:dyDescent="0.3">
      <c r="A211" s="316"/>
      <c r="B211" s="319"/>
      <c r="C211" s="390" t="s">
        <v>0</v>
      </c>
      <c r="D211" s="321"/>
      <c r="E211" s="390" t="s">
        <v>4</v>
      </c>
      <c r="F211" s="321"/>
      <c r="G211" s="390" t="s">
        <v>9</v>
      </c>
      <c r="H211" s="321"/>
      <c r="I211" s="390" t="s">
        <v>6</v>
      </c>
      <c r="J211" s="321"/>
      <c r="K211" s="390" t="s">
        <v>7</v>
      </c>
      <c r="L211" s="320"/>
      <c r="AD211" s="319"/>
      <c r="AE211" s="390" t="s">
        <v>0</v>
      </c>
      <c r="AF211" s="321"/>
      <c r="AG211" s="390" t="s">
        <v>4</v>
      </c>
      <c r="AH211" s="321"/>
      <c r="AI211" s="390" t="s">
        <v>9</v>
      </c>
      <c r="AJ211" s="321"/>
      <c r="AK211" s="390" t="s">
        <v>6</v>
      </c>
      <c r="AL211" s="321"/>
      <c r="AM211" s="390" t="s">
        <v>7</v>
      </c>
      <c r="AN211" s="320"/>
    </row>
    <row r="212" spans="1:40" x14ac:dyDescent="0.25">
      <c r="A212" s="316"/>
      <c r="B212" s="322" t="s">
        <v>38</v>
      </c>
      <c r="C212" s="323">
        <f ca="1">INDIRECT(ADDRESS(MATCH($B$209,'ER Act'!$B:$B,0)+1,MATCH(TEXT(DATE(YEAR(MES_CIERRE),ROUNDUP(MONTH(MES_CIERRE)/3,0)*3-2,1),"MMMM"),'ER Act'!$1:$1,0),,,"ER Act"))+INDIRECT(ADDRESS(MATCH($B$209,'ER Act'!$B:$B,0)+1,MATCH(TEXT(DATE(YEAR(MES_CIERRE),ROUNDUP(MONTH(MES_CIERRE)/3,0)*3-1,1),"MMMM"),'ER Act'!$1:$1,0),,,"ER Act"))+INDIRECT(ADDRESS(MATCH($B$209,'ER Act'!$B:$B,0)+1,MATCH(TEXT(DATE(YEAR(MES_CIERRE),ROUNDUP(MONTH(MES_CIERRE)/3,0)*3-0,1),"MMMM"),'ER Act'!$1:$1,0),,,"ER Act"))</f>
        <v>367.43200000000002</v>
      </c>
      <c r="D212" s="324">
        <f ca="1">IF(C212=0,"N.D.",C212/C212)</f>
        <v>1</v>
      </c>
      <c r="E212" s="323">
        <f ca="1">INDIRECT(ADDRESS(MATCH($B$209,'ER Ppto'!$B:$B,0)+1,MATCH(TEXT(DATE(YEAR(MES_CIERRE),ROUNDUP(MONTH(MES_CIERRE)/3,0)*3-2,1),"MMMM"),'ER Ppto'!$1:$1,0),,,"ER Ppto"))+INDIRECT(ADDRESS(MATCH($B$209,'ER Ppto'!$B:$B,0)+1,MATCH(TEXT(DATE(YEAR(MES_CIERRE),ROUNDUP(MONTH(MES_CIERRE)/3,0)*3-1,1),"MMMM"),'ER Ppto'!$1:$1,0),,,"ER Ppto"))+INDIRECT(ADDRESS(MATCH($B$209,'ER Ppto'!$B:$B,0)+1,MATCH(TEXT(DATE(YEAR(MES_CIERRE),ROUNDUP(MONTH(MES_CIERRE)/3,0)*3-0,1),"MMMM"),'ER Ppto'!$1:$1,0),,,"ER Ppto"))</f>
        <v>348.9</v>
      </c>
      <c r="F212" s="324">
        <f ca="1">IF(E$43=0, 0, E212/$E$43)</f>
        <v>0.40469065349015237</v>
      </c>
      <c r="G212" s="323">
        <f ca="1">INDIRECT(ADDRESS(MATCH($B$209,'ER AA'!$B:$B,0)+1,MATCH(TEXT(DATE(YEAR(MES_CIERRE),ROUNDUP(MONTH(MES_CIERRE)/3,0)*3-2,1),"MMMM"),'ER AA'!$1:$1,0),,,"ER AA"))+INDIRECT(ADDRESS(MATCH($B$209,'ER AA'!$B:$B,0)+1,MATCH(TEXT(DATE(YEAR(MES_CIERRE),ROUNDUP(MONTH(MES_CIERRE)/3,0)*3-1,1),"MMMM"),'ER AA'!$1:$1,0),,,"ER AA"))+INDIRECT(ADDRESS(MATCH($B$209,'ER AA'!$B:$B,0)+1,MATCH(TEXT(DATE(YEAR(MES_CIERRE),ROUNDUP(MONTH(MES_CIERRE)/3,0)*3-0,1),"MMMM"),'ER AA'!$1:$1,0),,,"ER AA"))</f>
        <v>361.851</v>
      </c>
      <c r="H212" s="324">
        <f ca="1">IF(G$75=0, 0, G212/$G$75)</f>
        <v>0.40304636941823813</v>
      </c>
      <c r="I212" s="325">
        <f ca="1">C212-E212</f>
        <v>18.532000000000039</v>
      </c>
      <c r="J212" s="326">
        <f ca="1">IF(E212=0,"N.D.",C212/E212-1)</f>
        <v>5.3115505875609204E-2</v>
      </c>
      <c r="K212" s="327">
        <f ca="1">C212-G212</f>
        <v>5.5810000000000173</v>
      </c>
      <c r="L212" s="324">
        <f ca="1">IF(G212=0,"N.D.",C212/G212-1)</f>
        <v>1.54234754083864E-2</v>
      </c>
      <c r="Y212" s="118" t="s">
        <v>499</v>
      </c>
      <c r="Z212" s="118"/>
      <c r="AA212" s="527"/>
      <c r="AB212" s="118"/>
      <c r="AC212" s="528"/>
      <c r="AD212" s="322" t="s">
        <v>38</v>
      </c>
      <c r="AE212" s="526">
        <v>307</v>
      </c>
      <c r="AF212" s="324">
        <f>IF(AE212=0,"N.D.",AE212/AE212)</f>
        <v>1</v>
      </c>
      <c r="AG212" s="526">
        <f ca="1">((INDIRECT(ADDRESS(MATCH($B$209,BDPP!$B:$B,0)+6,MATCH(TEXT(DATE(YEAR(MES_CIERRE),ROUNDUP(MONTH(MES_CIERRE)/3,0)*3,1),"MMMM"),BDPP!$1:$1,0)+1,,,"BDPP")))++(INDIRECT(ADDRESS(MATCH($B$209,BDPP!$B:$B,0)+6,MATCH(TEXT(DATE(YEAR(MES_CIERRE),ROUNDUP(MONTH(MES_CIERRE)/3,0)*3,1),"MMMM"),BDPP!$1:$1,0)+2,,,"BDPP")))+(INDIRECT(ADDRESS(MATCH($B$209,BDPP!$B:$B,0)+6,MATCH(TEXT(DATE(YEAR(MES_CIERRE),ROUNDUP(MONTH(MES_CIERRE)/3,0)*3,1),"MMMM"),BDPP!$1:$1,0)+3,,,"BDPP"))))/1000</f>
        <v>349</v>
      </c>
      <c r="AH212" s="324">
        <f ca="1">IF(AG212=0,"N.D.",AG212/AG212)</f>
        <v>1</v>
      </c>
      <c r="AI212" s="323">
        <f ca="1">INDIRECT(ADDRESS(MATCH($B$209,INDIRECT("'"&amp;IF(MONTH(MES_CIERRE)=12,"ER ACT","ER AA")&amp;"'!$B:$B"),0)+1,MATCH(TEXT(DATE(YEAR(MES_CIERRE),ROUNDUP(MONTH(MES_CIERRE)+1,0),1),"MMMM"),'ER AA'!$1:$1,0),,,IF(MONTH(MES_CIERRE)=12,"ER ACT","ER AA")))+INDIRECT(ADDRESS(MATCH($B$209,INDIRECT("'"&amp;IF(MONTH(MES_CIERRE)=12,"ER ACT","ER AA")&amp;"'!$B:$B"),0)+1,MATCH(TEXT(DATE(YEAR(MES_CIERRE),ROUNDUP(MONTH(MES_CIERRE)+2,0),1),"MMMM"),'ER AA'!$1:$1,0),,,IF(MONTH(MES_CIERRE)=12,"ER ACT","ER AA")))+INDIRECT(ADDRESS(MATCH($B$209,INDIRECT("'"&amp;IF(MONTH(MES_CIERRE)=12,"ER ACT","ER AA")&amp;"'!$B:$B"),0)+1,MATCH(TEXT(DATE(YEAR(MES_CIERRE),ROUNDUP(MONTH(MES_CIERRE)+3,0),1),"MMMM"),'ER AA'!$1:$1,0),,,IF(MONTH(MES_CIERRE)=12,"ER ACT","ER AA")))</f>
        <v>352.86912000000001</v>
      </c>
      <c r="AJ212" s="324">
        <f ca="1">IF(AI212=0,"N.D.",AI212/AI212)</f>
        <v>1</v>
      </c>
      <c r="AK212" s="325">
        <f ca="1">AE212-AG212</f>
        <v>-42</v>
      </c>
      <c r="AL212" s="326">
        <f ca="1">IF(AG212=0,"N.D.",AE212/AG212-1)</f>
        <v>-0.12034383954154726</v>
      </c>
      <c r="AM212" s="327">
        <f ca="1">AE212-AI212</f>
        <v>-45.869120000000009</v>
      </c>
      <c r="AN212" s="324">
        <f ca="1">IF(AI212=0,"N.D.",AE212/AI212-1)</f>
        <v>-0.12998904523014088</v>
      </c>
    </row>
    <row r="213" spans="1:40" x14ac:dyDescent="0.25">
      <c r="A213" s="316"/>
      <c r="B213" s="322" t="s">
        <v>39</v>
      </c>
      <c r="C213" s="328">
        <f ca="1">INDIRECT(ADDRESS(MATCH($B$209,'ER Act'!$B:$B,0)+2,MATCH(TEXT(DATE(YEAR(MES_CIERRE),ROUNDUP(MONTH(MES_CIERRE)/3,0)*3-2,1),"MMMM"),'ER Act'!$1:$1,0),,,"ER Act"))+INDIRECT(ADDRESS(MATCH($B$209,'ER Act'!$B:$B,0)+2,MATCH(TEXT(DATE(YEAR(MES_CIERRE),ROUNDUP(MONTH(MES_CIERRE)/3,0)*3-1,1),"MMMM"),'ER Act'!$1:$1,0),,,"ER Act"))+INDIRECT(ADDRESS(MATCH($B$209,'ER Act'!$B:$B,0)+2,MATCH(TEXT(DATE(YEAR(MES_CIERRE),ROUNDUP(MONTH(MES_CIERRE)/3,0)*3-0,1),"MMMM"),'ER Act'!$1:$1,0),,,"ER Act"))</f>
        <v>0</v>
      </c>
      <c r="D213" s="329">
        <f ca="1">IF(C212=0,"N.D.",C213/C212)</f>
        <v>0</v>
      </c>
      <c r="E213" s="328">
        <f ca="1">INDIRECT(ADDRESS(MATCH($B$209,'ER Ppto'!$B:$B,0)+2,MATCH(TEXT(DATE(YEAR(MES_CIERRE),ROUNDUP(MONTH(MES_CIERRE)/3,0)*3-2,1),"MMMM"),'ER Ppto'!$1:$1,0),,,"ER Ppto"))+INDIRECT(ADDRESS(MATCH($B$209,'ER Ppto'!$B:$B,0)+2,MATCH(TEXT(DATE(YEAR(MES_CIERRE),ROUNDUP(MONTH(MES_CIERRE)/3,0)*3-1,1),"MMMM"),'ER Ppto'!$1:$1,0),,,"ER Ppto"))+INDIRECT(ADDRESS(MATCH($B$209,'ER Ppto'!$B:$B,0)+2,MATCH(TEXT(DATE(YEAR(MES_CIERRE),ROUNDUP(MONTH(MES_CIERRE)/3,0)*3-0,1),"MMMM"),'ER Ppto'!$1:$1,0),,,"ER Ppto"))</f>
        <v>0</v>
      </c>
      <c r="F213" s="329">
        <f ca="1">IF(E$43=0, 0, E213/$E$43)</f>
        <v>0</v>
      </c>
      <c r="G213" s="328">
        <f ca="1">INDIRECT(ADDRESS(MATCH($B$209,'ER AA'!$B:$B,0)+2,MATCH(TEXT(DATE(YEAR(MES_CIERRE),ROUNDUP(MONTH(MES_CIERRE)/3,0)*3-2,1),"MMMM"),'ER AA'!$1:$1,0),,,"ER AA"))+INDIRECT(ADDRESS(MATCH($B$209,'ER AA'!$B:$B,0)+2,MATCH(TEXT(DATE(YEAR(MES_CIERRE),ROUNDUP(MONTH(MES_CIERRE)/3,0)*3-1,1),"MMMM"),'ER AA'!$1:$1,0),,,"ER AA"))+INDIRECT(ADDRESS(MATCH($B$209,'ER AA'!$B:$B,0)+2,MATCH(TEXT(DATE(YEAR(MES_CIERRE),ROUNDUP(MONTH(MES_CIERRE)/3,0)*3-0,1),"MMMM"),'ER AA'!$1:$1,0),,,"ER AA"))</f>
        <v>0</v>
      </c>
      <c r="H213" s="329">
        <f ca="1">IF(G$75=0, 0, G213/$G$75)</f>
        <v>0</v>
      </c>
      <c r="I213" s="330">
        <f ca="1">C213-E213</f>
        <v>0</v>
      </c>
      <c r="J213" s="331" t="str">
        <f ca="1">IF(E213=0,"N.D.",C213/E213-1)</f>
        <v>N.D.</v>
      </c>
      <c r="K213" s="328">
        <f ca="1">C213-G213</f>
        <v>0</v>
      </c>
      <c r="L213" s="329" t="str">
        <f ca="1">IF(G213=0,"N.D.",C213/G213-1)</f>
        <v>N.D.</v>
      </c>
      <c r="AD213" s="322" t="s">
        <v>39</v>
      </c>
      <c r="AE213" s="328">
        <v>0</v>
      </c>
      <c r="AF213" s="329">
        <f>IF(AE212=0,"N.D.",AE213/AE212)</f>
        <v>0</v>
      </c>
      <c r="AG213" s="328">
        <f ca="1">((INDIRECT(ADDRESS(MATCH($B$209,BDPP!$B:$B,0)+7,MATCH(TEXT(DATE(YEAR(MES_CIERRE),ROUNDUP(MONTH(MES_CIERRE)/3,0)*3,1),"MMMM"),BDPP!$1:$1,0)+1,,,"BDPP")))+(INDIRECT(ADDRESS(MATCH($B$209,BDPP!$B:$B,0)+7,MATCH(TEXT(DATE(YEAR(MES_CIERRE),ROUNDUP(MONTH(MES_CIERRE)/3,0)*3,1),"MMMM"),BDPP!$1:$1,0)+2,,,"BDPP")))+(INDIRECT(ADDRESS(MATCH($B$209,BDPP!$B:$B,0)+7,MATCH(TEXT(DATE(YEAR(MES_CIERRE),ROUNDUP(MONTH(MES_CIERRE)/3,0)*3,1),"MMMM"),BDPP!$1:$1,0)+3,,,"BDPP"))))/1000</f>
        <v>0</v>
      </c>
      <c r="AH213" s="329">
        <f ca="1">IF(AG212=0,"N.D.",AG213/AG212)</f>
        <v>0</v>
      </c>
      <c r="AI213" s="328">
        <f ca="1">INDIRECT(ADDRESS(MATCH($B$209,INDIRECT("'"&amp;IF(MONTH(MES_CIERRE)=12,"ER ACT","ER AA")&amp;"'!$B:$B"),0)+2,MATCH(TEXT(DATE(YEAR(MES_CIERRE),ROUNDUP(MONTH(MES_CIERRE)+1,0),1),"MMMM"),'ER AA'!$1:$1,0),,,IF(MONTH(MES_CIERRE)=12,"ER ACT","ER AA")))+INDIRECT(ADDRESS(MATCH($B$209,INDIRECT("'"&amp;IF(MONTH(MES_CIERRE)=12,"ER ACT","ER AA")&amp;"'!$B:$B"),0)+2,MATCH(TEXT(DATE(YEAR(MES_CIERRE),ROUNDUP(MONTH(MES_CIERRE)+2,0),1),"MMMM"),'ER AA'!$1:$1,0),,,IF(MONTH(MES_CIERRE)=12,"ER ACT","ER AA")))+INDIRECT(ADDRESS(MATCH($B$209,INDIRECT("'"&amp;IF(MONTH(MES_CIERRE)=12,"ER ACT","ER AA")&amp;"'!$B:$B"),0)+2,MATCH(TEXT(DATE(YEAR(MES_CIERRE),ROUNDUP(MONTH(MES_CIERRE)+3,0),1),"MMMM"),'ER AA'!$1:$1,0),,,IF(MONTH(MES_CIERRE)=12,"ER ACT","ER AA")))+INDIRECT(ADDRESS(MATCH($B$209,INDIRECT("'"&amp;IF(MONTH(MES_CIERRE)=12,"ER ACT","ER AA")&amp;"'!$B:$B"),0)+3,MATCH(TEXT(DATE(YEAR(MES_CIERRE),ROUNDUP(MONTH(MES_CIERRE)+1,0),1),"MMMM"),'ER AA'!$1:$1,0),,,IF(MONTH(MES_CIERRE)=12,"ER ACT","ER AA")))+INDIRECT(ADDRESS(MATCH($B$209,INDIRECT("'"&amp;IF(MONTH(MES_CIERRE)=12,"ER ACT","ER AA")&amp;"'!$B:$B"),0)+3,MATCH(TEXT(DATE(YEAR(MES_CIERRE),ROUNDUP(MONTH(MES_CIERRE)+2,0),1),"MMMM"),'ER AA'!$1:$1,0),,,IF(MONTH(MES_CIERRE)=12,"ER ACT","ER AA")))+INDIRECT(ADDRESS(MATCH($B$209,INDIRECT("'"&amp;IF(MONTH(MES_CIERRE)=12,"ER ACT","ER AA")&amp;"'!$B:$B"),0)+3,MATCH(TEXT(DATE(YEAR(MES_CIERRE),ROUNDUP(MONTH(MES_CIERRE)+3,0),1),"MMMM"),'ER AA'!$1:$1,0),,,IF(MONTH(MES_CIERRE)=12,"ER ACT","ER AA")))</f>
        <v>0</v>
      </c>
      <c r="AJ213" s="329">
        <f ca="1">IF(AI212=0,"N.D.",AI213/AI212)</f>
        <v>0</v>
      </c>
      <c r="AK213" s="330">
        <f ca="1">AE213-AG213</f>
        <v>0</v>
      </c>
      <c r="AL213" s="331" t="str">
        <f ca="1">IF(AG213=0,"N.D.",AE213/AG213-1)</f>
        <v>N.D.</v>
      </c>
      <c r="AM213" s="328">
        <f ca="1">AE213-AI213</f>
        <v>0</v>
      </c>
      <c r="AN213" s="329" t="str">
        <f ca="1">IF(AI213=0,"N.D.",AE213/AI213-1)</f>
        <v>N.D.</v>
      </c>
    </row>
    <row r="214" spans="1:40" ht="13" x14ac:dyDescent="0.3">
      <c r="A214" s="316"/>
      <c r="B214" s="332" t="s">
        <v>40</v>
      </c>
      <c r="C214" s="333">
        <f ca="1">+C212-C213</f>
        <v>367.43200000000002</v>
      </c>
      <c r="D214" s="334">
        <f ca="1">IF(C212=0,"N.D.",C214/C212)</f>
        <v>1</v>
      </c>
      <c r="E214" s="333">
        <f ca="1">+E212-E213</f>
        <v>348.9</v>
      </c>
      <c r="F214" s="334">
        <f ca="1">IF(E$43=0, 0, E214/$E$43)</f>
        <v>0.40469065349015237</v>
      </c>
      <c r="G214" s="333">
        <f ca="1">+G212-G213</f>
        <v>361.851</v>
      </c>
      <c r="H214" s="334">
        <f ca="1">IF(G$75=0, 0, G214/$G$75)</f>
        <v>0.40304636941823813</v>
      </c>
      <c r="I214" s="335">
        <f ca="1">C214-E214</f>
        <v>18.532000000000039</v>
      </c>
      <c r="J214" s="336">
        <f ca="1">IF(E214=0,"N.D.",C214/E214-1)</f>
        <v>5.3115505875609204E-2</v>
      </c>
      <c r="K214" s="337">
        <f ca="1">C214-G214</f>
        <v>5.5810000000000173</v>
      </c>
      <c r="L214" s="334">
        <f ca="1">IF(G214=0,"N.D.",C214/G214-1)</f>
        <v>1.54234754083864E-2</v>
      </c>
      <c r="AD214" s="332" t="s">
        <v>40</v>
      </c>
      <c r="AE214" s="333">
        <f>+AE212-AE213</f>
        <v>307</v>
      </c>
      <c r="AF214" s="334">
        <f>IF(AE212=0,"N.D.",AE214/AE212)</f>
        <v>1</v>
      </c>
      <c r="AG214" s="333">
        <f ca="1">+AG212-AG213</f>
        <v>349</v>
      </c>
      <c r="AH214" s="334">
        <f ca="1">IF(AG212=0,"N.D.",AG214/AG212)</f>
        <v>1</v>
      </c>
      <c r="AI214" s="333">
        <f ca="1">+AI212-AI213</f>
        <v>352.86912000000001</v>
      </c>
      <c r="AJ214" s="334">
        <f ca="1">IF(AI212=0,"N.D.",AI214/AI212)</f>
        <v>1</v>
      </c>
      <c r="AK214" s="335">
        <f ca="1">AE214-AG214</f>
        <v>-42</v>
      </c>
      <c r="AL214" s="336">
        <f ca="1">IF(AG214=0,"N.D.",AE214/AG214-1)</f>
        <v>-0.12034383954154726</v>
      </c>
      <c r="AM214" s="337">
        <f ca="1">AE214-AI214</f>
        <v>-45.869120000000009</v>
      </c>
      <c r="AN214" s="334">
        <f ca="1">IF(AI214=0,"N.D.",AE214/AI214-1)</f>
        <v>-0.12998904523014088</v>
      </c>
    </row>
    <row r="215" spans="1:40" x14ac:dyDescent="0.25">
      <c r="A215" s="316"/>
      <c r="B215" s="322"/>
      <c r="C215" s="338"/>
      <c r="D215" s="339"/>
      <c r="E215" s="338"/>
      <c r="F215" s="339"/>
      <c r="G215" s="338"/>
      <c r="H215" s="339"/>
      <c r="I215" s="338"/>
      <c r="J215" s="340"/>
      <c r="K215" s="338"/>
      <c r="L215" s="339"/>
      <c r="AD215" s="322"/>
      <c r="AE215" s="338"/>
      <c r="AF215" s="339"/>
      <c r="AG215" s="338"/>
      <c r="AH215" s="339"/>
      <c r="AI215" s="338"/>
      <c r="AJ215" s="339"/>
      <c r="AK215" s="338"/>
      <c r="AL215" s="340"/>
      <c r="AM215" s="338"/>
      <c r="AN215" s="339"/>
    </row>
    <row r="216" spans="1:40" x14ac:dyDescent="0.25">
      <c r="A216" s="316"/>
      <c r="B216" s="9" t="s">
        <v>41</v>
      </c>
      <c r="C216" s="327">
        <f ca="1">INDIRECT(ADDRESS(MATCH($B$209,'ER Act'!$B:$B,0)+6,MATCH(TEXT(DATE(YEAR(MES_CIERRE),ROUNDUP(MONTH(MES_CIERRE)/3,0)*3-2,1),"MMMM"),'ER Act'!$1:$1,0),,,"ER Act"))+INDIRECT(ADDRESS(MATCH($B$209,'ER Act'!$B:$B,0)+6,MATCH(TEXT(DATE(YEAR(MES_CIERRE),ROUNDUP(MONTH(MES_CIERRE)/3,0)*3-1,1),"MMMM"),'ER Act'!$1:$1,0),,,"ER Act"))+INDIRECT(ADDRESS(MATCH($B$209,'ER Act'!$B:$B,0)+6,MATCH(TEXT(DATE(YEAR(MES_CIERRE),ROUNDUP(MONTH(MES_CIERRE)/3,0)*3-0,1),"MMMM"),'ER Act'!$1:$1,0),,,"ER Act"))</f>
        <v>38.435000000000002</v>
      </c>
      <c r="D216" s="324">
        <f ca="1">IF(C212=0,"N.D.",C216/C212)</f>
        <v>0.10460438938361384</v>
      </c>
      <c r="E216" s="327">
        <f ca="1">INDIRECT(ADDRESS(MATCH($B$209,'ER Ppto'!$B:$B,0)+6,MATCH(TEXT(DATE(YEAR(MES_CIERRE),ROUNDUP(MONTH(MES_CIERRE)/3,0)*3-2,1),"MMMM"),'ER Ppto'!$1:$1,0),,,"ER Ppto"))+INDIRECT(ADDRESS(MATCH($B$209,'ER Ppto'!$B:$B,0)+6,MATCH(TEXT(DATE(YEAR(MES_CIERRE),ROUNDUP(MONTH(MES_CIERRE)/3,0)*3-1,1),"MMMM"),'ER Ppto'!$1:$1,0),,,"ER Ppto"))+INDIRECT(ADDRESS(MATCH($B$209,'ER Ppto'!$B:$B,0)+6,MATCH(TEXT(DATE(YEAR(MES_CIERRE),ROUNDUP(MONTH(MES_CIERRE)/3,0)*3-0,1),"MMMM"),'ER Ppto'!$1:$1,0),,,"ER Ppto"))</f>
        <v>18.600000000000001</v>
      </c>
      <c r="F216" s="324">
        <f ca="1">IF(E$43=0, 0, E216/$E$43)</f>
        <v>2.1574222284083792E-2</v>
      </c>
      <c r="G216" s="327">
        <f ca="1">INDIRECT(ADDRESS(MATCH($B$209,'ER AA'!$B:$B,0)+6,MATCH(TEXT(DATE(YEAR(MES_CIERRE),ROUNDUP(MONTH(MES_CIERRE)/3,0)*3-2,1),"MMMM"),'ER AA'!$1:$1,0),,,"ER AA"))+INDIRECT(ADDRESS(MATCH($B$209,'ER AA'!$B:$B,0)+6,MATCH(TEXT(DATE(YEAR(MES_CIERRE),ROUNDUP(MONTH(MES_CIERRE)/3,0)*3-1,1),"MMMM"),'ER AA'!$1:$1,0),,,"ER AA"))+INDIRECT(ADDRESS(MATCH($B$209,'ER AA'!$B:$B,0)+6,MATCH(TEXT(DATE(YEAR(MES_CIERRE),ROUNDUP(MONTH(MES_CIERRE)/3,0)*3-0,1),"MMMM"),'ER AA'!$1:$1,0),,,"ER AA"))</f>
        <v>24.93</v>
      </c>
      <c r="H216" s="324">
        <f ca="1">IF(G$75=0, 0, G216/$G$75)</f>
        <v>2.7768186324196083E-2</v>
      </c>
      <c r="I216" s="325">
        <f ca="1">C216-E216</f>
        <v>19.835000000000001</v>
      </c>
      <c r="J216" s="326">
        <f ca="1">IF(E216=0,"N.D.",C216/E216-1)</f>
        <v>1.0663978494623656</v>
      </c>
      <c r="K216" s="327">
        <f ca="1">C216-G216</f>
        <v>13.505000000000003</v>
      </c>
      <c r="L216" s="324">
        <f ca="1">IF(G216=0,"N.D.",C216/G216-1)</f>
        <v>0.54171680705976755</v>
      </c>
      <c r="AD216" s="9" t="s">
        <v>41</v>
      </c>
      <c r="AE216" s="327">
        <v>19</v>
      </c>
      <c r="AF216" s="324">
        <f>IF(AE212=0,"N.D.",AE216/AE212)</f>
        <v>6.1889250814332247E-2</v>
      </c>
      <c r="AG216" s="327">
        <f ca="1">((INDIRECT(ADDRESS(MATCH($B$209,BDPP!$B:$B,0)+10,MATCH(TEXT(DATE(YEAR(MES_CIERRE),ROUNDUP(MONTH(MES_CIERRE)/3,0)*3,1),"MMMM"),BDPP!$1:$1,0)+1,,,"BDPP")))+(INDIRECT(ADDRESS(MATCH($B$209,BDPP!$B:$B,0)+10,MATCH(TEXT(DATE(YEAR(MES_CIERRE),ROUNDUP(MONTH(MES_CIERRE)/3,0)*3,1),"MMMM"),BDPP!$1:$1,0)+2,,,"BDPP")))+(INDIRECT(ADDRESS(MATCH($B$209,BDPP!$B:$B,0)+10,MATCH(TEXT(DATE(YEAR(MES_CIERRE),ROUNDUP(MONTH(MES_CIERRE)/3,0)*3,1),"MMMM"),BDPP!$1:$1,0)+3,,,"BDPP"))))/1000</f>
        <v>18.600000000000001</v>
      </c>
      <c r="AH216" s="324">
        <f ca="1">IF(AG212=0,"N.D.",AG216/AG212)</f>
        <v>5.3295128939828088E-2</v>
      </c>
      <c r="AI216" s="327">
        <f ca="1">INDIRECT(ADDRESS(MATCH($B$209,INDIRECT("'"&amp;IF(MONTH(MES_CIERRE)=12,"ER ACT","ER AA")&amp;"'!$B:$B"),0)+6,MATCH(TEXT(DATE(YEAR(MES_CIERRE),ROUNDUP(MONTH(MES_CIERRE)+1,0),1),"MMMM"),'ER AA'!$1:$1,0),,,IF(MONTH(MES_CIERRE)=12,"ER ACT","ER AA")))+INDIRECT(ADDRESS(MATCH($B$209,INDIRECT("'"&amp;IF(MONTH(MES_CIERRE)=12,"ER ACT","ER AA")&amp;"'!$B:$B"),0)+6,MATCH(TEXT(DATE(YEAR(MES_CIERRE),ROUNDUP(MONTH(MES_CIERRE)+2,0),1),"MMMM"),'ER AA'!$1:$1,0),,,IF(MONTH(MES_CIERRE)=12,"ER ACT","ER AA")))+INDIRECT(ADDRESS(MATCH($B$209,INDIRECT("'"&amp;IF(MONTH(MES_CIERRE)=12,"ER ACT","ER AA")&amp;"'!$B:$B"),0)+6,MATCH(TEXT(DATE(YEAR(MES_CIERRE),ROUNDUP(MONTH(MES_CIERRE)+3,0),1),"MMMM"),'ER AA'!$1:$1,0),,,IF(MONTH(MES_CIERRE)=12,"ER ACT","ER AA")))</f>
        <v>23.257910000000003</v>
      </c>
      <c r="AJ216" s="324">
        <f ca="1">IF(AI212=0,"N.D.",AI216/AI212)</f>
        <v>6.5910868029483566E-2</v>
      </c>
      <c r="AK216" s="325">
        <f ca="1">AE216-AG216</f>
        <v>0.39999999999999858</v>
      </c>
      <c r="AL216" s="326">
        <f ca="1">IF(AG216=0,"N.D.",AE216/AG216-1)</f>
        <v>2.1505376344086002E-2</v>
      </c>
      <c r="AM216" s="327">
        <f ca="1">AE216-AI216</f>
        <v>-4.2579100000000025</v>
      </c>
      <c r="AN216" s="324">
        <f ca="1">IF(AI216=0,"N.D.",AE216/AI216-1)</f>
        <v>-0.18307362957376661</v>
      </c>
    </row>
    <row r="217" spans="1:40" x14ac:dyDescent="0.25">
      <c r="A217" s="316"/>
      <c r="B217" s="9" t="s">
        <v>42</v>
      </c>
      <c r="C217" s="328">
        <f ca="1">INDIRECT(ADDRESS(MATCH($B$209,'ER Act'!$B:$B,0)+7,MATCH(TEXT(DATE(YEAR(MES_CIERRE),ROUNDUP(MONTH(MES_CIERRE)/3,0)*3-2,1),"MMMM"),'ER Act'!$1:$1,0),,,"ER Act"))+INDIRECT(ADDRESS(MATCH($B$209,'ER Act'!$B:$B,0)+7,MATCH(TEXT(DATE(YEAR(MES_CIERRE),ROUNDUP(MONTH(MES_CIERRE)/3,0)*3-1,1),"MMMM"),'ER Act'!$1:$1,0),,,"ER Act"))+INDIRECT(ADDRESS(MATCH($B$209,'ER Act'!$B:$B,0)+7,MATCH(TEXT(DATE(YEAR(MES_CIERRE),ROUNDUP(MONTH(MES_CIERRE)/3,0)*3-0,1),"MMMM"),'ER Act'!$1:$1,0),,,"ER Act"))</f>
        <v>5.5E-2</v>
      </c>
      <c r="D217" s="341">
        <f ca="1">IF(C212=0,"N.D.",C217/C212)</f>
        <v>1.496875612358205E-4</v>
      </c>
      <c r="E217" s="328">
        <f ca="1">INDIRECT(ADDRESS(MATCH($B$209,'ER Ppto'!$B:$B,0)+7,MATCH(TEXT(DATE(YEAR(MES_CIERRE),ROUNDUP(MONTH(MES_CIERRE)/3,0)*3-2,1),"MMMM"),'ER Ppto'!$1:$1,0),,,"ER Ppto"))+INDIRECT(ADDRESS(MATCH($B$209,'ER Ppto'!$B:$B,0)+7,MATCH(TEXT(DATE(YEAR(MES_CIERRE),ROUNDUP(MONTH(MES_CIERRE)/3,0)*3-1,1),"MMMM"),'ER Ppto'!$1:$1,0),,,"ER Ppto"))+INDIRECT(ADDRESS(MATCH($B$209,'ER Ppto'!$B:$B,0)+7,MATCH(TEXT(DATE(YEAR(MES_CIERRE),ROUNDUP(MONTH(MES_CIERRE)/3,0)*3-0,1),"MMMM"),'ER Ppto'!$1:$1,0),,,"ER Ppto"))</f>
        <v>12.75</v>
      </c>
      <c r="F217" s="341">
        <f ca="1">IF(E$43=0, 0, E217/$E$43)</f>
        <v>1.4788781404412277E-2</v>
      </c>
      <c r="G217" s="328">
        <f ca="1">INDIRECT(ADDRESS(MATCH($B$209,'ER AA'!$B:$B,0)+7,MATCH(TEXT(DATE(YEAR(MES_CIERRE),ROUNDUP(MONTH(MES_CIERRE)/3,0)*3-2,1),"MMMM"),'ER AA'!$1:$1,0),,,"ER AA"))+INDIRECT(ADDRESS(MATCH($B$209,'ER AA'!$B:$B,0)+7,MATCH(TEXT(DATE(YEAR(MES_CIERRE),ROUNDUP(MONTH(MES_CIERRE)/3,0)*3-1,1),"MMMM"),'ER AA'!$1:$1,0),,,"ER AA"))+INDIRECT(ADDRESS(MATCH($B$209,'ER AA'!$B:$B,0)+7,MATCH(TEXT(DATE(YEAR(MES_CIERRE),ROUNDUP(MONTH(MES_CIERRE)/3,0)*3-0,1),"MMMM"),'ER AA'!$1:$1,0),,,"ER AA"))</f>
        <v>1.7149999999999999</v>
      </c>
      <c r="H217" s="341">
        <f ca="1">IF(G$75=0, 0, G217/$G$75)</f>
        <v>1.9102462713997705E-3</v>
      </c>
      <c r="I217" s="330">
        <f ca="1">C217-E217</f>
        <v>-12.695</v>
      </c>
      <c r="J217" s="331">
        <f ca="1">IF(E217=0,"N.D.",C217/E217-1)</f>
        <v>-0.99568627450980396</v>
      </c>
      <c r="K217" s="328">
        <f ca="1">C217-G217</f>
        <v>-1.66</v>
      </c>
      <c r="L217" s="341">
        <f ca="1">IF(G217=0,"N.D.",C217/G217-1)</f>
        <v>-0.96793002915451898</v>
      </c>
      <c r="AD217" s="9" t="s">
        <v>42</v>
      </c>
      <c r="AE217" s="328">
        <v>13</v>
      </c>
      <c r="AF217" s="341">
        <f>IF(AE212=0,"N.D.",AE217/AE212)</f>
        <v>4.2345276872964167E-2</v>
      </c>
      <c r="AG217" s="328">
        <f ca="1">((INDIRECT(ADDRESS(MATCH($B$209,BDPP!$B:$B,0)+11,MATCH(TEXT(DATE(YEAR(MES_CIERRE),ROUNDUP(MONTH(MES_CIERRE)/3,0)*3,1),"MMMM"),BDPP!$1:$1,0)+1,,,"BDPP")))+(INDIRECT(ADDRESS(MATCH($B$209,BDPP!$B:$B,0)+11,MATCH(TEXT(DATE(YEAR(MES_CIERRE),ROUNDUP(MONTH(MES_CIERRE)/3,0)*3,1),"MMMM"),BDPP!$1:$1,0)+2,,,"BDPP")))+(INDIRECT(ADDRESS(MATCH($B$209,BDPP!$B:$B,0)+11,MATCH(TEXT(DATE(YEAR(MES_CIERRE),ROUNDUP(MONTH(MES_CIERRE)/3,0)*3,1),"MMMM"),BDPP!$1:$1,0)+3,,,"BDPP"))))/1000</f>
        <v>12.75</v>
      </c>
      <c r="AH217" s="341">
        <f ca="1">IF(AG212=0,"N.D.",AG217/AG212)</f>
        <v>3.6532951289398284E-2</v>
      </c>
      <c r="AI217" s="328">
        <f ca="1">INDIRECT(ADDRESS(MATCH($B$209,INDIRECT("'"&amp;IF(MONTH(MES_CIERRE)=12,"ER ACT","ER AA")&amp;"'!$B:$B"),0)+7,MATCH(TEXT(DATE(YEAR(MES_CIERRE),ROUNDUP(MONTH(MES_CIERRE)+1,0),1),"MMMM"),'ER AA'!$1:$1,0),,,IF(MONTH(MES_CIERRE)=12,"ER ACT","ER AA")))+INDIRECT(ADDRESS(MATCH($B$209,INDIRECT("'"&amp;IF(MONTH(MES_CIERRE)=12,"ER ACT","ER AA")&amp;"'!$B:$B"),0)+7,MATCH(TEXT(DATE(YEAR(MES_CIERRE),ROUNDUP(MONTH(MES_CIERRE)+2,0),1),"MMMM"),'ER AA'!$1:$1,0),,,IF(MONTH(MES_CIERRE)=12,"ER ACT","ER AA")))+INDIRECT(ADDRESS(MATCH($B$209,INDIRECT("'"&amp;IF(MONTH(MES_CIERRE)=12,"ER ACT","ER AA")&amp;"'!$B:$B"),0)+7,MATCH(TEXT(DATE(YEAR(MES_CIERRE),ROUNDUP(MONTH(MES_CIERRE)+3,0),1),"MMMM"),'ER AA'!$1:$1,0),,,IF(MONTH(MES_CIERRE)=12,"ER ACT","ER AA")))</f>
        <v>2.0809999999999999E-2</v>
      </c>
      <c r="AJ217" s="341">
        <f ca="1">IF(AI212=0,"N.D.",AI217/AI212)</f>
        <v>5.8973706738634418E-5</v>
      </c>
      <c r="AK217" s="330">
        <f ca="1">AE217-AG217</f>
        <v>0.25</v>
      </c>
      <c r="AL217" s="331">
        <f ca="1">IF(AG217=0,"N.D.",AE217/AG217-1)</f>
        <v>1.9607843137254832E-2</v>
      </c>
      <c r="AM217" s="328">
        <f ca="1">AE217-AI217</f>
        <v>12.979189999999999</v>
      </c>
      <c r="AN217" s="341">
        <f ca="1">IF(AI217=0,"N.D.",AE217/AI217-1)</f>
        <v>623.69966362325806</v>
      </c>
    </row>
    <row r="218" spans="1:40" x14ac:dyDescent="0.25">
      <c r="A218" s="316"/>
      <c r="B218" s="9" t="s">
        <v>43</v>
      </c>
      <c r="C218" s="342">
        <f ca="1">INDIRECT(ADDRESS(MATCH($B$209,'ER Act'!$B:$B,0)+8,MATCH(TEXT(DATE(YEAR(MES_CIERRE),ROUNDUP(MONTH(MES_CIERRE)/3,0)*3-2,1),"MMMM"),'ER Act'!$1:$1,0),,,"ER Act"))+INDIRECT(ADDRESS(MATCH($B$209,'ER Act'!$B:$B,0)+8,MATCH(TEXT(DATE(YEAR(MES_CIERRE),ROUNDUP(MONTH(MES_CIERRE)/3,0)*3-1,1),"MMMM"),'ER Act'!$1:$1,0),,,"ER Act"))+INDIRECT(ADDRESS(MATCH($B$209,'ER Act'!$B:$B,0)+8,MATCH(TEXT(DATE(YEAR(MES_CIERRE),ROUNDUP(MONTH(MES_CIERRE)/3,0)*3-0,1),"MMMM"),'ER Act'!$1:$1,0),,,"ER Act"))</f>
        <v>63.006</v>
      </c>
      <c r="D218" s="329">
        <f ca="1">IF(C212=0,"N.D.",C218/C212)</f>
        <v>0.17147662696771102</v>
      </c>
      <c r="E218" s="342">
        <f ca="1">INDIRECT(ADDRESS(MATCH($B$209,'ER Ppto'!$B:$B,0)+8,MATCH(TEXT(DATE(YEAR(MES_CIERRE),ROUNDUP(MONTH(MES_CIERRE)/3,0)*3-2,1),"MMMM"),'ER Ppto'!$1:$1,0),,,"ER Ppto"))+INDIRECT(ADDRESS(MATCH($B$209,'ER Ppto'!$B:$B,0)+8,MATCH(TEXT(DATE(YEAR(MES_CIERRE),ROUNDUP(MONTH(MES_CIERRE)/3,0)*3-1,1),"MMMM"),'ER Ppto'!$1:$1,0),,,"ER Ppto"))+INDIRECT(ADDRESS(MATCH($B$209,'ER Ppto'!$B:$B,0)+8,MATCH(TEXT(DATE(YEAR(MES_CIERRE),ROUNDUP(MONTH(MES_CIERRE)/3,0)*3-0,1),"MMMM"),'ER Ppto'!$1:$1,0),,,"ER Ppto"))</f>
        <v>63.300000000000004</v>
      </c>
      <c r="F218" s="329">
        <f ca="1">IF(E$43=0, 0, E218/$E$43)</f>
        <v>7.3421950031317421E-2</v>
      </c>
      <c r="G218" s="342">
        <f ca="1">INDIRECT(ADDRESS(MATCH($B$209,'ER AA'!$B:$B,0)+8,MATCH(TEXT(DATE(YEAR(MES_CIERRE),ROUNDUP(MONTH(MES_CIERRE)/3,0)*3-2,1),"MMMM"),'ER AA'!$1:$1,0),,,"ER AA"))+INDIRECT(ADDRESS(MATCH($B$209,'ER AA'!$B:$B,0)+8,MATCH(TEXT(DATE(YEAR(MES_CIERRE),ROUNDUP(MONTH(MES_CIERRE)/3,0)*3-1,1),"MMMM"),'ER AA'!$1:$1,0),,,"ER AA"))+INDIRECT(ADDRESS(MATCH($B$209,'ER AA'!$B:$B,0)+8,MATCH(TEXT(DATE(YEAR(MES_CIERRE),ROUNDUP(MONTH(MES_CIERRE)/3,0)*3-0,1),"MMMM"),'ER AA'!$1:$1,0),,,"ER AA"))</f>
        <v>124.52099999999999</v>
      </c>
      <c r="H218" s="329">
        <f ca="1">IF(G$75=0, 0, G218/$G$75)</f>
        <v>0.13869724545829201</v>
      </c>
      <c r="I218" s="330">
        <f ca="1">C218-E218</f>
        <v>-0.29400000000000404</v>
      </c>
      <c r="J218" s="331">
        <f ca="1">IF(E218=0,"N.D.",C218/E218-1)</f>
        <v>-4.64454976303319E-3</v>
      </c>
      <c r="K218" s="342">
        <f ca="1">C218-G218</f>
        <v>-61.514999999999986</v>
      </c>
      <c r="L218" s="329">
        <f ca="1">IF(G218=0,"N.D.",C218/G218-1)</f>
        <v>-0.49401305803840312</v>
      </c>
      <c r="AD218" s="9" t="s">
        <v>43</v>
      </c>
      <c r="AE218" s="342">
        <v>63</v>
      </c>
      <c r="AF218" s="329">
        <f>IF(AE212=0,"N.D.",AE218/AE212)</f>
        <v>0.20521172638436483</v>
      </c>
      <c r="AG218" s="342">
        <f ca="1">((INDIRECT(ADDRESS(MATCH($B$209,BDPP!$B:$B,0)+12,MATCH(TEXT(DATE(YEAR(MES_CIERRE),ROUNDUP(MONTH(MES_CIERRE)/3,0)*3,1),"MMMM"),BDPP!$1:$1,0)+1,,,"BDPP")))+(INDIRECT(ADDRESS(MATCH($B$209,BDPP!$B:$B,0)+12,MATCH(TEXT(DATE(YEAR(MES_CIERRE),ROUNDUP(MONTH(MES_CIERRE)/3,0)*3,1),"MMMM"),BDPP!$1:$1,0)+2,,,"BDPP")))+(INDIRECT(ADDRESS(MATCH($B$209,BDPP!$B:$B,0)+12,MATCH(TEXT(DATE(YEAR(MES_CIERRE),ROUNDUP(MONTH(MES_CIERRE)/3,0)*3,1),"MMMM"),BDPP!$1:$1,0)+3,,,"BDPP"))))/1000</f>
        <v>63.3</v>
      </c>
      <c r="AH218" s="329">
        <f ca="1">IF(AG212=0,"N.D.",AG218/AG212)</f>
        <v>0.1813753581661891</v>
      </c>
      <c r="AI218" s="342">
        <f ca="1">INDIRECT(ADDRESS(MATCH($B$209,INDIRECT("'"&amp;IF(MONTH(MES_CIERRE)=12,"ER ACT","ER AA")&amp;"'!$B:$B"),0)+8,MATCH(TEXT(DATE(YEAR(MES_CIERRE),ROUNDUP(MONTH(MES_CIERRE)+1,0),1),"MMMM"),'ER AA'!$1:$1,0),,,IF(MONTH(MES_CIERRE)=12,"ER ACT","ER AA")))+INDIRECT(ADDRESS(MATCH($B$209,INDIRECT("'"&amp;IF(MONTH(MES_CIERRE)=12,"ER ACT","ER AA")&amp;"'!$B:$B"),0)+8,MATCH(TEXT(DATE(YEAR(MES_CIERRE),ROUNDUP(MONTH(MES_CIERRE)+2,0),1),"MMMM"),'ER AA'!$1:$1,0),,,IF(MONTH(MES_CIERRE)=12,"ER ACT","ER AA")))+INDIRECT(ADDRESS(MATCH($B$209,INDIRECT("'"&amp;IF(MONTH(MES_CIERRE)=12,"ER ACT","ER AA")&amp;"'!$B:$B"),0)+8,MATCH(TEXT(DATE(YEAR(MES_CIERRE),ROUNDUP(MONTH(MES_CIERRE)+3,0),1),"MMMM"),'ER AA'!$1:$1,0),,,IF(MONTH(MES_CIERRE)=12,"ER ACT","ER AA")))</f>
        <v>124.52199000000002</v>
      </c>
      <c r="AJ218" s="329">
        <f ca="1">IF(AI212=0,"N.D.",AI218/AI212)</f>
        <v>0.35288434986886924</v>
      </c>
      <c r="AK218" s="330">
        <f ca="1">AE218-AG218</f>
        <v>-0.29999999999999716</v>
      </c>
      <c r="AL218" s="331">
        <f ca="1">IF(AG218=0,"N.D.",AE218/AG218-1)</f>
        <v>-4.7393364928909332E-3</v>
      </c>
      <c r="AM218" s="342">
        <f ca="1">AE218-AI218</f>
        <v>-61.521990000000017</v>
      </c>
      <c r="AN218" s="329">
        <f ca="1">IF(AI218=0,"N.D.",AE218/AI218-1)</f>
        <v>-0.49406526509895965</v>
      </c>
    </row>
    <row r="219" spans="1:40" ht="12.5" customHeight="1" x14ac:dyDescent="0.3">
      <c r="A219" s="316"/>
      <c r="B219" s="9" t="s">
        <v>44</v>
      </c>
      <c r="C219" s="337">
        <f ca="1">+C216+C217+C218</f>
        <v>101.49600000000001</v>
      </c>
      <c r="D219" s="334">
        <f ca="1">IF(C212=0,"N.D.",C219/C212)</f>
        <v>0.27623070391256072</v>
      </c>
      <c r="E219" s="337">
        <f ca="1">+E216+E217+E218</f>
        <v>94.65</v>
      </c>
      <c r="F219" s="334">
        <f ca="1">IF(E$43=0, 0, E219/$E$43)</f>
        <v>0.10978495371981349</v>
      </c>
      <c r="G219" s="337">
        <f ca="1">+G216+G217+G218</f>
        <v>151.166</v>
      </c>
      <c r="H219" s="334">
        <f ca="1">IF(G$75=0, 0, G219/$G$75)</f>
        <v>0.16837567805388789</v>
      </c>
      <c r="I219" s="335">
        <f ca="1">C219-E219</f>
        <v>6.8460000000000036</v>
      </c>
      <c r="J219" s="336">
        <f ca="1">IF(E219=0,"N.D.",C219/E219-1)</f>
        <v>7.2329635499207567E-2</v>
      </c>
      <c r="K219" s="337">
        <f ca="1">C219-G219</f>
        <v>-49.669999999999987</v>
      </c>
      <c r="L219" s="334">
        <f ca="1">IF(G219=0,"N.D.",C219/G219-1)</f>
        <v>-0.32857917785745461</v>
      </c>
      <c r="AD219" s="9" t="s">
        <v>44</v>
      </c>
      <c r="AE219" s="337">
        <f>+AE216+AE217+AE218</f>
        <v>95</v>
      </c>
      <c r="AF219" s="334">
        <f>IF(AE212=0,"N.D.",AE219/AE212)</f>
        <v>0.30944625407166126</v>
      </c>
      <c r="AG219" s="337">
        <f ca="1">+AG216+AG217+AG218</f>
        <v>94.65</v>
      </c>
      <c r="AH219" s="334">
        <f ca="1">IF(AG212=0,"N.D.",AG219/AG212)</f>
        <v>0.2712034383954155</v>
      </c>
      <c r="AI219" s="337">
        <f ca="1">+AI216+AI217+AI218</f>
        <v>147.80071000000001</v>
      </c>
      <c r="AJ219" s="334">
        <f ca="1">IF(AI212=0,"N.D.",AI219/AI212)</f>
        <v>0.41885419160509146</v>
      </c>
      <c r="AK219" s="335">
        <f ca="1">AE219-AG219</f>
        <v>0.34999999999999432</v>
      </c>
      <c r="AL219" s="336">
        <f ca="1">IF(AG219=0,"N.D.",AE219/AG219-1)</f>
        <v>3.6978341257263292E-3</v>
      </c>
      <c r="AM219" s="337">
        <f ca="1">AE219-AI219</f>
        <v>-52.800710000000009</v>
      </c>
      <c r="AN219" s="334">
        <f ca="1">IF(AI219=0,"N.D.",AE219/AI219-1)</f>
        <v>-0.35724260052607326</v>
      </c>
    </row>
    <row r="220" spans="1:40" ht="13" x14ac:dyDescent="0.3">
      <c r="A220" s="316"/>
      <c r="B220" s="9" t="s">
        <v>45</v>
      </c>
      <c r="C220" s="337">
        <f ca="1">+C214-C219</f>
        <v>265.93600000000004</v>
      </c>
      <c r="D220" s="334">
        <f ca="1">IF(C212=0,"N.D.",C220/C212)</f>
        <v>0.72376929608743934</v>
      </c>
      <c r="E220" s="337">
        <f ca="1">+E214-E219</f>
        <v>254.24999999999997</v>
      </c>
      <c r="F220" s="334">
        <f ca="1">IF(E$43=0, 0, E220/$E$43)</f>
        <v>0.29490569977033887</v>
      </c>
      <c r="G220" s="337">
        <f ca="1">+G214-G219</f>
        <v>210.685</v>
      </c>
      <c r="H220" s="334">
        <f ca="1">IF(G$75=0, 0, G220/$G$75)</f>
        <v>0.23467069136435026</v>
      </c>
      <c r="I220" s="335">
        <f ca="1">C220-E220</f>
        <v>11.686000000000064</v>
      </c>
      <c r="J220" s="336">
        <f ca="1">IF(E220=0,"N.D.",C220/E220-1)</f>
        <v>4.5962635201573621E-2</v>
      </c>
      <c r="K220" s="337">
        <f ca="1">C220-G220</f>
        <v>55.251000000000033</v>
      </c>
      <c r="L220" s="334">
        <f ca="1">IF(G220=0,"N.D.",C220/G220-1)</f>
        <v>0.26224458314545429</v>
      </c>
      <c r="AD220" s="9" t="s">
        <v>45</v>
      </c>
      <c r="AE220" s="337">
        <f>+AE214-AE219</f>
        <v>212</v>
      </c>
      <c r="AF220" s="334">
        <f>IF(AE212=0,"N.D.",AE220/AE212)</f>
        <v>0.69055374592833874</v>
      </c>
      <c r="AG220" s="337">
        <f ca="1">+AG214-AG219</f>
        <v>254.35</v>
      </c>
      <c r="AH220" s="334">
        <f ca="1">IF(AG212=0,"N.D.",AG220/AG212)</f>
        <v>0.7287965616045845</v>
      </c>
      <c r="AI220" s="337">
        <f ca="1">+AI214-AI219</f>
        <v>205.06841</v>
      </c>
      <c r="AJ220" s="334">
        <f ca="1">IF(AI212=0,"N.D.",AI220/AI212)</f>
        <v>0.58114580839490859</v>
      </c>
      <c r="AK220" s="335">
        <f ca="1">AE220-AG220</f>
        <v>-42.349999999999994</v>
      </c>
      <c r="AL220" s="336">
        <f ca="1">IF(AG220=0,"N.D.",AE220/AG220-1)</f>
        <v>-0.16650285040298796</v>
      </c>
      <c r="AM220" s="337">
        <f ca="1">AE220-AI220</f>
        <v>6.9315899999999999</v>
      </c>
      <c r="AN220" s="334">
        <f ca="1">IF(AI220=0,"N.D.",AE220/AI220-1)</f>
        <v>3.3801354387055449E-2</v>
      </c>
    </row>
    <row r="221" spans="1:40" x14ac:dyDescent="0.25">
      <c r="A221" s="316"/>
      <c r="B221" s="322"/>
      <c r="C221" s="338"/>
      <c r="D221" s="339"/>
      <c r="E221" s="338"/>
      <c r="F221" s="339"/>
      <c r="G221" s="338"/>
      <c r="H221" s="339"/>
      <c r="I221" s="338"/>
      <c r="J221" s="340"/>
      <c r="K221" s="338"/>
      <c r="L221" s="339"/>
      <c r="AD221" s="322"/>
      <c r="AE221" s="387"/>
      <c r="AF221" s="388"/>
      <c r="AG221" s="338"/>
      <c r="AH221" s="388"/>
      <c r="AI221" s="338"/>
      <c r="AJ221" s="388"/>
      <c r="AK221" s="387"/>
      <c r="AL221" s="389"/>
      <c r="AM221" s="387"/>
      <c r="AN221" s="388"/>
    </row>
    <row r="222" spans="1:40" x14ac:dyDescent="0.25">
      <c r="A222" s="316"/>
      <c r="B222" s="322"/>
      <c r="C222" s="327"/>
      <c r="D222" s="343"/>
      <c r="E222" s="327"/>
      <c r="F222" s="324"/>
      <c r="G222" s="327"/>
      <c r="H222" s="324"/>
      <c r="I222" s="325"/>
      <c r="J222" s="326"/>
      <c r="K222" s="327"/>
      <c r="L222" s="324"/>
      <c r="AD222" s="1"/>
      <c r="AE222" s="327"/>
      <c r="AF222" s="343"/>
      <c r="AG222" s="327"/>
      <c r="AH222" s="343"/>
      <c r="AI222" s="327"/>
      <c r="AJ222" s="343"/>
      <c r="AK222" s="325"/>
      <c r="AL222" s="326"/>
      <c r="AM222" s="327"/>
      <c r="AN222" s="324"/>
    </row>
    <row r="223" spans="1:40" x14ac:dyDescent="0.25">
      <c r="A223" s="316"/>
      <c r="B223" s="9" t="s">
        <v>52</v>
      </c>
      <c r="C223" s="328">
        <f ca="1">INDIRECT(ADDRESS(MATCH($B$209,'ER Act'!$B:$B,0)+13,MATCH(TEXT(DATE(YEAR(MES_CIERRE),ROUNDUP(MONTH(MES_CIERRE)/3,0)*3-2,1),"MMMM"),'ER Act'!$1:$1,0),,,"ER Act"))+INDIRECT(ADDRESS(MATCH($B$209,'ER Act'!$B:$B,0)+13,MATCH(TEXT(DATE(YEAR(MES_CIERRE),ROUNDUP(MONTH(MES_CIERRE)/3,0)*3-1,1),"MMMM"),'ER Act'!$1:$1,0),,,"ER Act"))+INDIRECT(ADDRESS(MATCH($B$209,'ER Act'!$B:$B,0)+13,MATCH(TEXT(DATE(YEAR(MES_CIERRE),ROUNDUP(MONTH(MES_CIERRE)/3,0)*3-0,1),"MMMM"),'ER Act'!$1:$1,0),,,"ER Act"))</f>
        <v>1.2949999999999999</v>
      </c>
      <c r="D223" s="344">
        <f ca="1">IF(C212=0,"N.D.",C223/C212)</f>
        <v>3.524461669097955E-3</v>
      </c>
      <c r="E223" s="328">
        <f ca="1">INDIRECT(ADDRESS(MATCH($B$209,'ER Ppto'!$B:$B,0)+13,MATCH(TEXT(DATE(YEAR(MES_CIERRE),ROUNDUP(MONTH(MES_CIERRE)/3,0)*3-2,1),"MMMM"),'ER Ppto'!$1:$1,0),,,"ER Ppto"))+INDIRECT(ADDRESS(MATCH($B$209,'ER Ppto'!$B:$B,0)+13,MATCH(TEXT(DATE(YEAR(MES_CIERRE),ROUNDUP(MONTH(MES_CIERRE)/3,0)*3-1,1),"MMMM"),'ER Ppto'!$1:$1,0),,,"ER Ppto"))+INDIRECT(ADDRESS(MATCH($B$209,'ER Ppto'!$B:$B,0)+13,MATCH(TEXT(DATE(YEAR(MES_CIERRE),ROUNDUP(MONTH(MES_CIERRE)/3,0)*3-0,1),"MMMM"),'ER Ppto'!$1:$1,0),,,"ER Ppto"))</f>
        <v>0</v>
      </c>
      <c r="F223" s="341">
        <f t="shared" ref="F223:F228" ca="1" si="302">IF(E$43=0, 0, E223/$E$43)</f>
        <v>0</v>
      </c>
      <c r="G223" s="328">
        <f ca="1">INDIRECT(ADDRESS(MATCH($B$209,'ER AA'!$B:$B,0)+13,MATCH(TEXT(DATE(YEAR(MES_CIERRE),ROUNDUP(MONTH(MES_CIERRE)/3,0)*3-2,1),"MMMM"),'ER AA'!$1:$1,0),,,"ER AA"))+INDIRECT(ADDRESS(MATCH($B$209,'ER AA'!$B:$B,0)+13,MATCH(TEXT(DATE(YEAR(MES_CIERRE),ROUNDUP(MONTH(MES_CIERRE)/3,0)*3-1,1),"MMMM"),'ER AA'!$1:$1,0),,,"ER AA"))+INDIRECT(ADDRESS(MATCH($B$209,'ER AA'!$B:$B,0)+13,MATCH(TEXT(DATE(YEAR(MES_CIERRE),ROUNDUP(MONTH(MES_CIERRE)/3,0)*3-0,1),"MMMM"),'ER AA'!$1:$1,0),,,"ER AA"))</f>
        <v>-0.74700000000000011</v>
      </c>
      <c r="H223" s="341">
        <f t="shared" ref="H223:H228" ca="1" si="303">IF(G$75=0, 0, G223/$G$75)</f>
        <v>-8.3204312812573114E-4</v>
      </c>
      <c r="I223" s="330">
        <f t="shared" ref="I223:I228" ca="1" si="304">C223-E223</f>
        <v>1.2949999999999999</v>
      </c>
      <c r="J223" s="331" t="str">
        <f t="shared" ref="J223:J228" ca="1" si="305">IF(E223=0,"N.D.",C223/E223-1)</f>
        <v>N.D.</v>
      </c>
      <c r="K223" s="328">
        <f t="shared" ref="K223:K228" ca="1" si="306">C223-G223</f>
        <v>2.0419999999999998</v>
      </c>
      <c r="L223" s="341">
        <f t="shared" ref="L223:L228" ca="1" si="307">IF(G223=0,"N.D.",C223/G223-1)</f>
        <v>-2.7336010709504679</v>
      </c>
      <c r="AD223" s="9" t="s">
        <v>52</v>
      </c>
      <c r="AE223" s="328">
        <v>0</v>
      </c>
      <c r="AF223" s="344">
        <f>IF(AE212=0,"N.D.",AE223/AE212)</f>
        <v>0</v>
      </c>
      <c r="AG223" s="328">
        <f ca="1">((INDIRECT(ADDRESS(MATCH($B$209,BDPP!$B:$B,0)+16,MATCH(TEXT(DATE(YEAR(MES_CIERRE),ROUNDUP(MONTH(MES_CIERRE)/3,0)*3,1),"MMMM"),BDPP!$1:$1,0)+1,,,"BDPP")))+(INDIRECT(ADDRESS(MATCH($B$209,BDPP!$B:$B,0)+16,MATCH(TEXT(DATE(YEAR(MES_CIERRE),ROUNDUP(MONTH(MES_CIERRE)/3,0)*3,1),"MMMM"),BDPP!$1:$1,0)+2,,,"BDPP")))+(INDIRECT(ADDRESS(MATCH($B$209,BDPP!$B:$B,0)+16,MATCH(TEXT(DATE(YEAR(MES_CIERRE),ROUNDUP(MONTH(MES_CIERRE)/3,0)*3,1),"MMMM"),BDPP!$1:$1,0)+3,,,"BDPP"))))/1000</f>
        <v>0</v>
      </c>
      <c r="AH223" s="344">
        <f ca="1">IF(AG212=0,"N.D.",AG223/AG212)</f>
        <v>0</v>
      </c>
      <c r="AI223" s="328">
        <f ca="1">INDIRECT(ADDRESS(MATCH($B$209,INDIRECT("'"&amp;IF(MONTH(MES_CIERRE)=12,"ER ACT","ER AA")&amp;"'!$B:$B"),0)+13,MATCH(TEXT(DATE(YEAR(MES_CIERRE),ROUNDUP(MONTH(MES_CIERRE)+1,0),1),"MMMM"),'ER AA'!$1:$1,0),,,IF(MONTH(MES_CIERRE)=12,"ER ACT","ER AA")))+INDIRECT(ADDRESS(MATCH($B$209,INDIRECT("'"&amp;IF(MONTH(MES_CIERRE)=12,"ER ACT","ER AA")&amp;"'!$B:$B"),0)+13,MATCH(TEXT(DATE(YEAR(MES_CIERRE),ROUNDUP(MONTH(MES_CIERRE)+2,0),1),"MMMM"),'ER AA'!$1:$1,0),,,IF(MONTH(MES_CIERRE)=12,"ER ACT","ER AA")))+INDIRECT(ADDRESS(MATCH($B$209,INDIRECT("'"&amp;IF(MONTH(MES_CIERRE)=12,"ER ACT","ER AA")&amp;"'!$B:$B"),0)+13,MATCH(TEXT(DATE(YEAR(MES_CIERRE),ROUNDUP(MONTH(MES_CIERRE)+3,0),1),"MMMM"),'ER AA'!$1:$1,0),,,IF(MONTH(MES_CIERRE)=12,"ER ACT","ER AA")))</f>
        <v>1.2501699999999998</v>
      </c>
      <c r="AJ223" s="344">
        <f ca="1">IF(AI212=0,"N.D.",AI223/AI212)</f>
        <v>3.5428716460085817E-3</v>
      </c>
      <c r="AK223" s="330">
        <f t="shared" ref="AK223:AK228" ca="1" si="308">AE223-AG223</f>
        <v>0</v>
      </c>
      <c r="AL223" s="331" t="str">
        <f t="shared" ref="AL223:AL228" ca="1" si="309">IF(AG223=0,"N.D.",AE223/AG223-1)</f>
        <v>N.D.</v>
      </c>
      <c r="AM223" s="328">
        <f t="shared" ref="AM223:AM228" ca="1" si="310">AE223-AI223</f>
        <v>-1.2501699999999998</v>
      </c>
      <c r="AN223" s="341">
        <f t="shared" ref="AN223:AN228" ca="1" si="311">IF(AI223=0,"N.D.",AE223/AI223-1)</f>
        <v>-1</v>
      </c>
    </row>
    <row r="224" spans="1:40" x14ac:dyDescent="0.25">
      <c r="A224" s="316"/>
      <c r="B224" s="9" t="s">
        <v>184</v>
      </c>
      <c r="C224" s="328">
        <f ca="1">INDIRECT(ADDRESS(MATCH($B$209,'ER Act'!$B:$B,0)+14,MATCH(TEXT(DATE(YEAR(MES_CIERRE),ROUNDUP(MONTH(MES_CIERRE)/3,0)*3-2,1),"MMMM"),'ER Act'!$1:$1,0),,,"ER Act"))+INDIRECT(ADDRESS(MATCH($B$209,'ER Act'!$B:$B,0)+14,MATCH(TEXT(DATE(YEAR(MES_CIERRE),ROUNDUP(MONTH(MES_CIERRE)/3,0)*3-1,1),"MMMM"),'ER Act'!$1:$1,0),,,"ER Act"))+INDIRECT(ADDRESS(MATCH($B$209,'ER Act'!$B:$B,0)+14,MATCH(TEXT(DATE(YEAR(MES_CIERRE),ROUNDUP(MONTH(MES_CIERRE)/3,0)*3-0,1),"MMMM"),'ER Act'!$1:$1,0),,,"ER Act"))</f>
        <v>98.292000000000002</v>
      </c>
      <c r="D224" s="344">
        <f ca="1">IF(C212=0,"N.D.",C224/C212)</f>
        <v>0.26751072307256851</v>
      </c>
      <c r="E224" s="328">
        <f ca="1">INDIRECT(ADDRESS(MATCH($B$209,'ER Ppto'!$B:$B,0)+14,MATCH(TEXT(DATE(YEAR(MES_CIERRE),ROUNDUP(MONTH(MES_CIERRE)/3,0)*3-2,1),"MMMM"),'ER Ppto'!$1:$1,0),,,"ER Ppto"))+INDIRECT(ADDRESS(MATCH($B$209,'ER Ppto'!$B:$B,0)+14,MATCH(TEXT(DATE(YEAR(MES_CIERRE),ROUNDUP(MONTH(MES_CIERRE)/3,0)*3-1,1),"MMMM"),'ER Ppto'!$1:$1,0),,,"ER Ppto"))+INDIRECT(ADDRESS(MATCH($B$209,'ER Ppto'!$B:$B,0)+14,MATCH(TEXT(DATE(YEAR(MES_CIERRE),ROUNDUP(MONTH(MES_CIERRE)/3,0)*3-0,1),"MMMM"),'ER Ppto'!$1:$1,0),,,"ER Ppto"))</f>
        <v>78.575999999999993</v>
      </c>
      <c r="F224" s="341">
        <f t="shared" ca="1" si="302"/>
        <v>9.1140650010439139E-2</v>
      </c>
      <c r="G224" s="328">
        <f ca="1">INDIRECT(ADDRESS(MATCH($B$209,'ER AA'!$B:$B,0)+14,MATCH(TEXT(DATE(YEAR(MES_CIERRE),ROUNDUP(MONTH(MES_CIERRE)/3,0)*3-2,1),"MMMM"),'ER AA'!$1:$1,0),,,"ER AA"))+INDIRECT(ADDRESS(MATCH($B$209,'ER AA'!$B:$B,0)+14,MATCH(TEXT(DATE(YEAR(MES_CIERRE),ROUNDUP(MONTH(MES_CIERRE)/3,0)*3-1,1),"MMMM"),'ER AA'!$1:$1,0),,,"ER AA"))+INDIRECT(ADDRESS(MATCH($B$209,'ER AA'!$B:$B,0)+14,MATCH(TEXT(DATE(YEAR(MES_CIERRE),ROUNDUP(MONTH(MES_CIERRE)/3,0)*3-0,1),"MMMM"),'ER AA'!$1:$1,0),,,"ER AA"))</f>
        <v>81.204999999999998</v>
      </c>
      <c r="H224" s="341">
        <f t="shared" ca="1" si="303"/>
        <v>9.0449882489223546E-2</v>
      </c>
      <c r="I224" s="330">
        <f t="shared" ca="1" si="304"/>
        <v>19.716000000000008</v>
      </c>
      <c r="J224" s="331">
        <f t="shared" ca="1" si="305"/>
        <v>0.25091631032376305</v>
      </c>
      <c r="K224" s="328">
        <f t="shared" ca="1" si="306"/>
        <v>17.087000000000003</v>
      </c>
      <c r="L224" s="341">
        <f t="shared" ca="1" si="307"/>
        <v>0.21041807770457499</v>
      </c>
      <c r="AD224" s="9" t="s">
        <v>184</v>
      </c>
      <c r="AE224" s="328">
        <v>81</v>
      </c>
      <c r="AF224" s="344">
        <f>IF(AE212=0,"N.D.",AE224/AE212)</f>
        <v>0.26384364820846906</v>
      </c>
      <c r="AG224" s="328">
        <f ca="1">((INDIRECT(ADDRESS(MATCH($B$209,BDPP!$B:$B,0)+17,MATCH(TEXT(DATE(YEAR(MES_CIERRE),ROUNDUP(MONTH(MES_CIERRE)/3,0)*3,1),"MMMM"),BDPP!$1:$1,0)+1,,,"BDPP")))+(INDIRECT(ADDRESS(MATCH($B$209,BDPP!$B:$B,0)+17,MATCH(TEXT(DATE(YEAR(MES_CIERRE),ROUNDUP(MONTH(MES_CIERRE)/3,0)*3,1),"MMMM"),BDPP!$1:$1,0)+2,,,"BDPP")))+(INDIRECT(ADDRESS(MATCH($B$209,BDPP!$B:$B,0)+17,MATCH(TEXT(DATE(YEAR(MES_CIERRE),ROUNDUP(MONTH(MES_CIERRE)/3,0)*3,1),"MMMM"),BDPP!$1:$1,0)+3,,,"BDPP"))))/1000</f>
        <v>77.019000000000005</v>
      </c>
      <c r="AH224" s="344">
        <f ca="1">IF(AG212=0,"N.D.",AG224/AG212)</f>
        <v>0.22068481375358168</v>
      </c>
      <c r="AI224" s="328">
        <f ca="1">INDIRECT(ADDRESS(MATCH($B$209,INDIRECT("'"&amp;IF(MONTH(MES_CIERRE)=12,"ER ACT","ER AA")&amp;"'!$B:$B"),0)+14,MATCH(TEXT(DATE(YEAR(MES_CIERRE),ROUNDUP(MONTH(MES_CIERRE)+1,0),1),"MMMM"),'ER AA'!$1:$1,0),,,IF(MONTH(MES_CIERRE)=12,"ER ACT","ER AA")))+INDIRECT(ADDRESS(MATCH($B$209,INDIRECT("'"&amp;IF(MONTH(MES_CIERRE)=12,"ER ACT","ER AA")&amp;"'!$B:$B"),0)+14,MATCH(TEXT(DATE(YEAR(MES_CIERRE),ROUNDUP(MONTH(MES_CIERRE)+2,0),1),"MMMM"),'ER AA'!$1:$1,0),,,IF(MONTH(MES_CIERRE)=12,"ER ACT","ER AA")))+INDIRECT(ADDRESS(MATCH($B$209,INDIRECT("'"&amp;IF(MONTH(MES_CIERRE)=12,"ER ACT","ER AA")&amp;"'!$B:$B"),0)+14,MATCH(TEXT(DATE(YEAR(MES_CIERRE),ROUNDUP(MONTH(MES_CIERRE)+3,0),1),"MMMM"),'ER AA'!$1:$1,0),,,IF(MONTH(MES_CIERRE)=12,"ER ACT","ER AA")))</f>
        <v>84.361549999999994</v>
      </c>
      <c r="AJ224" s="344">
        <f ca="1">IF(AI212=0,"N.D.",AI224/AI212)</f>
        <v>0.23907320085135245</v>
      </c>
      <c r="AK224" s="330">
        <f t="shared" ca="1" si="308"/>
        <v>3.9809999999999945</v>
      </c>
      <c r="AL224" s="331">
        <f t="shared" ca="1" si="309"/>
        <v>5.168854438515158E-2</v>
      </c>
      <c r="AM224" s="328">
        <f t="shared" ca="1" si="310"/>
        <v>-3.361549999999994</v>
      </c>
      <c r="AN224" s="341">
        <f t="shared" ca="1" si="311"/>
        <v>-3.9846944490706915E-2</v>
      </c>
    </row>
    <row r="225" spans="1:55" x14ac:dyDescent="0.25">
      <c r="A225" s="316"/>
      <c r="B225" s="9" t="s">
        <v>47</v>
      </c>
      <c r="C225" s="328">
        <f ca="1">INDIRECT(ADDRESS(MATCH($B$209,'ER Act'!$B:$B,0)+15,MATCH(TEXT(DATE(YEAR(MES_CIERRE),ROUNDUP(MONTH(MES_CIERRE)/3,0)*3-2,1),"MMMM"),'ER Act'!$1:$1,0),,,"ER Act"))+INDIRECT(ADDRESS(MATCH($B$209,'ER Act'!$B:$B,0)+15,MATCH(TEXT(DATE(YEAR(MES_CIERRE),ROUNDUP(MONTH(MES_CIERRE)/3,0)*3-1,1),"MMMM"),'ER Act'!$1:$1,0),,,"ER Act"))+INDIRECT(ADDRESS(MATCH($B$209,'ER Act'!$B:$B,0)+15,MATCH(TEXT(DATE(YEAR(MES_CIERRE),ROUNDUP(MONTH(MES_CIERRE)/3,0)*3-0,1),"MMMM"),'ER Act'!$1:$1,0),,,"ER Act"))</f>
        <v>0</v>
      </c>
      <c r="D225" s="344">
        <f ca="1">IF(C212=0,"N.D.",C225/C212)</f>
        <v>0</v>
      </c>
      <c r="E225" s="328">
        <f ca="1">INDIRECT(ADDRESS(MATCH($B$209,'ER Ppto'!$B:$B,0)+15,MATCH(TEXT(DATE(YEAR(MES_CIERRE),ROUNDUP(MONTH(MES_CIERRE)/3,0)*3-2,1),"MMMM"),'ER Ppto'!$1:$1,0),,,"ER Ppto"))+INDIRECT(ADDRESS(MATCH($B$209,'ER Ppto'!$B:$B,0)+15,MATCH(TEXT(DATE(YEAR(MES_CIERRE),ROUNDUP(MONTH(MES_CIERRE)/3,0)*3-1,1),"MMMM"),'ER Ppto'!$1:$1,0),,,"ER Ppto"))+INDIRECT(ADDRESS(MATCH($B$209,'ER Ppto'!$B:$B,0)+15,MATCH(TEXT(DATE(YEAR(MES_CIERRE),ROUNDUP(MONTH(MES_CIERRE)/3,0)*3-0,1),"MMMM"),'ER Ppto'!$1:$1,0),,,"ER Ppto"))</f>
        <v>0</v>
      </c>
      <c r="F225" s="341">
        <f t="shared" ca="1" si="302"/>
        <v>0</v>
      </c>
      <c r="G225" s="328">
        <f ca="1">INDIRECT(ADDRESS(MATCH($B$209,'ER AA'!$B:$B,0)+15,MATCH(TEXT(DATE(YEAR(MES_CIERRE),ROUNDUP(MONTH(MES_CIERRE)/3,0)*3-2,1),"MMMM"),'ER AA'!$1:$1,0),,,"ER AA"))+INDIRECT(ADDRESS(MATCH($B$209,'ER AA'!$B:$B,0)+15,MATCH(TEXT(DATE(YEAR(MES_CIERRE),ROUNDUP(MONTH(MES_CIERRE)/3,0)*3-1,1),"MMMM"),'ER AA'!$1:$1,0),,,"ER AA"))+INDIRECT(ADDRESS(MATCH($B$209,'ER AA'!$B:$B,0)+15,MATCH(TEXT(DATE(YEAR(MES_CIERRE),ROUNDUP(MONTH(MES_CIERRE)/3,0)*3-0,1),"MMMM"),'ER AA'!$1:$1,0),,,"ER AA"))</f>
        <v>0</v>
      </c>
      <c r="H225" s="341">
        <f t="shared" ca="1" si="303"/>
        <v>0</v>
      </c>
      <c r="I225" s="330">
        <f t="shared" ca="1" si="304"/>
        <v>0</v>
      </c>
      <c r="J225" s="331" t="str">
        <f t="shared" ca="1" si="305"/>
        <v>N.D.</v>
      </c>
      <c r="K225" s="328">
        <f t="shared" ca="1" si="306"/>
        <v>0</v>
      </c>
      <c r="L225" s="341" t="str">
        <f t="shared" ca="1" si="307"/>
        <v>N.D.</v>
      </c>
      <c r="AD225" s="9" t="s">
        <v>47</v>
      </c>
      <c r="AE225" s="328">
        <v>0</v>
      </c>
      <c r="AF225" s="344">
        <f>IF(AE212=0,"N.D.",AE225/AE212)</f>
        <v>0</v>
      </c>
      <c r="AG225" s="328">
        <f ca="1">((INDIRECT(ADDRESS(MATCH($B$209,BDPP!$B:$B,0)+18,MATCH(TEXT(DATE(YEAR(MES_CIERRE),ROUNDUP(MONTH(MES_CIERRE)/3,0)*3,1),"MMMM"),BDPP!$1:$1,0)+1,,,"BDPP")))+(INDIRECT(ADDRESS(MATCH($B$209,BDPP!$B:$B,0)+18,MATCH(TEXT(DATE(YEAR(MES_CIERRE),ROUNDUP(MONTH(MES_CIERRE)/3,0)*3,1),"MMMM"),BDPP!$1:$1,0)+2,,,"BDPP")))+(INDIRECT(ADDRESS(MATCH($B$209,BDPP!$B:$B,0)+18,MATCH(TEXT(DATE(YEAR(MES_CIERRE),ROUNDUP(MONTH(MES_CIERRE)/3,0)*3,1),"MMMM"),BDPP!$1:$1,0)+3,,,"BDPP"))))/1000</f>
        <v>0</v>
      </c>
      <c r="AH225" s="344">
        <f ca="1">IF(AG212=0,"N.D.",AG225/AG212)</f>
        <v>0</v>
      </c>
      <c r="AI225" s="328">
        <f ca="1">INDIRECT(ADDRESS(MATCH($B$209,INDIRECT("'"&amp;IF(MONTH(MES_CIERRE)=12,"ER ACT","ER AA")&amp;"'!$B:$B"),0)+15,MATCH(TEXT(DATE(YEAR(MES_CIERRE),ROUNDUP(MONTH(MES_CIERRE)+1,0),1),"MMMM"),'ER AA'!$1:$1,0),,,IF(MONTH(MES_CIERRE)=12,"ER ACT","ER AA")))+INDIRECT(ADDRESS(MATCH($B$209,INDIRECT("'"&amp;IF(MONTH(MES_CIERRE)=12,"ER ACT","ER AA")&amp;"'!$B:$B"),0)+15,MATCH(TEXT(DATE(YEAR(MES_CIERRE),ROUNDUP(MONTH(MES_CIERRE)+2,0),1),"MMMM"),'ER AA'!$1:$1,0),,,IF(MONTH(MES_CIERRE)=12,"ER ACT","ER AA")))+INDIRECT(ADDRESS(MATCH($B$209,INDIRECT("'"&amp;IF(MONTH(MES_CIERRE)=12,"ER ACT","ER AA")&amp;"'!$B:$B"),0)+15,MATCH(TEXT(DATE(YEAR(MES_CIERRE),ROUNDUP(MONTH(MES_CIERRE)+3,0),1),"MMMM"),'ER AA'!$1:$1,0),,,IF(MONTH(MES_CIERRE)=12,"ER ACT","ER AA")))</f>
        <v>0</v>
      </c>
      <c r="AJ225" s="344">
        <f ca="1">IF(AI212=0,"N.D.",AI225/AI212)</f>
        <v>0</v>
      </c>
      <c r="AK225" s="330">
        <f t="shared" ca="1" si="308"/>
        <v>0</v>
      </c>
      <c r="AL225" s="331" t="str">
        <f t="shared" ca="1" si="309"/>
        <v>N.D.</v>
      </c>
      <c r="AM225" s="328">
        <f t="shared" ca="1" si="310"/>
        <v>0</v>
      </c>
      <c r="AN225" s="341" t="str">
        <f t="shared" ca="1" si="311"/>
        <v>N.D.</v>
      </c>
    </row>
    <row r="226" spans="1:55" x14ac:dyDescent="0.25">
      <c r="A226" s="316"/>
      <c r="B226" s="322"/>
      <c r="C226" s="342"/>
      <c r="D226" s="345"/>
      <c r="E226" s="342"/>
      <c r="F226" s="329"/>
      <c r="G226" s="342"/>
      <c r="H226" s="329"/>
      <c r="I226" s="330"/>
      <c r="J226" s="331"/>
      <c r="K226" s="342"/>
      <c r="L226" s="329"/>
      <c r="AD226" s="9"/>
      <c r="AE226" s="342"/>
      <c r="AF226" s="345"/>
      <c r="AG226" s="342"/>
      <c r="AH226" s="345"/>
      <c r="AI226" s="342"/>
      <c r="AJ226" s="345"/>
      <c r="AK226" s="330"/>
      <c r="AL226" s="331"/>
      <c r="AM226" s="342"/>
      <c r="AN226" s="329"/>
    </row>
    <row r="227" spans="1:55" ht="13" x14ac:dyDescent="0.3">
      <c r="B227" s="9" t="s">
        <v>48</v>
      </c>
      <c r="C227" s="335">
        <f ca="1">+C222+C223+C224-C225-C226</f>
        <v>99.587000000000003</v>
      </c>
      <c r="D227" s="334">
        <f ca="1">IF(C212=0,"N.D.",C227/C212)</f>
        <v>0.27103518474166649</v>
      </c>
      <c r="E227" s="335">
        <f ca="1">+E222+E223+E224-E225-E226</f>
        <v>78.575999999999993</v>
      </c>
      <c r="F227" s="334">
        <f t="shared" ca="1" si="302"/>
        <v>9.1140650010439139E-2</v>
      </c>
      <c r="G227" s="335">
        <f ca="1">+G222+G223+G224-G225-G226</f>
        <v>80.457999999999998</v>
      </c>
      <c r="H227" s="334">
        <f t="shared" ca="1" si="303"/>
        <v>8.9617839361097809E-2</v>
      </c>
      <c r="I227" s="335">
        <f t="shared" ca="1" si="304"/>
        <v>21.01100000000001</v>
      </c>
      <c r="J227" s="336">
        <f t="shared" ca="1" si="305"/>
        <v>0.26739716961922233</v>
      </c>
      <c r="K227" s="337">
        <f t="shared" ca="1" si="306"/>
        <v>19.129000000000005</v>
      </c>
      <c r="L227" s="334">
        <f t="shared" ca="1" si="307"/>
        <v>0.23775137338735752</v>
      </c>
      <c r="AD227" s="9" t="s">
        <v>48</v>
      </c>
      <c r="AE227" s="335">
        <f>+AE222+AE223+AE224-AE225-AE226</f>
        <v>81</v>
      </c>
      <c r="AF227" s="334">
        <f>IF(AE212=0,"N.D.",AE227/AE212)</f>
        <v>0.26384364820846906</v>
      </c>
      <c r="AG227" s="335">
        <f ca="1">+AG222+AG223+AG224-AG225-AG226</f>
        <v>77.019000000000005</v>
      </c>
      <c r="AH227" s="334">
        <f ca="1">IF(AG212=0,"N.D.",AG227/AG212)</f>
        <v>0.22068481375358168</v>
      </c>
      <c r="AI227" s="335">
        <f ca="1">+AI222+AI223+AI224-AI225-AI226</f>
        <v>85.611719999999991</v>
      </c>
      <c r="AJ227" s="334">
        <f ca="1">IF(AI212=0,"N.D.",AI227/AI212)</f>
        <v>0.24261607249736103</v>
      </c>
      <c r="AK227" s="335">
        <f t="shared" ca="1" si="308"/>
        <v>3.9809999999999945</v>
      </c>
      <c r="AL227" s="336">
        <f t="shared" ca="1" si="309"/>
        <v>5.168854438515158E-2</v>
      </c>
      <c r="AM227" s="337">
        <f t="shared" ca="1" si="310"/>
        <v>-4.6117199999999912</v>
      </c>
      <c r="AN227" s="334">
        <f t="shared" ca="1" si="311"/>
        <v>-5.3867858279216807E-2</v>
      </c>
    </row>
    <row r="228" spans="1:55" ht="13" x14ac:dyDescent="0.3">
      <c r="B228" s="332" t="s">
        <v>49</v>
      </c>
      <c r="C228" s="337">
        <f ca="1">+C220-C227</f>
        <v>166.34900000000005</v>
      </c>
      <c r="D228" s="334">
        <f ca="1">IF(C212=0,"N.D.",C228/C212)</f>
        <v>0.4527341113457729</v>
      </c>
      <c r="E228" s="337">
        <f ca="1">+E220-E227</f>
        <v>175.67399999999998</v>
      </c>
      <c r="F228" s="334">
        <f t="shared" ca="1" si="302"/>
        <v>0.20376504975989976</v>
      </c>
      <c r="G228" s="337">
        <f ca="1">+G220-G227</f>
        <v>130.227</v>
      </c>
      <c r="H228" s="334">
        <f t="shared" ca="1" si="303"/>
        <v>0.14505285200325244</v>
      </c>
      <c r="I228" s="335">
        <f t="shared" ca="1" si="304"/>
        <v>-9.3249999999999318</v>
      </c>
      <c r="J228" s="336">
        <f t="shared" ca="1" si="305"/>
        <v>-5.308127554447406E-2</v>
      </c>
      <c r="K228" s="337">
        <f t="shared" ca="1" si="306"/>
        <v>36.122000000000043</v>
      </c>
      <c r="L228" s="334">
        <f t="shared" ca="1" si="307"/>
        <v>0.27737719520529569</v>
      </c>
      <c r="AD228" s="332" t="s">
        <v>49</v>
      </c>
      <c r="AE228" s="337">
        <f>+AE220-AE227</f>
        <v>131</v>
      </c>
      <c r="AF228" s="334">
        <f>IF(AE212=0,"N.D.",AE228/AE212)</f>
        <v>0.42671009771986973</v>
      </c>
      <c r="AG228" s="337">
        <f ca="1">+AG220-AG227</f>
        <v>177.33099999999999</v>
      </c>
      <c r="AH228" s="334">
        <f ca="1">IF(AG212=0,"N.D.",AG228/AG212)</f>
        <v>0.50811174785100288</v>
      </c>
      <c r="AI228" s="337">
        <f ca="1">+AI220-AI227</f>
        <v>119.45669000000001</v>
      </c>
      <c r="AJ228" s="334">
        <f ca="1">IF(AI212=0,"N.D.",AI228/AI212)</f>
        <v>0.33852973589754753</v>
      </c>
      <c r="AK228" s="335">
        <f t="shared" ca="1" si="308"/>
        <v>-46.330999999999989</v>
      </c>
      <c r="AL228" s="336">
        <f t="shared" ca="1" si="309"/>
        <v>-0.26126847533708142</v>
      </c>
      <c r="AM228" s="337">
        <f t="shared" ca="1" si="310"/>
        <v>11.543309999999991</v>
      </c>
      <c r="AN228" s="334">
        <f t="shared" ca="1" si="311"/>
        <v>9.663175833852411E-2</v>
      </c>
    </row>
    <row r="229" spans="1:55" x14ac:dyDescent="0.25">
      <c r="B229" s="322"/>
      <c r="C229" s="338"/>
      <c r="D229" s="339"/>
      <c r="E229" s="338"/>
      <c r="F229" s="339"/>
      <c r="G229" s="338"/>
      <c r="H229" s="339"/>
      <c r="I229" s="338"/>
      <c r="J229" s="340"/>
      <c r="K229" s="338"/>
      <c r="L229" s="339"/>
      <c r="AD229" s="322"/>
      <c r="AE229" s="338"/>
      <c r="AF229" s="339"/>
      <c r="AG229" s="338"/>
      <c r="AH229" s="339"/>
      <c r="AI229" s="338"/>
      <c r="AJ229" s="339"/>
      <c r="AK229" s="338"/>
      <c r="AL229" s="340"/>
      <c r="AM229" s="338"/>
      <c r="AN229" s="339"/>
    </row>
    <row r="230" spans="1:55" x14ac:dyDescent="0.25">
      <c r="B230" s="9" t="s">
        <v>213</v>
      </c>
      <c r="C230" s="327">
        <f ca="1">INDIRECT(ADDRESS(MATCH($B$209,'ER Act'!$B:$B,0)+20,MATCH(TEXT(DATE(YEAR(MES_CIERRE),ROUNDUP(MONTH(MES_CIERRE)/3,0)*3-2,1),"MMMM"),'ER Act'!$1:$1,0),,,"ER Act"))+INDIRECT(ADDRESS(MATCH($B$209,'ER Act'!$B:$B,0)+20,MATCH(TEXT(DATE(YEAR(MES_CIERRE),ROUNDUP(MONTH(MES_CIERRE)/3,0)*3-1,1),"MMMM"),'ER Act'!$1:$1,0),,,"ER Act"))+INDIRECT(ADDRESS(MATCH($B$209,'ER Act'!$B:$B,0)+20,MATCH(TEXT(DATE(YEAR(MES_CIERRE),ROUNDUP(MONTH(MES_CIERRE)/3,0)*3-0,1),"MMMM"),'ER Act'!$1:$1,0),,,"ER Act"))</f>
        <v>0</v>
      </c>
      <c r="D230" s="343">
        <f ca="1">IF(C212=0,"N.D.",C230/C212)</f>
        <v>0</v>
      </c>
      <c r="E230" s="327">
        <f ca="1">INDIRECT(ADDRESS(MATCH($B$209,'ER Ppto'!$B:$B,0)+20,MATCH(TEXT(DATE(YEAR(MES_CIERRE),ROUNDUP(MONTH(MES_CIERRE)/3,0)*3-2,1),"MMMM"),'ER Ppto'!$1:$1,0),,,"ER Ppto"))+INDIRECT(ADDRESS(MATCH($B$209,'ER Ppto'!$B:$B,0)+20,MATCH(TEXT(DATE(YEAR(MES_CIERRE),ROUNDUP(MONTH(MES_CIERRE)/3,0)*3-1,1),"MMMM"),'ER Ppto'!$1:$1,0),,,"ER Ppto"))+INDIRECT(ADDRESS(MATCH($B$209,'ER Ppto'!$B:$B,0)+20,MATCH(TEXT(DATE(YEAR(MES_CIERRE),ROUNDUP(MONTH(MES_CIERRE)/3,0)*3-0,1),"MMMM"),'ER Ppto'!$1:$1,0),,,"ER Ppto"))</f>
        <v>0</v>
      </c>
      <c r="F230" s="324">
        <f ca="1">IF(E$43=0, 0, E230/$E$43)</f>
        <v>0</v>
      </c>
      <c r="G230" s="327">
        <f ca="1">INDIRECT(ADDRESS(MATCH($B$209,'ER AA'!$B:$B,0)+20,MATCH(TEXT(DATE(YEAR(MES_CIERRE),ROUNDUP(MONTH(MES_CIERRE)/3,0)*3-2,1),"MMMM"),'ER AA'!$1:$1,0),,,"ER AA"))+INDIRECT(ADDRESS(MATCH($B$209,'ER AA'!$B:$B,0)+20,MATCH(TEXT(DATE(YEAR(MES_CIERRE),ROUNDUP(MONTH(MES_CIERRE)/3,0)*3-1,1),"MMMM"),'ER AA'!$1:$1,0),,,"ER AA"))+INDIRECT(ADDRESS(MATCH($B$209,'ER AA'!$B:$B,0)+20,MATCH(TEXT(DATE(YEAR(MES_CIERRE),ROUNDUP(MONTH(MES_CIERRE)/3,0)*3-0,1),"MMMM"),'ER AA'!$1:$1,0),,,"ER AA"))</f>
        <v>0</v>
      </c>
      <c r="H230" s="324">
        <f ca="1">IF(G$75=0, 0, G230/$G$75)</f>
        <v>0</v>
      </c>
      <c r="I230" s="325">
        <f t="shared" ref="I230:I238" ca="1" si="312">C230-E230</f>
        <v>0</v>
      </c>
      <c r="J230" s="326" t="str">
        <f t="shared" ref="J230:J238" ca="1" si="313">IF(E230=0,"N.D.",C230/E230-1)</f>
        <v>N.D.</v>
      </c>
      <c r="K230" s="327">
        <f t="shared" ref="K230:K238" ca="1" si="314">C230-G230</f>
        <v>0</v>
      </c>
      <c r="L230" s="324" t="str">
        <f t="shared" ref="L230:L238" ca="1" si="315">IF(G230=0,"N.D.",C230/G230-1)</f>
        <v>N.D.</v>
      </c>
      <c r="AD230" s="9" t="s">
        <v>213</v>
      </c>
      <c r="AE230" s="327">
        <v>0</v>
      </c>
      <c r="AF230" s="343">
        <f>IF(AE212=0,"N.D.",AE230/AE212)</f>
        <v>0</v>
      </c>
      <c r="AG230" s="327">
        <f ca="1">((INDIRECT(ADDRESS(MATCH($B$209,BDPP!$B:$B,0)+22,MATCH(TEXT(DATE(YEAR(MES_CIERRE),ROUNDUP(MONTH(MES_CIERRE)/3,0)*3,1),"MMMM"),BDPP!$1:$1,0)+1,,,"BDPP")))+(INDIRECT(ADDRESS(MATCH($B$209,BDPP!$B:$B,0)+22,MATCH(TEXT(DATE(YEAR(MES_CIERRE),ROUNDUP(MONTH(MES_CIERRE)/3,0)*3,1),"MMMM"),BDPP!$1:$1,0)+2,,,"BDPP")))+(INDIRECT(ADDRESS(MATCH($B$209,BDPP!$B:$B,0)+22,MATCH(TEXT(DATE(YEAR(MES_CIERRE),ROUNDUP(MONTH(MES_CIERRE)/3,0)*3,1),"MMMM"),BDPP!$1:$1,0)+3,,,"BDPP"))))/1000</f>
        <v>0</v>
      </c>
      <c r="AH230" s="343">
        <f ca="1">IF(AG212=0,"N.D.",AG230/AG212)</f>
        <v>0</v>
      </c>
      <c r="AI230" s="327">
        <f ca="1">INDIRECT(ADDRESS(MATCH($B$209,INDIRECT("'"&amp;IF(MONTH(MES_CIERRE)=12,"ER ACT","ER AA")&amp;"'!$B:$B"),0)+20,MATCH(TEXT(DATE(YEAR(MES_CIERRE),ROUNDUP(MONTH(MES_CIERRE)+1,0),1),"MMMM"),'ER AA'!$1:$1,0),,,IF(MONTH(MES_CIERRE)=12,"ER ACT","ER AA")))+INDIRECT(ADDRESS(MATCH($B$209,INDIRECT("'"&amp;IF(MONTH(MES_CIERRE)=12,"ER ACT","ER AA")&amp;"'!$B:$B"),0)+20,MATCH(TEXT(DATE(YEAR(MES_CIERRE),ROUNDUP(MONTH(MES_CIERRE)+2,0),1),"MMMM"),'ER AA'!$1:$1,0),,,IF(MONTH(MES_CIERRE)=12,"ER ACT","ER AA")))+INDIRECT(ADDRESS(MATCH($B$209,INDIRECT("'"&amp;IF(MONTH(MES_CIERRE)=12,"ER ACT","ER AA")&amp;"'!$B:$B"),0)+20,MATCH(TEXT(DATE(YEAR(MES_CIERRE),ROUNDUP(MONTH(MES_CIERRE)+3,0),1),"MMMM"),'ER AA'!$1:$1,0),,,IF(MONTH(MES_CIERRE)=12,"ER ACT","ER AA")))</f>
        <v>0</v>
      </c>
      <c r="AJ230" s="343">
        <f ca="1">IF(AI212=0,"N.D.",AI230/AI212)</f>
        <v>0</v>
      </c>
      <c r="AK230" s="325">
        <f t="shared" ref="AK230:AK238" ca="1" si="316">AE230-AG230</f>
        <v>0</v>
      </c>
      <c r="AL230" s="326" t="str">
        <f t="shared" ref="AL230:AL238" ca="1" si="317">IF(AG230=0,"N.D.",AE230/AG230-1)</f>
        <v>N.D.</v>
      </c>
      <c r="AM230" s="327">
        <f t="shared" ref="AM230:AM238" ca="1" si="318">AE230-AI230</f>
        <v>0</v>
      </c>
      <c r="AN230" s="324" t="str">
        <f t="shared" ref="AN230:AN238" ca="1" si="319">IF(AI230=0,"N.D.",AE230/AI230-1)</f>
        <v>N.D.</v>
      </c>
    </row>
    <row r="231" spans="1:55" x14ac:dyDescent="0.25">
      <c r="B231" s="9" t="s">
        <v>51</v>
      </c>
      <c r="C231" s="342">
        <f ca="1">INDIRECT(ADDRESS(MATCH($B$209,'ER Act'!$B:$B,0)+21,MATCH(TEXT(DATE(YEAR(MES_CIERRE),ROUNDUP(MONTH(MES_CIERRE)/3,0)*3-2,1),"MMMM"),'ER Act'!$1:$1,0),,,"ER Act"))+INDIRECT(ADDRESS(MATCH($B$209,'ER Act'!$B:$B,0)+21,MATCH(TEXT(DATE(YEAR(MES_CIERRE),ROUNDUP(MONTH(MES_CIERRE)/3,0)*3-1,1),"MMMM"),'ER Act'!$1:$1,0),,,"ER Act"))+INDIRECT(ADDRESS(MATCH($B$209,'ER Act'!$B:$B,0)+21,MATCH(TEXT(DATE(YEAR(MES_CIERRE),ROUNDUP(MONTH(MES_CIERRE)/3,0)*3-0,1),"MMMM"),'ER Act'!$1:$1,0),,,"ER Act"))</f>
        <v>0</v>
      </c>
      <c r="D231" s="345">
        <f ca="1">IF(C212=0,"N.D.",C231/C212)</f>
        <v>0</v>
      </c>
      <c r="E231" s="342">
        <f ca="1">INDIRECT(ADDRESS(MATCH($B$209,'ER Ppto'!$B:$B,0)+21,MATCH(TEXT(DATE(YEAR(MES_CIERRE),ROUNDUP(MONTH(MES_CIERRE)/3,0)*3-2,1),"MMMM"),'ER Ppto'!$1:$1,0),,,"ER Ppto"))+INDIRECT(ADDRESS(MATCH($B$209,'ER Ppto'!$B:$B,0)+21,MATCH(TEXT(DATE(YEAR(MES_CIERRE),ROUNDUP(MONTH(MES_CIERRE)/3,0)*3-1,1),"MMMM"),'ER Ppto'!$1:$1,0),,,"ER Ppto"))+INDIRECT(ADDRESS(MATCH($B$209,'ER Ppto'!$B:$B,0)+21,MATCH(TEXT(DATE(YEAR(MES_CIERRE),ROUNDUP(MONTH(MES_CIERRE)/3,0)*3-0,1),"MMMM"),'ER Ppto'!$1:$1,0),,,"ER Ppto"))</f>
        <v>0</v>
      </c>
      <c r="F231" s="329">
        <f ca="1">IF(E$43=0, 0, E231/$E$43)</f>
        <v>0</v>
      </c>
      <c r="G231" s="342">
        <f ca="1">INDIRECT(ADDRESS(MATCH($B$209,'ER AA'!$B:$B,0)+21,MATCH(TEXT(DATE(YEAR(MES_CIERRE),ROUNDUP(MONTH(MES_CIERRE)/3,0)*3-2,1),"MMMM"),'ER AA'!$1:$1,0),,,"ER AA"))+INDIRECT(ADDRESS(MATCH($B$209,'ER AA'!$B:$B,0)+21,MATCH(TEXT(DATE(YEAR(MES_CIERRE),ROUNDUP(MONTH(MES_CIERRE)/3,0)*3-1,1),"MMMM"),'ER AA'!$1:$1,0),,,"ER AA"))+INDIRECT(ADDRESS(MATCH($B$209,'ER AA'!$B:$B,0)+21,MATCH(TEXT(DATE(YEAR(MES_CIERRE),ROUNDUP(MONTH(MES_CIERRE)/3,0)*3-0,1),"MMMM"),'ER AA'!$1:$1,0),,,"ER AA"))</f>
        <v>0</v>
      </c>
      <c r="H231" s="329">
        <f ca="1">IF(G$75=0, 0, G231/$G$75)</f>
        <v>0</v>
      </c>
      <c r="I231" s="330">
        <f t="shared" ca="1" si="312"/>
        <v>0</v>
      </c>
      <c r="J231" s="331" t="str">
        <f t="shared" ca="1" si="313"/>
        <v>N.D.</v>
      </c>
      <c r="K231" s="342">
        <f t="shared" ca="1" si="314"/>
        <v>0</v>
      </c>
      <c r="L231" s="329" t="str">
        <f t="shared" ca="1" si="315"/>
        <v>N.D.</v>
      </c>
      <c r="AD231" s="9" t="s">
        <v>51</v>
      </c>
      <c r="AE231" s="342">
        <v>0</v>
      </c>
      <c r="AF231" s="345">
        <f>IF(AE212=0,"N.D.",AE231/AE212)</f>
        <v>0</v>
      </c>
      <c r="AG231" s="342">
        <f ca="1">((INDIRECT(ADDRESS(MATCH($B$209,BDPP!$B:$B,0)+23,MATCH(TEXT(DATE(YEAR(MES_CIERRE),ROUNDUP(MONTH(MES_CIERRE)/3,0)*3,1),"MMMM"),BDPP!$1:$1,0)+1,,,"BDPP")))+(INDIRECT(ADDRESS(MATCH($B$209,BDPP!$B:$B,0)+23,MATCH(TEXT(DATE(YEAR(MES_CIERRE),ROUNDUP(MONTH(MES_CIERRE)/3,0)*3,1),"MMMM"),BDPP!$1:$1,0)+2,,,"BDPP")))+(INDIRECT(ADDRESS(MATCH($B$209,BDPP!$B:$B,0)+23,MATCH(TEXT(DATE(YEAR(MES_CIERRE),ROUNDUP(MONTH(MES_CIERRE)/3,0)*3,1),"MMMM"),BDPP!$1:$1,0)+3,,,"BDPP"))))/1000</f>
        <v>0</v>
      </c>
      <c r="AH231" s="345">
        <f ca="1">IF(AG212=0,"N.D.",AG231/AG212)</f>
        <v>0</v>
      </c>
      <c r="AI231" s="342">
        <f ca="1">INDIRECT(ADDRESS(MATCH($B$209,INDIRECT("'"&amp;IF(MONTH(MES_CIERRE)=12,"ER ACT","ER AA")&amp;"'!$B:$B"),0)+21,MATCH(TEXT(DATE(YEAR(MES_CIERRE),ROUNDUP(MONTH(MES_CIERRE)+1,0),1),"MMMM"),'ER AA'!$1:$1,0),,,IF(MONTH(MES_CIERRE)=12,"ER ACT","ER AA")))+INDIRECT(ADDRESS(MATCH($B$209,INDIRECT("'"&amp;IF(MONTH(MES_CIERRE)=12,"ER ACT","ER AA")&amp;"'!$B:$B"),0)+21,MATCH(TEXT(DATE(YEAR(MES_CIERRE),ROUNDUP(MONTH(MES_CIERRE)+2,0),1),"MMMM"),'ER AA'!$1:$1,0),,,IF(MONTH(MES_CIERRE)=12,"ER ACT","ER AA")))+INDIRECT(ADDRESS(MATCH($B$209,INDIRECT("'"&amp;IF(MONTH(MES_CIERRE)=12,"ER ACT","ER AA")&amp;"'!$B:$B"),0)+21,MATCH(TEXT(DATE(YEAR(MES_CIERRE),ROUNDUP(MONTH(MES_CIERRE)+3,0),1),"MMMM"),'ER AA'!$1:$1,0),,,IF(MONTH(MES_CIERRE)=12,"ER ACT","ER AA")))</f>
        <v>0</v>
      </c>
      <c r="AJ231" s="345">
        <f ca="1">IF(AI212=0,"N.D.",AI231/AI212)</f>
        <v>0</v>
      </c>
      <c r="AK231" s="330">
        <f t="shared" ca="1" si="316"/>
        <v>0</v>
      </c>
      <c r="AL231" s="331" t="str">
        <f t="shared" ca="1" si="317"/>
        <v>N.D.</v>
      </c>
      <c r="AM231" s="342">
        <f t="shared" ca="1" si="318"/>
        <v>0</v>
      </c>
      <c r="AN231" s="329" t="str">
        <f t="shared" ca="1" si="319"/>
        <v>N.D.</v>
      </c>
    </row>
    <row r="232" spans="1:55" ht="13" x14ac:dyDescent="0.3">
      <c r="B232" s="87" t="s">
        <v>53</v>
      </c>
      <c r="C232" s="337">
        <f ca="1">+C228-C230-C231</f>
        <v>166.34900000000005</v>
      </c>
      <c r="D232" s="334">
        <f ca="1">IF(C212=0,"N.D.",C232/C212)</f>
        <v>0.4527341113457729</v>
      </c>
      <c r="E232" s="337">
        <f ca="1">+E228-E230-E231</f>
        <v>175.67399999999998</v>
      </c>
      <c r="F232" s="334">
        <f ca="1">IF(E$43=0, 0, E232/$E$43)</f>
        <v>0.20376504975989976</v>
      </c>
      <c r="G232" s="337">
        <f ca="1">+G228-G230-G231</f>
        <v>130.227</v>
      </c>
      <c r="H232" s="334">
        <f ca="1">IF(G$75=0, 0, G232/$G$75)</f>
        <v>0.14505285200325244</v>
      </c>
      <c r="I232" s="335">
        <f t="shared" ca="1" si="312"/>
        <v>-9.3249999999999318</v>
      </c>
      <c r="J232" s="336">
        <f t="shared" ca="1" si="313"/>
        <v>-5.308127554447406E-2</v>
      </c>
      <c r="K232" s="337">
        <f t="shared" ca="1" si="314"/>
        <v>36.122000000000043</v>
      </c>
      <c r="L232" s="334">
        <f t="shared" ca="1" si="315"/>
        <v>0.27737719520529569</v>
      </c>
      <c r="AD232" s="87" t="s">
        <v>53</v>
      </c>
      <c r="AE232" s="337">
        <f>+AE228-AE230-AE231</f>
        <v>131</v>
      </c>
      <c r="AF232" s="334">
        <f>IF(AE212=0,"N.D.",AE232/AE212)</f>
        <v>0.42671009771986973</v>
      </c>
      <c r="AG232" s="337">
        <f ca="1">+AG228-AG230-AG231</f>
        <v>177.33099999999999</v>
      </c>
      <c r="AH232" s="334">
        <f ca="1">IF(AG212=0,"N.D.",AG232/AG212)</f>
        <v>0.50811174785100288</v>
      </c>
      <c r="AI232" s="337">
        <f ca="1">+AI228-AI230-AI231</f>
        <v>119.45669000000001</v>
      </c>
      <c r="AJ232" s="334">
        <f ca="1">IF(AI212=0,"N.D.",AI232/AI212)</f>
        <v>0.33852973589754753</v>
      </c>
      <c r="AK232" s="335">
        <f t="shared" ca="1" si="316"/>
        <v>-46.330999999999989</v>
      </c>
      <c r="AL232" s="336">
        <f t="shared" ca="1" si="317"/>
        <v>-0.26126847533708142</v>
      </c>
      <c r="AM232" s="337">
        <f t="shared" ca="1" si="318"/>
        <v>11.543309999999991</v>
      </c>
      <c r="AN232" s="334">
        <f t="shared" ca="1" si="319"/>
        <v>9.663175833852411E-2</v>
      </c>
    </row>
    <row r="233" spans="1:55" ht="13" x14ac:dyDescent="0.3">
      <c r="B233" s="7" t="s">
        <v>122</v>
      </c>
      <c r="C233" s="337">
        <f ca="1">+C220+C218</f>
        <v>328.94200000000001</v>
      </c>
      <c r="D233" s="334">
        <f ca="1">IF(C212=0,"N.D.",C233/C212)</f>
        <v>0.89524592305515027</v>
      </c>
      <c r="E233" s="337">
        <f ca="1">+E220+E218</f>
        <v>317.54999999999995</v>
      </c>
      <c r="F233" s="334">
        <f ca="1">IF(E$43=0, 0, E233/$E$43)</f>
        <v>0.36832764980165628</v>
      </c>
      <c r="G233" s="337">
        <f ca="1">+G220+G218</f>
        <v>335.20600000000002</v>
      </c>
      <c r="H233" s="334">
        <f ca="1">IF(G$75=0, 0, G233/$G$75)</f>
        <v>0.3733679368226423</v>
      </c>
      <c r="I233" s="335">
        <f t="shared" ca="1" si="312"/>
        <v>11.392000000000053</v>
      </c>
      <c r="J233" s="336">
        <f t="shared" ca="1" si="313"/>
        <v>3.5874665407022777E-2</v>
      </c>
      <c r="K233" s="337">
        <f t="shared" ca="1" si="314"/>
        <v>-6.26400000000001</v>
      </c>
      <c r="L233" s="334">
        <f t="shared" ca="1" si="315"/>
        <v>-1.8687016342189611E-2</v>
      </c>
      <c r="AD233" s="7" t="s">
        <v>122</v>
      </c>
      <c r="AE233" s="337">
        <f>+AE220+AE218</f>
        <v>275</v>
      </c>
      <c r="AF233" s="334">
        <f>IF(AE212=0,"N.D.",AE233/AE212)</f>
        <v>0.89576547231270354</v>
      </c>
      <c r="AG233" s="337">
        <f ca="1">+AG220+AG218</f>
        <v>317.64999999999998</v>
      </c>
      <c r="AH233" s="334">
        <f ca="1">IF(AG212=0,"N.D.",AG233/AG212)</f>
        <v>0.91017191977077361</v>
      </c>
      <c r="AI233" s="337">
        <f ca="1">+AI220+AI218</f>
        <v>329.59040000000005</v>
      </c>
      <c r="AJ233" s="334">
        <f ca="1">IF(AI212=0,"N.D.",AI233/AI212)</f>
        <v>0.93403015826377789</v>
      </c>
      <c r="AK233" s="335">
        <f t="shared" ca="1" si="316"/>
        <v>-42.649999999999977</v>
      </c>
      <c r="AL233" s="336">
        <f t="shared" ca="1" si="317"/>
        <v>-0.13426727530300642</v>
      </c>
      <c r="AM233" s="337">
        <f t="shared" ca="1" si="318"/>
        <v>-54.590400000000045</v>
      </c>
      <c r="AN233" s="334">
        <f t="shared" ca="1" si="319"/>
        <v>-0.16563103779721755</v>
      </c>
    </row>
    <row r="234" spans="1:55" ht="13" x14ac:dyDescent="0.3">
      <c r="A234" s="317"/>
      <c r="B234" s="1" t="s">
        <v>194</v>
      </c>
      <c r="C234" s="373">
        <f ca="1">INDIRECT(ADDRESS(MATCH($B$209,'ER Act'!$B:$B,0)+24,MATCH(TEXT(DATE(YEAR(MES_CIERRE),ROUNDUP(MONTH(MES_CIERRE)/3,0)*3-2,1),"MMMM"),'ER Act'!$1:$1,0),,,"ER Act"))+INDIRECT(ADDRESS(MATCH($B$209,'ER Act'!$B:$B,0)+24,MATCH(TEXT(DATE(YEAR(MES_CIERRE),ROUNDUP(MONTH(MES_CIERRE)/3,0)*3-1,1),"MMMM"),'ER Act'!$1:$1,0),,,"ER Act"))+INDIRECT(ADDRESS(MATCH($B$209,'ER Act'!$B:$B,0)+24,MATCH(TEXT(DATE(YEAR(MES_CIERRE),ROUNDUP(MONTH(MES_CIERRE)/3,0)*3-0,1),"MMMM"),'ER Act'!$1:$1,0),,,"ER Act"))</f>
        <v>0</v>
      </c>
      <c r="D234" s="324">
        <f ca="1">IF(C$212=0, 0, C234/C$212)</f>
        <v>0</v>
      </c>
      <c r="E234" s="447">
        <f ca="1">INDIRECT(ADDRESS(MATCH($B$209,'ER Ppto'!$B:$B,0)+24,MATCH(TEXT(DATE(YEAR(MES_CIERRE),ROUNDUP(MONTH(MES_CIERRE)/3,0)*3-2,1),"MMMM"),'ER Ppto'!$1:$1,0),,,"ER Ppto"))+INDIRECT(ADDRESS(MATCH($B$209,'ER Ppto'!$B:$B,0)+24,MATCH(TEXT(DATE(YEAR(MES_CIERRE),ROUNDUP(MONTH(MES_CIERRE)/3,0)*3-1,1),"MMMM"),'ER Ppto'!$1:$1,0),,,"ER Ppto"))+INDIRECT(ADDRESS(MATCH($B$209,'ER Ppto'!$B:$B,0)+24,MATCH(TEXT(DATE(YEAR(MES_CIERRE),ROUNDUP(MONTH(MES_CIERRE)/3,0)*3-0,1),"MMMM"),'ER Ppto'!$1:$1,0),,,"ER Ppto"))</f>
        <v>0</v>
      </c>
      <c r="F234" s="324">
        <f ca="1">IF(E$212=0, 0, E234/E$212)</f>
        <v>0</v>
      </c>
      <c r="G234" s="447">
        <f ca="1">INDIRECT(ADDRESS(MATCH($B$209,'ER AA'!$B:$B,0)+24,MATCH(TEXT(DATE(YEAR(MES_CIERRE),ROUNDUP(MONTH(MES_CIERRE)/3,0)*3-2,1),"MMMM"),'ER AA'!$1:$1,0),,,"ER AA"))+INDIRECT(ADDRESS(MATCH($B$209,'ER AA'!$B:$B,0)+24,MATCH(TEXT(DATE(YEAR(MES_CIERRE),ROUNDUP(MONTH(MES_CIERRE)/3,0)*3-1,1),"MMMM"),'ER AA'!$1:$1,0),,,"ER AA"))+INDIRECT(ADDRESS(MATCH($B$209,'ER AA'!$B:$B,0)+24,MATCH(TEXT(DATE(YEAR(MES_CIERRE),ROUNDUP(MONTH(MES_CIERRE)/3,0)*3-0,1),"MMMM"),'ER AA'!$1:$1,0),,,"ER AA"))</f>
        <v>0</v>
      </c>
      <c r="H234" s="324">
        <f ca="1">IF(G$212=0, 0, G234/G$212)</f>
        <v>0</v>
      </c>
      <c r="I234" s="370">
        <f t="shared" ca="1" si="312"/>
        <v>0</v>
      </c>
      <c r="J234" s="326" t="str">
        <f t="shared" ca="1" si="313"/>
        <v>N.D.</v>
      </c>
      <c r="K234" s="370">
        <f t="shared" ca="1" si="314"/>
        <v>0</v>
      </c>
      <c r="L234" s="324" t="str">
        <f t="shared" ca="1" si="315"/>
        <v>N.D.</v>
      </c>
      <c r="S234" s="34"/>
      <c r="T234" s="34"/>
      <c r="U234" s="34"/>
      <c r="V234" s="34"/>
      <c r="W234" s="34"/>
      <c r="X234" s="34"/>
      <c r="Y234" s="34"/>
      <c r="Z234" s="34"/>
      <c r="AA234" s="33"/>
      <c r="AD234" s="1" t="s">
        <v>194</v>
      </c>
      <c r="AE234" s="373">
        <v>0</v>
      </c>
      <c r="AF234" s="324">
        <f>IF(AE$212=0, 0, AE234/AE$212)</f>
        <v>0</v>
      </c>
      <c r="AG234" s="447">
        <v>0</v>
      </c>
      <c r="AH234" s="324">
        <f ca="1">IF(AG$212=0, 0, AG234/AG$212)</f>
        <v>0</v>
      </c>
      <c r="AI234" s="447">
        <f ca="1">INDIRECT(ADDRESS(MATCH($B$209,INDIRECT("'"&amp;IF(MONTH(MES_CIERRE)=12,"ER ACT","ER AA")&amp;"'!$B:$B"),0)+24,MATCH(TEXT(DATE(YEAR(MES_CIERRE),ROUNDUP(MONTH(MES_CIERRE)+1,0),1),"MMMM"),'ER AA'!$1:$1,0),,,IF(MONTH(MES_CIERRE)=12,"ER ACT","ER AA")))+INDIRECT(ADDRESS(MATCH($B$209,INDIRECT("'"&amp;IF(MONTH(MES_CIERRE)=12,"ER ACT","ER AA")&amp;"'!$B:$B"),0)+24,MATCH(TEXT(DATE(YEAR(MES_CIERRE),ROUNDUP(MONTH(MES_CIERRE)+2,0),1),"MMMM"),'ER AA'!$1:$1,0),,,IF(MONTH(MES_CIERRE)=12,"ER ACT","ER AA")))+INDIRECT(ADDRESS(MATCH($B$209,INDIRECT("'"&amp;IF(MONTH(MES_CIERRE)=12,"ER ACT","ER AA")&amp;"'!$B:$B"),0)+24,MATCH(TEXT(DATE(YEAR(MES_CIERRE),ROUNDUP(MONTH(MES_CIERRE)+3,0),1),"MMMM"),'ER AA'!$1:$1,0),,,IF(MONTH(MES_CIERRE)=12,"ER ACT","ER AA")))</f>
        <v>0</v>
      </c>
      <c r="AJ234" s="324">
        <f ca="1">IF(AI$212=0, 0, AI234/AI$212)</f>
        <v>0</v>
      </c>
      <c r="AK234" s="370">
        <f t="shared" si="316"/>
        <v>0</v>
      </c>
      <c r="AL234" s="326" t="str">
        <f t="shared" si="317"/>
        <v>N.D.</v>
      </c>
      <c r="AM234" s="370">
        <f t="shared" ca="1" si="318"/>
        <v>0</v>
      </c>
      <c r="AN234" s="324" t="str">
        <f t="shared" ca="1" si="319"/>
        <v>N.D.</v>
      </c>
      <c r="AU234" s="34"/>
      <c r="AV234" s="34"/>
      <c r="AW234" s="34"/>
      <c r="AX234" s="34"/>
      <c r="AY234" s="34"/>
      <c r="AZ234" s="34"/>
      <c r="BA234" s="34"/>
      <c r="BB234" s="34"/>
      <c r="BC234" s="33"/>
    </row>
    <row r="235" spans="1:55" ht="13" x14ac:dyDescent="0.3">
      <c r="A235" s="317"/>
      <c r="B235" s="1" t="s">
        <v>123</v>
      </c>
      <c r="C235" s="408">
        <f ca="1">INDIRECT(ADDRESS(MATCH($B$209,'ER Act'!$B:$B,0)+25,MATCH(TEXT(DATE(YEAR(MES_CIERRE),ROUNDUP(MONTH(MES_CIERRE)/3,0)*3-2,1),"MMMM"),'ER Act'!$1:$1,0),,,"ER Act"))+INDIRECT(ADDRESS(MATCH($B$209,'ER Act'!$B:$B,0)+25,MATCH(TEXT(DATE(YEAR(MES_CIERRE),ROUNDUP(MONTH(MES_CIERRE)/3,0)*3-1,1),"MMMM"),'ER Act'!$1:$1,0),,,"ER Act"))+INDIRECT(ADDRESS(MATCH($B$209,'ER Act'!$B:$B,0)+25,MATCH(TEXT(DATE(YEAR(MES_CIERRE),ROUNDUP(MONTH(MES_CIERRE)/3,0)*3-0,1),"MMMM"),'ER Act'!$1:$1,0),,,"ER Act"))</f>
        <v>0</v>
      </c>
      <c r="D235" s="329">
        <f ca="1">IF(C$212=0, 0, C235/C$212)</f>
        <v>0</v>
      </c>
      <c r="E235" s="448">
        <f ca="1">INDIRECT(ADDRESS(MATCH($B$209,'ER Ppto'!$B:$B,0)+25,MATCH(TEXT(DATE(YEAR(MES_CIERRE),ROUNDUP(MONTH(MES_CIERRE)/3,0)*3-2,1),"MMMM"),'ER Ppto'!$1:$1,0),,,"ER Ppto"))+INDIRECT(ADDRESS(MATCH($B$209,'ER Ppto'!$B:$B,0)+25,MATCH(TEXT(DATE(YEAR(MES_CIERRE),ROUNDUP(MONTH(MES_CIERRE)/3,0)*3-1,1),"MMMM"),'ER Ppto'!$1:$1,0),,,"ER Ppto"))+INDIRECT(ADDRESS(MATCH($B$209,'ER Ppto'!$B:$B,0)+25,MATCH(TEXT(DATE(YEAR(MES_CIERRE),ROUNDUP(MONTH(MES_CIERRE)/3,0)*3-0,1),"MMMM"),'ER Ppto'!$1:$1,0),,,"ER Ppto"))</f>
        <v>0</v>
      </c>
      <c r="F235" s="329">
        <f ca="1">IF(E$212=0, 0, E235/E$212)</f>
        <v>0</v>
      </c>
      <c r="G235" s="448">
        <f ca="1">INDIRECT(ADDRESS(MATCH($B$209,'ER AA'!$B:$B,0)+25,MATCH(TEXT(DATE(YEAR(MES_CIERRE),ROUNDUP(MONTH(MES_CIERRE)/3,0)*3-2,1),"MMMM"),'ER AA'!$1:$1,0),,,"ER AA"))+INDIRECT(ADDRESS(MATCH($B$209,'ER AA'!$B:$B,0)+25,MATCH(TEXT(DATE(YEAR(MES_CIERRE),ROUNDUP(MONTH(MES_CIERRE)/3,0)*3-1,1),"MMMM"),'ER AA'!$1:$1,0),,,"ER AA"))+INDIRECT(ADDRESS(MATCH($B$209,'ER AA'!$B:$B,0)+25,MATCH(TEXT(DATE(YEAR(MES_CIERRE),ROUNDUP(MONTH(MES_CIERRE)/3,0)*3-0,1),"MMMM"),'ER AA'!$1:$1,0),,,"ER AA"))</f>
        <v>0</v>
      </c>
      <c r="H235" s="329">
        <f ca="1">IF(G$212=0, 0, G235/G$212)</f>
        <v>0</v>
      </c>
      <c r="I235" s="371">
        <f t="shared" ca="1" si="312"/>
        <v>0</v>
      </c>
      <c r="J235" s="372" t="str">
        <f t="shared" ca="1" si="313"/>
        <v>N.D.</v>
      </c>
      <c r="K235" s="371">
        <f t="shared" ca="1" si="314"/>
        <v>0</v>
      </c>
      <c r="L235" s="329" t="str">
        <f t="shared" ca="1" si="315"/>
        <v>N.D.</v>
      </c>
      <c r="S235" s="34"/>
      <c r="T235" s="34"/>
      <c r="U235" s="34"/>
      <c r="V235" s="34"/>
      <c r="W235" s="34"/>
      <c r="X235" s="34"/>
      <c r="Y235" s="34"/>
      <c r="Z235" s="34"/>
      <c r="AA235" s="33"/>
      <c r="AD235" s="1" t="s">
        <v>123</v>
      </c>
      <c r="AE235" s="408">
        <v>0</v>
      </c>
      <c r="AF235" s="329">
        <f>IF(AE$212=0, 0, AE235/AE$212)</f>
        <v>0</v>
      </c>
      <c r="AG235" s="448">
        <v>0</v>
      </c>
      <c r="AH235" s="329">
        <f ca="1">IF(AG$212=0, 0, AG235/AG$212)</f>
        <v>0</v>
      </c>
      <c r="AI235" s="448">
        <f ca="1">INDIRECT(ADDRESS(MATCH($B$209,INDIRECT("'"&amp;IF(MONTH(MES_CIERRE)=12,"ER ACT","ER AA")&amp;"'!$B:$B"),0)+25,MATCH(TEXT(DATE(YEAR(MES_CIERRE),ROUNDUP(MONTH(MES_CIERRE)+1,0),1),"MMMM"),'ER AA'!$1:$1,0),,,IF(MONTH(MES_CIERRE)=12,"ER ACT","ER AA")))+INDIRECT(ADDRESS(MATCH($B$209,INDIRECT("'"&amp;IF(MONTH(MES_CIERRE)=12,"ER ACT","ER AA")&amp;"'!$B:$B"),0)+25,MATCH(TEXT(DATE(YEAR(MES_CIERRE),ROUNDUP(MONTH(MES_CIERRE)+2,0),1),"MMMM"),'ER AA'!$1:$1,0),,,IF(MONTH(MES_CIERRE)=12,"ER ACT","ER AA")))+INDIRECT(ADDRESS(MATCH($B$209,INDIRECT("'"&amp;IF(MONTH(MES_CIERRE)=12,"ER ACT","ER AA")&amp;"'!$B:$B"),0)+25,MATCH(TEXT(DATE(YEAR(MES_CIERRE),ROUNDUP(MONTH(MES_CIERRE)+3,0),1),"MMMM"),'ER AA'!$1:$1,0),,,IF(MONTH(MES_CIERRE)=12,"ER ACT","ER AA")))</f>
        <v>0</v>
      </c>
      <c r="AJ235" s="329">
        <f ca="1">IF(AI$212=0, 0, AI235/AI$212)</f>
        <v>0</v>
      </c>
      <c r="AK235" s="371">
        <f t="shared" si="316"/>
        <v>0</v>
      </c>
      <c r="AL235" s="372" t="str">
        <f t="shared" si="317"/>
        <v>N.D.</v>
      </c>
      <c r="AM235" s="371">
        <f t="shared" ca="1" si="318"/>
        <v>0</v>
      </c>
      <c r="AN235" s="329" t="str">
        <f t="shared" ca="1" si="319"/>
        <v>N.D.</v>
      </c>
      <c r="AU235" s="34"/>
      <c r="AV235" s="34"/>
      <c r="AW235" s="34"/>
      <c r="AX235" s="34"/>
      <c r="AY235" s="34"/>
      <c r="AZ235" s="34"/>
      <c r="BA235" s="34"/>
      <c r="BB235" s="34"/>
      <c r="BC235" s="33"/>
    </row>
    <row r="236" spans="1:55" ht="13" x14ac:dyDescent="0.3">
      <c r="A236" s="317"/>
      <c r="B236" s="7" t="s">
        <v>190</v>
      </c>
      <c r="C236" s="410">
        <f ca="1">+C232+C218+C234+C235</f>
        <v>229.35500000000005</v>
      </c>
      <c r="D236" s="334">
        <f ca="1">IF(C212=0,"N.D.",C236/C212)</f>
        <v>0.62421073831348395</v>
      </c>
      <c r="E236" s="410">
        <f ca="1">+E232+E218+E234+E235</f>
        <v>238.97399999999999</v>
      </c>
      <c r="F236" s="334">
        <f ca="1">IF(E212=0,"N.D.",E236/E212)</f>
        <v>0.68493551160791055</v>
      </c>
      <c r="G236" s="410">
        <f ca="1">+G232+G218+G234+G235</f>
        <v>254.74799999999999</v>
      </c>
      <c r="H236" s="334">
        <f ca="1">IF(G212=0,"N.D.",G236/G212)</f>
        <v>0.70401353043103376</v>
      </c>
      <c r="I236" s="367">
        <f t="shared" ca="1" si="312"/>
        <v>-9.6189999999999429</v>
      </c>
      <c r="J236" s="368">
        <f t="shared" ca="1" si="313"/>
        <v>-4.0251240720747594E-2</v>
      </c>
      <c r="K236" s="369">
        <f t="shared" ca="1" si="314"/>
        <v>-25.392999999999944</v>
      </c>
      <c r="L236" s="366">
        <f t="shared" ca="1" si="315"/>
        <v>-9.9678898362302926E-2</v>
      </c>
      <c r="S236" s="34"/>
      <c r="T236" s="34"/>
      <c r="U236" s="34"/>
      <c r="V236" s="34"/>
      <c r="W236" s="34"/>
      <c r="X236" s="34"/>
      <c r="Y236" s="34"/>
      <c r="Z236" s="34"/>
      <c r="AA236" s="33"/>
      <c r="AD236" s="7" t="s">
        <v>190</v>
      </c>
      <c r="AE236" s="410">
        <f>+AE232+AE218+AE234+AE235</f>
        <v>194</v>
      </c>
      <c r="AF236" s="334">
        <f>IF(AE212=0,"N.D.",AE236/AE212)</f>
        <v>0.63192182410423448</v>
      </c>
      <c r="AG236" s="410">
        <f ca="1">+AG232+AG218+AG234+AG235</f>
        <v>240.63099999999997</v>
      </c>
      <c r="AH236" s="334">
        <f ca="1">IF(AG212=0,"N.D.",AG236/AG212)</f>
        <v>0.68948710601719188</v>
      </c>
      <c r="AI236" s="410">
        <f ca="1">+AI232+AI218+AI234+AI235</f>
        <v>243.97868000000003</v>
      </c>
      <c r="AJ236" s="334">
        <f ca="1">IF(AI212=0,"N.D.",AI236/AI212)</f>
        <v>0.69141408576641683</v>
      </c>
      <c r="AK236" s="367">
        <f t="shared" ca="1" si="316"/>
        <v>-46.630999999999972</v>
      </c>
      <c r="AL236" s="368">
        <f t="shared" ca="1" si="317"/>
        <v>-0.19378633675627821</v>
      </c>
      <c r="AM236" s="369">
        <f t="shared" ca="1" si="318"/>
        <v>-49.978680000000026</v>
      </c>
      <c r="AN236" s="366">
        <f t="shared" ca="1" si="319"/>
        <v>-0.20484855479995223</v>
      </c>
      <c r="AU236" s="34"/>
      <c r="AV236" s="34"/>
      <c r="AW236" s="34"/>
      <c r="AX236" s="34"/>
      <c r="AY236" s="34"/>
      <c r="AZ236" s="34"/>
      <c r="BA236" s="34"/>
      <c r="BB236" s="34"/>
      <c r="BC236" s="33"/>
    </row>
    <row r="237" spans="1:55" ht="13" x14ac:dyDescent="0.3">
      <c r="B237" s="7" t="s">
        <v>191</v>
      </c>
      <c r="C237" s="381">
        <f ca="1">INDIRECT(ADDRESS(MATCH($B$209,'ER Act'!$B:$B,0)+27,MATCH(TEXT(DATE(YEAR(MES_CIERRE),ROUNDUP(MONTH(MES_CIERRE)/3,0)*3-2,1),"MMMM"),'ER Act'!$1:$1,0),,,"ER Act"))+INDIRECT(ADDRESS(MATCH($B$209,'ER Act'!$B:$B,0)+27,MATCH(TEXT(DATE(YEAR(MES_CIERRE),ROUNDUP(MONTH(MES_CIERRE)/3,0)*3-1,1),"MMMM"),'ER Act'!$1:$1,0),,,"ER Act"))+INDIRECT(ADDRESS(MATCH($B$209,'ER Act'!$B:$B,0)+27,MATCH(TEXT(DATE(YEAR(MES_CIERRE),ROUNDUP(MONTH(MES_CIERRE)/3,0)*3-0,1),"MMMM"),'ER Act'!$1:$1,0),,,"ER Act"))</f>
        <v>102.44135</v>
      </c>
      <c r="D237" s="329">
        <f ca="1">IF(C$212=0, 0, C237/C$212)</f>
        <v>0.27880356093100217</v>
      </c>
      <c r="E237" s="381">
        <f ca="1">INDIRECT(ADDRESS(MATCH($B$209,'ER Ppto'!$B:$B,0)+27,MATCH(TEXT(DATE(YEAR(MES_CIERRE),ROUNDUP(MONTH(MES_CIERRE)/3,0)*3-2,1),"MMMM"),'ER Ppto'!$1:$1,0),,,"ER Ppto"))+INDIRECT(ADDRESS(MATCH($B$209,'ER Ppto'!$B:$B,0)+27,MATCH(TEXT(DATE(YEAR(MES_CIERRE),ROUNDUP(MONTH(MES_CIERRE)/3,0)*3-1,1),"MMMM"),'ER Ppto'!$1:$1,0),,,"ER Ppto"))+INDIRECT(ADDRESS(MATCH($B$209,'ER Ppto'!$B:$B,0)+27,MATCH(TEXT(DATE(YEAR(MES_CIERRE),ROUNDUP(MONTH(MES_CIERRE)/3,0)*3-0,1),"MMMM"),'ER Ppto'!$1:$1,0),,,"ER Ppto"))</f>
        <v>102.44135</v>
      </c>
      <c r="F237" s="329">
        <f ca="1">IF(E$212=0, 0, E237/E$212)</f>
        <v>0.29361235310977357</v>
      </c>
      <c r="G237" s="381">
        <f ca="1">INDIRECT(ADDRESS(MATCH($B$209,'ER AA'!$B:$B,0)+27,MATCH(TEXT(DATE(YEAR(MES_CIERRE),ROUNDUP(MONTH(MES_CIERRE)/3,0)*3-2,1),"MMMM"),'ER AA'!$1:$1,0),,,"ER AA"))+INDIRECT(ADDRESS(MATCH($B$209,'ER AA'!$B:$B,0)+27,MATCH(TEXT(DATE(YEAR(MES_CIERRE),ROUNDUP(MONTH(MES_CIERRE)/3,0)*3-1,1),"MMMM"),'ER AA'!$1:$1,0),,,"ER AA"))+INDIRECT(ADDRESS(MATCH($B$209,'ER AA'!$B:$B,0)+27,MATCH(TEXT(DATE(YEAR(MES_CIERRE),ROUNDUP(MONTH(MES_CIERRE)/3,0)*3-0,1),"MMMM"),'ER AA'!$1:$1,0),,,"ER AA"))</f>
        <v>111.40950000000001</v>
      </c>
      <c r="H237" s="329">
        <f ca="1">IF(G$212=0, 0, G237/G$212)</f>
        <v>0.30788777701319053</v>
      </c>
      <c r="I237" s="335">
        <f t="shared" ca="1" si="312"/>
        <v>0</v>
      </c>
      <c r="J237" s="336">
        <f t="shared" ca="1" si="313"/>
        <v>0</v>
      </c>
      <c r="K237" s="337">
        <f t="shared" ca="1" si="314"/>
        <v>-8.9681500000000085</v>
      </c>
      <c r="L237" s="334">
        <f t="shared" ca="1" si="315"/>
        <v>-8.0497174836975383E-2</v>
      </c>
      <c r="S237" s="34"/>
      <c r="T237" s="34"/>
      <c r="U237" s="34"/>
      <c r="V237" s="34"/>
      <c r="W237" s="34"/>
      <c r="X237" s="34"/>
      <c r="Y237" s="34"/>
      <c r="Z237" s="34"/>
      <c r="AA237" s="33"/>
      <c r="AD237" s="7" t="s">
        <v>191</v>
      </c>
      <c r="AE237" s="381">
        <v>85</v>
      </c>
      <c r="AF237" s="329">
        <f>IF(AE$212=0, 0, AE237/AE$212)</f>
        <v>0.27687296416938112</v>
      </c>
      <c r="AG237" s="381">
        <f ca="1">+C237</f>
        <v>102.44135</v>
      </c>
      <c r="AH237" s="329">
        <f ca="1">IF(AG$212=0, 0, AG237/AG$212)</f>
        <v>0.29352822349570201</v>
      </c>
      <c r="AI237" s="381">
        <f ca="1">INDIRECT(ADDRESS(MATCH($B$209,INDIRECT("'"&amp;IF(MONTH(MES_CIERRE)=12,"ER ACT","ER AA")&amp;"'!$B:$B"),0)+27,MATCH(TEXT(DATE(YEAR(MES_CIERRE),ROUNDUP(MONTH(MES_CIERRE)/3,0)*3-2,1),"MMMM"),'ER AA'!$1:$1,0),,,IF(MONTH(MES_CIERRE)=12,"ER ACT","ER AA")))+INDIRECT(ADDRESS(MATCH($B$209,INDIRECT("'"&amp;IF(MONTH(MES_CIERRE)=12,"ER ACT","ER AA")&amp;"'!$B:$B"),0)+27,MATCH(TEXT(DATE(YEAR(MES_CIERRE),ROUNDUP(MONTH(MES_CIERRE)/3,0)*3-1,1),"MMMM"),'ER AA'!$1:$1,0),,,IF(MONTH(MES_CIERRE)=12,"ER ACT","ER AA")))+INDIRECT(ADDRESS(MATCH($B$209,INDIRECT("'"&amp;IF(MONTH(MES_CIERRE)=12,"ER ACT","ER AA")&amp;"'!$B:$B"),0)+27,MATCH(TEXT(DATE(YEAR(MES_CIERRE),ROUNDUP(MONTH(MES_CIERRE)/3,0)*3-0,1),"MMMM"),'ER AA'!$1:$1,0),,,IF(MONTH(MES_CIERRE)=12,"ER ACT","ER AA")))</f>
        <v>111.40950000000001</v>
      </c>
      <c r="AJ237" s="329">
        <f ca="1">IF(AI$212=0, 0, AI237/AI$212)</f>
        <v>0.31572470835645805</v>
      </c>
      <c r="AK237" s="335">
        <f t="shared" ca="1" si="316"/>
        <v>-17.44135</v>
      </c>
      <c r="AL237" s="336">
        <f t="shared" ca="1" si="317"/>
        <v>-0.1702569323813089</v>
      </c>
      <c r="AM237" s="337">
        <f t="shared" ca="1" si="318"/>
        <v>-26.409500000000008</v>
      </c>
      <c r="AN237" s="334">
        <f t="shared" ca="1" si="319"/>
        <v>-0.23704890516517896</v>
      </c>
      <c r="AU237" s="34"/>
      <c r="AV237" s="34"/>
      <c r="AW237" s="34"/>
      <c r="AX237" s="34"/>
      <c r="AY237" s="34"/>
      <c r="AZ237" s="34"/>
      <c r="BA237" s="34"/>
      <c r="BB237" s="34"/>
      <c r="BC237" s="33"/>
    </row>
    <row r="238" spans="1:55" ht="13" x14ac:dyDescent="0.3">
      <c r="A238" s="316"/>
      <c r="B238" s="7" t="s">
        <v>84</v>
      </c>
      <c r="C238" s="381">
        <f ca="1">C236-C237</f>
        <v>126.91365000000005</v>
      </c>
      <c r="D238" s="334">
        <f ca="1">IF(C212=0,"N.D.",C238/C212)</f>
        <v>0.34540717738248178</v>
      </c>
      <c r="E238" s="381">
        <f ca="1">E236-E237</f>
        <v>136.53264999999999</v>
      </c>
      <c r="F238" s="334">
        <f ca="1">IF(E212=0,"N.D.",E238/E212)</f>
        <v>0.39132315849813698</v>
      </c>
      <c r="G238" s="381">
        <f ca="1">G236-G237</f>
        <v>143.33849999999998</v>
      </c>
      <c r="H238" s="334">
        <f ca="1">IF(G212=0,"N.D.",G238/G212)</f>
        <v>0.39612575341784323</v>
      </c>
      <c r="I238" s="335">
        <f t="shared" ca="1" si="312"/>
        <v>-9.6189999999999429</v>
      </c>
      <c r="J238" s="336">
        <f t="shared" ca="1" si="313"/>
        <v>-7.0452012760317317E-2</v>
      </c>
      <c r="K238" s="337">
        <f t="shared" ca="1" si="314"/>
        <v>-16.424849999999935</v>
      </c>
      <c r="L238" s="334">
        <f t="shared" ca="1" si="315"/>
        <v>-0.11458784625205332</v>
      </c>
      <c r="S238" s="34"/>
      <c r="T238" s="34"/>
      <c r="U238" s="34"/>
      <c r="V238" s="34"/>
      <c r="W238" s="34"/>
      <c r="X238" s="34"/>
      <c r="Y238" s="34"/>
      <c r="Z238" s="34"/>
      <c r="AA238" s="33"/>
      <c r="AD238" s="7" t="s">
        <v>84</v>
      </c>
      <c r="AE238" s="381">
        <f>AE236-AE237</f>
        <v>109</v>
      </c>
      <c r="AF238" s="334">
        <f>IF(AE212=0,"N.D.",AE238/AE212)</f>
        <v>0.35504885993485341</v>
      </c>
      <c r="AG238" s="381">
        <f ca="1">AG236-AG237</f>
        <v>138.18964999999997</v>
      </c>
      <c r="AH238" s="334">
        <f ca="1">IF(AG212=0,"N.D.",AG238/AG212)</f>
        <v>0.39595888252148986</v>
      </c>
      <c r="AI238" s="381">
        <f ca="1">AI236-AI237</f>
        <v>132.56918000000002</v>
      </c>
      <c r="AJ238" s="334">
        <f ca="1">IF(AI212=0,"N.D.",AI238/AI212)</f>
        <v>0.37568937740995872</v>
      </c>
      <c r="AK238" s="335">
        <f t="shared" ca="1" si="316"/>
        <v>-29.189649999999972</v>
      </c>
      <c r="AL238" s="336">
        <f t="shared" ca="1" si="317"/>
        <v>-0.21122891620320317</v>
      </c>
      <c r="AM238" s="337">
        <f t="shared" ca="1" si="318"/>
        <v>-23.569180000000017</v>
      </c>
      <c r="AN238" s="334">
        <f t="shared" ca="1" si="319"/>
        <v>-0.1777877784263282</v>
      </c>
      <c r="AU238" s="34"/>
      <c r="AV238" s="34"/>
      <c r="AW238" s="34"/>
      <c r="AX238" s="34"/>
      <c r="AY238" s="34"/>
      <c r="AZ238" s="34"/>
      <c r="BA238" s="34"/>
      <c r="BB238" s="34"/>
      <c r="BC238" s="33"/>
    </row>
    <row r="239" spans="1:55" ht="13" x14ac:dyDescent="0.3">
      <c r="A239" s="316"/>
      <c r="B239" s="1" t="s">
        <v>193</v>
      </c>
      <c r="C239" s="412">
        <f ca="1">IF(C237=0,"N.D.",(C236-C234-C235)/C237)</f>
        <v>2.2388908385139406</v>
      </c>
      <c r="E239" s="412">
        <f ca="1">IF(E237=0,"N.D.",(E236-E234-E235)/E237)</f>
        <v>2.3327884687189302</v>
      </c>
      <c r="G239" s="412">
        <f ca="1">IF(G237=0,"N.D.",(G236-G234-G235)/G237)</f>
        <v>2.2865913589056586</v>
      </c>
      <c r="S239" s="34"/>
      <c r="T239" s="34"/>
      <c r="U239" s="34"/>
      <c r="V239" s="34"/>
      <c r="W239" s="34"/>
      <c r="X239" s="34"/>
      <c r="Y239" s="34"/>
      <c r="Z239" s="34"/>
      <c r="AA239" s="33"/>
      <c r="AD239" s="1" t="s">
        <v>193</v>
      </c>
      <c r="AE239" s="412">
        <f>IF(AE237=0,"N.D.",(AE236-AE234-AE235)/AE237)</f>
        <v>2.2823529411764705</v>
      </c>
      <c r="AG239" s="412">
        <f ca="1">IF(AG237=0,"N.D.",(AG236-AG234-AG235)/AG237)</f>
        <v>2.3489635776959203</v>
      </c>
      <c r="AI239" s="412">
        <f ca="1">IF(AI237=0,"N.D.",(AI236-AI234-AI235)/AI237)</f>
        <v>2.1899270708512293</v>
      </c>
      <c r="AU239" s="34"/>
      <c r="AV239" s="34"/>
      <c r="AW239" s="34"/>
      <c r="AX239" s="34"/>
      <c r="AY239" s="34"/>
      <c r="AZ239" s="34"/>
      <c r="BA239" s="34"/>
      <c r="BB239" s="34"/>
      <c r="BC239" s="33"/>
    </row>
    <row r="240" spans="1:55" x14ac:dyDescent="0.25">
      <c r="A240" s="316"/>
    </row>
    <row r="245" spans="2:40" ht="13" x14ac:dyDescent="0.3">
      <c r="B245" s="281" t="s">
        <v>452</v>
      </c>
      <c r="C245" s="319"/>
      <c r="D245" s="320"/>
      <c r="E245" s="319"/>
      <c r="F245" s="320"/>
      <c r="G245" s="319"/>
      <c r="H245" s="320"/>
      <c r="I245" s="319"/>
      <c r="J245" s="320"/>
      <c r="K245" s="319"/>
      <c r="L245" s="320"/>
      <c r="AD245" s="281" t="s">
        <v>452</v>
      </c>
      <c r="AE245" s="319"/>
      <c r="AF245" s="320"/>
      <c r="AG245" s="319"/>
      <c r="AH245" s="320"/>
      <c r="AI245" s="319"/>
      <c r="AJ245" s="320"/>
      <c r="AK245" s="319"/>
      <c r="AL245" s="320"/>
      <c r="AM245" s="319"/>
      <c r="AN245" s="320"/>
    </row>
    <row r="246" spans="2:40" ht="13" x14ac:dyDescent="0.3">
      <c r="B246" s="318" t="str">
        <f>+B210</f>
        <v>Trimestre</v>
      </c>
      <c r="C246" s="319"/>
      <c r="D246" s="320"/>
      <c r="E246" s="319"/>
      <c r="F246" s="320"/>
      <c r="G246" s="319"/>
      <c r="H246" s="320"/>
      <c r="I246" s="319"/>
      <c r="J246" s="320"/>
      <c r="K246" s="319"/>
      <c r="L246" s="320"/>
      <c r="AD246" s="318" t="s">
        <v>431</v>
      </c>
      <c r="AE246" s="319"/>
      <c r="AF246" s="320"/>
      <c r="AG246" s="319"/>
      <c r="AH246" s="320"/>
      <c r="AI246" s="319"/>
      <c r="AJ246" s="320"/>
      <c r="AK246" s="319"/>
      <c r="AL246" s="320"/>
      <c r="AM246" s="319"/>
      <c r="AN246" s="320"/>
    </row>
    <row r="247" spans="2:40" ht="13" x14ac:dyDescent="0.3">
      <c r="B247" s="319"/>
      <c r="C247" s="390" t="s">
        <v>0</v>
      </c>
      <c r="D247" s="321"/>
      <c r="E247" s="390" t="s">
        <v>4</v>
      </c>
      <c r="F247" s="321"/>
      <c r="G247" s="390" t="s">
        <v>9</v>
      </c>
      <c r="H247" s="321"/>
      <c r="I247" s="390" t="s">
        <v>6</v>
      </c>
      <c r="J247" s="321"/>
      <c r="K247" s="390" t="s">
        <v>7</v>
      </c>
      <c r="L247" s="320"/>
      <c r="AD247" s="319"/>
      <c r="AE247" s="390" t="s">
        <v>0</v>
      </c>
      <c r="AF247" s="321"/>
      <c r="AG247" s="390" t="s">
        <v>4</v>
      </c>
      <c r="AH247" s="321"/>
      <c r="AI247" s="390" t="s">
        <v>9</v>
      </c>
      <c r="AJ247" s="321"/>
      <c r="AK247" s="390" t="s">
        <v>6</v>
      </c>
      <c r="AL247" s="321"/>
      <c r="AM247" s="390" t="s">
        <v>7</v>
      </c>
      <c r="AN247" s="320"/>
    </row>
    <row r="248" spans="2:40" x14ac:dyDescent="0.25">
      <c r="B248" s="322" t="s">
        <v>38</v>
      </c>
      <c r="C248" s="323">
        <f ca="1">+C75+C109</f>
        <v>2762.306</v>
      </c>
      <c r="D248" s="324">
        <f ca="1">IF(C248=0,"N.D.",C248/C248)</f>
        <v>1</v>
      </c>
      <c r="E248" s="323">
        <f ca="1">+E75+E109</f>
        <v>2974.846</v>
      </c>
      <c r="F248" s="324">
        <f ca="1">IF(E$43=0, 0, E248/E248)</f>
        <v>1</v>
      </c>
      <c r="G248" s="323">
        <f ca="1">+G75+G109</f>
        <v>2848.59</v>
      </c>
      <c r="H248" s="324">
        <f ca="1">IF(G$43=0, 0, G248/G248)</f>
        <v>1</v>
      </c>
      <c r="I248" s="325">
        <f ca="1">C248-E248</f>
        <v>-212.53999999999996</v>
      </c>
      <c r="J248" s="326">
        <f ca="1">IF(E248=0,"N.D.",C248/E248-1)</f>
        <v>-7.1445715173155122E-2</v>
      </c>
      <c r="K248" s="327">
        <f ca="1">C248-G248</f>
        <v>-86.284000000000106</v>
      </c>
      <c r="L248" s="324">
        <f ca="1">IF(G248=0,"N.D.",C248/G248-1)</f>
        <v>-3.0290073334526935E-2</v>
      </c>
      <c r="AD248" s="322" t="s">
        <v>38</v>
      </c>
      <c r="AE248" s="323">
        <f>+AE75+AE109</f>
        <v>2831</v>
      </c>
      <c r="AF248" s="324">
        <f>IF(AE248=0,"N.D.",AE248/AE248)</f>
        <v>1</v>
      </c>
      <c r="AG248" s="323">
        <f ca="1">+AG75+AG109</f>
        <v>2938.8490000000002</v>
      </c>
      <c r="AH248" s="324">
        <f ca="1">IF(AG248=0,"N.D.",AG248/AG248)</f>
        <v>1</v>
      </c>
      <c r="AI248" s="323">
        <f ca="1">+AI75+AI109</f>
        <v>2818.4089800000002</v>
      </c>
      <c r="AJ248" s="324">
        <f ca="1">IF(AI248=0,"N.D.",AI248/AI248)</f>
        <v>1</v>
      </c>
      <c r="AK248" s="325">
        <f ca="1">AE248-AG248</f>
        <v>-107.84900000000016</v>
      </c>
      <c r="AL248" s="326">
        <f ca="1">IF(AG248=0,"N.D.",AE248/AG248-1)</f>
        <v>-3.6697700358201524E-2</v>
      </c>
      <c r="AM248" s="327">
        <f ca="1">AE248-AI248</f>
        <v>12.591019999999844</v>
      </c>
      <c r="AN248" s="324">
        <f ca="1">IF(AI248=0,"N.D.",AE248/AI248-1)</f>
        <v>4.4674211902346883E-3</v>
      </c>
    </row>
    <row r="249" spans="2:40" x14ac:dyDescent="0.25">
      <c r="B249" s="322" t="s">
        <v>39</v>
      </c>
      <c r="C249" s="328">
        <f ca="1">+C76+C110</f>
        <v>919.05000000000007</v>
      </c>
      <c r="D249" s="329">
        <f ca="1">IF(C248=0,"N.D.",C249/C248)</f>
        <v>0.33271114785979544</v>
      </c>
      <c r="E249" s="328">
        <f ca="1">+E76+E110</f>
        <v>1054.4870000000001</v>
      </c>
      <c r="F249" s="329">
        <f ca="1">IF(E249=0, 0, E249/E$248)</f>
        <v>0.35446776068408248</v>
      </c>
      <c r="G249" s="328">
        <f ca="1">+G76+G110</f>
        <v>1004.52</v>
      </c>
      <c r="H249" s="329">
        <f ca="1">IF(G249=0, 0, G249/G$248)</f>
        <v>0.35263762071761817</v>
      </c>
      <c r="I249" s="330">
        <f ca="1">C249-E249</f>
        <v>-135.43700000000001</v>
      </c>
      <c r="J249" s="331">
        <f ca="1">IF(E249=0,"N.D.",C249/E249-1)</f>
        <v>-0.12843875742422617</v>
      </c>
      <c r="K249" s="328">
        <f ca="1">C249-G249</f>
        <v>-85.469999999999914</v>
      </c>
      <c r="L249" s="329">
        <f ca="1">IF(G249=0,"N.D.",C249/G249-1)</f>
        <v>-8.5085413929040676E-2</v>
      </c>
      <c r="AD249" s="322" t="s">
        <v>39</v>
      </c>
      <c r="AE249" s="328">
        <f ca="1">+AE76+AE110</f>
        <v>941.95536018402527</v>
      </c>
      <c r="AF249" s="329">
        <f ca="1">IF(AE248=0,"N.D.",AE249/AE248)</f>
        <v>0.33272884499612337</v>
      </c>
      <c r="AG249" s="328">
        <f ca="1">+AG76+AG110</f>
        <v>1041.7280000000001</v>
      </c>
      <c r="AH249" s="329">
        <f ca="1">IF(AG248=0,"N.D.",AG249/AG248)</f>
        <v>0.3544680247266872</v>
      </c>
      <c r="AI249" s="328">
        <f ca="1">+AI76+AI110</f>
        <v>1006.959613</v>
      </c>
      <c r="AJ249" s="329">
        <f ca="1">IF(AI248=0,"N.D.",AI249/AI248)</f>
        <v>0.35727945097591901</v>
      </c>
      <c r="AK249" s="330">
        <f ca="1">AE249-AG249</f>
        <v>-99.772639815974799</v>
      </c>
      <c r="AL249" s="331">
        <f ca="1">IF(AG249=0,"N.D.",AE249/AG249-1)</f>
        <v>-9.5776094926866562E-2</v>
      </c>
      <c r="AM249" s="328">
        <f ca="1">AE249-AI249</f>
        <v>-65.004252815974723</v>
      </c>
      <c r="AN249" s="329">
        <f ca="1">IF(AI249=0,"N.D.",AE249/AI249-1)</f>
        <v>-6.4554975171556062E-2</v>
      </c>
    </row>
    <row r="250" spans="2:40" ht="13" x14ac:dyDescent="0.3">
      <c r="B250" s="332" t="s">
        <v>40</v>
      </c>
      <c r="C250" s="333">
        <f ca="1">+C248-C249</f>
        <v>1843.2559999999999</v>
      </c>
      <c r="D250" s="334">
        <f ca="1">IF(C248=0,"N.D.",C250/C248)</f>
        <v>0.6672888521402045</v>
      </c>
      <c r="E250" s="333">
        <f ca="1">+E248-E249</f>
        <v>1920.3589999999999</v>
      </c>
      <c r="F250" s="334">
        <f ca="1">IF(E250=0, 0, E250/E$248)</f>
        <v>0.64553223931591752</v>
      </c>
      <c r="G250" s="333">
        <f ca="1">+G248-G249</f>
        <v>1844.0700000000002</v>
      </c>
      <c r="H250" s="334">
        <f ca="1">IF(G250=0, 0, G250/G$248)</f>
        <v>0.64736237928238183</v>
      </c>
      <c r="I250" s="335">
        <f ca="1">C250-E250</f>
        <v>-77.103000000000065</v>
      </c>
      <c r="J250" s="336">
        <f ca="1">IF(E250=0,"N.D.",C250/E250-1)</f>
        <v>-4.0150305229386785E-2</v>
      </c>
      <c r="K250" s="337">
        <f ca="1">C250-G250</f>
        <v>-0.81400000000030559</v>
      </c>
      <c r="L250" s="334">
        <f ca="1">IF(G250=0,"N.D.",C250/G250-1)</f>
        <v>-4.4141491375071507E-4</v>
      </c>
      <c r="AD250" s="332" t="s">
        <v>40</v>
      </c>
      <c r="AE250" s="333">
        <f ca="1">+AE248-AE249</f>
        <v>1889.0446398159747</v>
      </c>
      <c r="AF250" s="334">
        <f ca="1">IF(AE248=0,"N.D.",AE250/AE248)</f>
        <v>0.66727115500387668</v>
      </c>
      <c r="AG250" s="333">
        <f ca="1">+AG248-AG249</f>
        <v>1897.1210000000001</v>
      </c>
      <c r="AH250" s="334">
        <f ca="1">IF(AG248=0,"N.D.",AG250/AG248)</f>
        <v>0.64553197527331274</v>
      </c>
      <c r="AI250" s="333">
        <f ca="1">+AI248-AI249</f>
        <v>1811.4493670000002</v>
      </c>
      <c r="AJ250" s="334">
        <f ca="1">IF(AI248=0,"N.D.",AI250/AI248)</f>
        <v>0.64272054902408093</v>
      </c>
      <c r="AK250" s="335">
        <f ca="1">AE250-AG250</f>
        <v>-8.0763601840253614</v>
      </c>
      <c r="AL250" s="336">
        <f ca="1">IF(AG250=0,"N.D.",AE250/AG250-1)</f>
        <v>-4.2571666140563957E-3</v>
      </c>
      <c r="AM250" s="337">
        <f ca="1">AE250-AI250</f>
        <v>77.595272815974567</v>
      </c>
      <c r="AN250" s="334">
        <f ca="1">IF(AI250=0,"N.D.",AE250/AI250-1)</f>
        <v>4.2836015308825637E-2</v>
      </c>
    </row>
    <row r="251" spans="2:40" x14ac:dyDescent="0.25">
      <c r="B251" s="322"/>
      <c r="C251" s="338"/>
      <c r="D251" s="339"/>
      <c r="E251" s="338"/>
      <c r="F251" s="339"/>
      <c r="G251" s="338"/>
      <c r="H251" s="339"/>
      <c r="I251" s="338"/>
      <c r="J251" s="340"/>
      <c r="K251" s="338"/>
      <c r="L251" s="339"/>
      <c r="AD251" s="322"/>
      <c r="AE251" s="338"/>
      <c r="AF251" s="339"/>
      <c r="AG251" s="338"/>
      <c r="AH251" s="339"/>
      <c r="AI251" s="338"/>
      <c r="AJ251" s="339"/>
      <c r="AK251" s="338"/>
      <c r="AL251" s="340"/>
      <c r="AM251" s="338"/>
      <c r="AN251" s="339"/>
    </row>
    <row r="252" spans="2:40" x14ac:dyDescent="0.25">
      <c r="B252" s="9" t="s">
        <v>41</v>
      </c>
      <c r="C252" s="327">
        <f t="shared" ref="C252" ca="1" si="320">+C79+C113</f>
        <v>1714.6419999999998</v>
      </c>
      <c r="D252" s="324">
        <f ca="1">IF(C248=0,"N.D.",C252/C248)</f>
        <v>0.62072847830761679</v>
      </c>
      <c r="E252" s="327">
        <f t="shared" ref="E252" ca="1" si="321">+E79+E113</f>
        <v>1830.1839999999997</v>
      </c>
      <c r="F252" s="324">
        <f t="shared" ref="F252:H256" ca="1" si="322">IF(E252=0, 0, E252/E$248)</f>
        <v>0.61521974582885963</v>
      </c>
      <c r="G252" s="327">
        <f t="shared" ref="G252:G254" ca="1" si="323">+G79+G113</f>
        <v>1784.7890000000002</v>
      </c>
      <c r="H252" s="324">
        <f t="shared" ca="1" si="322"/>
        <v>0.62655173261157282</v>
      </c>
      <c r="I252" s="325">
        <f ca="1">C252-E252</f>
        <v>-115.54199999999992</v>
      </c>
      <c r="J252" s="326">
        <f ca="1">IF(E252=0,"N.D.",C252/E252-1)</f>
        <v>-6.3131357284294864E-2</v>
      </c>
      <c r="K252" s="327">
        <f ca="1">C252-G252</f>
        <v>-70.147000000000389</v>
      </c>
      <c r="L252" s="324">
        <f ca="1">IF(G252=0,"N.D.",C252/G252-1)</f>
        <v>-3.9302685079300903E-2</v>
      </c>
      <c r="AD252" s="9" t="s">
        <v>41</v>
      </c>
      <c r="AE252" s="327">
        <f t="shared" ref="AE252:AG254" ca="1" si="324">+AE79+AE113</f>
        <v>1757.0933567781813</v>
      </c>
      <c r="AF252" s="324">
        <f ca="1">IF(AE248=0,"N.D.",AE252/AE248)</f>
        <v>0.62066172969911027</v>
      </c>
      <c r="AG252" s="327">
        <f t="shared" ca="1" si="324"/>
        <v>1819.3810000000001</v>
      </c>
      <c r="AH252" s="324">
        <f ca="1">IF(AG248=0,"N.D.",AG252/AG248)</f>
        <v>0.61907944232589018</v>
      </c>
      <c r="AI252" s="327">
        <f t="shared" ref="AI252" ca="1" si="325">+AI79+AI113</f>
        <v>1751.72912</v>
      </c>
      <c r="AJ252" s="324">
        <f ca="1">IF(AI248=0,"N.D.",AI252/AI248)</f>
        <v>0.62153120162141973</v>
      </c>
      <c r="AK252" s="325">
        <f ca="1">AE252-AG252</f>
        <v>-62.287643221818826</v>
      </c>
      <c r="AL252" s="326">
        <f ca="1">IF(AG252=0,"N.D.",AE252/AG252-1)</f>
        <v>-3.4235623666411197E-2</v>
      </c>
      <c r="AM252" s="327">
        <f ca="1">AE252-AI252</f>
        <v>5.3642367781812936</v>
      </c>
      <c r="AN252" s="324">
        <f ca="1">IF(AI252=0,"N.D.",AE252/AI252-1)</f>
        <v>3.0622524435635068E-3</v>
      </c>
    </row>
    <row r="253" spans="2:40" x14ac:dyDescent="0.25">
      <c r="B253" s="9" t="s">
        <v>42</v>
      </c>
      <c r="C253" s="328">
        <f t="shared" ref="C253" ca="1" si="326">+C80+C114</f>
        <v>73.496999999999986</v>
      </c>
      <c r="D253" s="341">
        <f ca="1">IF(C248=0,"N.D.",C253/C248)</f>
        <v>2.6607117386705161E-2</v>
      </c>
      <c r="E253" s="328">
        <f t="shared" ref="E253" ca="1" si="327">+E80+E114</f>
        <v>114.74399999999999</v>
      </c>
      <c r="F253" s="341">
        <f t="shared" ca="1" si="322"/>
        <v>3.8571408402317292E-2</v>
      </c>
      <c r="G253" s="328">
        <f t="shared" ca="1" si="323"/>
        <v>114.72399999999999</v>
      </c>
      <c r="H253" s="341">
        <f t="shared" ca="1" si="322"/>
        <v>4.0273960099558019E-2</v>
      </c>
      <c r="I253" s="330">
        <f ca="1">C253-E253</f>
        <v>-41.247</v>
      </c>
      <c r="J253" s="331">
        <f ca="1">IF(E253=0,"N.D.",C253/E253-1)</f>
        <v>-0.35946977619744824</v>
      </c>
      <c r="K253" s="328">
        <f ca="1">C253-G253</f>
        <v>-41.227000000000004</v>
      </c>
      <c r="L253" s="341">
        <f ca="1">IF(G253=0,"N.D.",C253/G253-1)</f>
        <v>-0.35935811164185361</v>
      </c>
      <c r="AD253" s="9" t="s">
        <v>42</v>
      </c>
      <c r="AE253" s="328">
        <f t="shared" si="324"/>
        <v>105</v>
      </c>
      <c r="AF253" s="341">
        <f>IF(AE248=0,"N.D.",AE253/AE248)</f>
        <v>3.7089367714588484E-2</v>
      </c>
      <c r="AG253" s="328">
        <f t="shared" ca="1" si="324"/>
        <v>98.6</v>
      </c>
      <c r="AH253" s="341">
        <f ca="1">IF(AG248=0,"N.D.",AG253/AG248)</f>
        <v>3.355054989215165E-2</v>
      </c>
      <c r="AI253" s="328">
        <f t="shared" ref="AI253" ca="1" si="328">+AI80+AI114</f>
        <v>109.68242999999998</v>
      </c>
      <c r="AJ253" s="341">
        <f ca="1">IF(AI248=0,"N.D.",AI253/AI248)</f>
        <v>3.891643504485285E-2</v>
      </c>
      <c r="AK253" s="330">
        <f ca="1">AE253-AG253</f>
        <v>6.4000000000000057</v>
      </c>
      <c r="AL253" s="331">
        <f ca="1">IF(AG253=0,"N.D.",AE253/AG253-1)</f>
        <v>6.4908722109533468E-2</v>
      </c>
      <c r="AM253" s="328">
        <f ca="1">AE253-AI253</f>
        <v>-4.6824299999999823</v>
      </c>
      <c r="AN253" s="341">
        <f ca="1">IF(AI253=0,"N.D.",AE253/AI253-1)</f>
        <v>-4.2690793776177127E-2</v>
      </c>
    </row>
    <row r="254" spans="2:40" x14ac:dyDescent="0.25">
      <c r="B254" s="9" t="s">
        <v>43</v>
      </c>
      <c r="C254" s="342">
        <f t="shared" ref="C254" ca="1" si="329">+C81+C115</f>
        <v>13.598000000000001</v>
      </c>
      <c r="D254" s="329">
        <f ca="1">IF(C248=0,"N.D.",C254/C248)</f>
        <v>4.9226986438142628E-3</v>
      </c>
      <c r="E254" s="342">
        <f t="shared" ref="E254" ca="1" si="330">+E81+E115</f>
        <v>8.5139999999999993</v>
      </c>
      <c r="F254" s="329">
        <f t="shared" ca="1" si="322"/>
        <v>2.861996889923041E-3</v>
      </c>
      <c r="G254" s="342">
        <f t="shared" ca="1" si="323"/>
        <v>14.103</v>
      </c>
      <c r="H254" s="329">
        <f t="shared" ca="1" si="322"/>
        <v>4.9508704306341026E-3</v>
      </c>
      <c r="I254" s="330">
        <f ca="1">C254-E254</f>
        <v>5.0840000000000014</v>
      </c>
      <c r="J254" s="331">
        <f ca="1">IF(E254=0,"N.D.",C254/E254-1)</f>
        <v>0.59713413201785315</v>
      </c>
      <c r="K254" s="342">
        <f ca="1">C254-G254</f>
        <v>-0.50499999999999901</v>
      </c>
      <c r="L254" s="329">
        <f ca="1">IF(G254=0,"N.D.",C254/G254-1)</f>
        <v>-3.5807984116854485E-2</v>
      </c>
      <c r="AD254" s="9" t="s">
        <v>43</v>
      </c>
      <c r="AE254" s="342">
        <f t="shared" si="324"/>
        <v>9</v>
      </c>
      <c r="AF254" s="329">
        <f>IF(AE248=0,"N.D.",AE254/AE248)</f>
        <v>3.1790886612504416E-3</v>
      </c>
      <c r="AG254" s="342">
        <f t="shared" ca="1" si="324"/>
        <v>8.5139999999999993</v>
      </c>
      <c r="AH254" s="329">
        <f ca="1">IF(AG248=0,"N.D.",AG254/AG248)</f>
        <v>2.89705255356774E-3</v>
      </c>
      <c r="AI254" s="342">
        <f t="shared" ref="AI254" ca="1" si="331">+AI81+AI115</f>
        <v>14.10459</v>
      </c>
      <c r="AJ254" s="329">
        <f ca="1">IF(AI248=0,"N.D.",AI254/AI248)</f>
        <v>5.0044511283099868E-3</v>
      </c>
      <c r="AK254" s="330">
        <f ca="1">AE254-AG254</f>
        <v>0.48600000000000065</v>
      </c>
      <c r="AL254" s="331">
        <f ca="1">IF(AG254=0,"N.D.",AE254/AG254-1)</f>
        <v>5.7082452431289621E-2</v>
      </c>
      <c r="AM254" s="342">
        <f ca="1">AE254-AI254</f>
        <v>-5.10459</v>
      </c>
      <c r="AN254" s="329">
        <f ca="1">IF(AI254=0,"N.D.",AE254/AI254-1)</f>
        <v>-0.36190984636916068</v>
      </c>
    </row>
    <row r="255" spans="2:40" ht="13" x14ac:dyDescent="0.3">
      <c r="B255" s="9" t="s">
        <v>44</v>
      </c>
      <c r="C255" s="337">
        <f ca="1">+C252+C253+C254</f>
        <v>1801.7369999999999</v>
      </c>
      <c r="D255" s="334">
        <f ca="1">IF(C248=0,"N.D.",C255/C248)</f>
        <v>0.65225829433813631</v>
      </c>
      <c r="E255" s="337">
        <f ca="1">+E252+E253+E254</f>
        <v>1953.4419999999996</v>
      </c>
      <c r="F255" s="334">
        <f t="shared" ca="1" si="322"/>
        <v>0.6566531511210999</v>
      </c>
      <c r="G255" s="337">
        <f ca="1">+G252+G253+G254</f>
        <v>1913.6160000000002</v>
      </c>
      <c r="H255" s="334">
        <f t="shared" ca="1" si="322"/>
        <v>0.67177656314176493</v>
      </c>
      <c r="I255" s="335">
        <f ca="1">C255-E255</f>
        <v>-151.7049999999997</v>
      </c>
      <c r="J255" s="336">
        <f ca="1">IF(E255=0,"N.D.",C255/E255-1)</f>
        <v>-7.7660355413674775E-2</v>
      </c>
      <c r="K255" s="337">
        <f ca="1">C255-G255</f>
        <v>-111.87900000000036</v>
      </c>
      <c r="L255" s="334">
        <f ca="1">IF(G255=0,"N.D.",C255/G255-1)</f>
        <v>-5.8464707652946202E-2</v>
      </c>
      <c r="AD255" s="9" t="s">
        <v>44</v>
      </c>
      <c r="AE255" s="337">
        <f ca="1">+AE252+AE253+AE254</f>
        <v>1871.0933567781813</v>
      </c>
      <c r="AF255" s="334">
        <f ca="1">IF(AE248=0,"N.D.",AE255/AE248)</f>
        <v>0.66093018607494924</v>
      </c>
      <c r="AG255" s="337">
        <f ca="1">+AG252+AG253+AG254</f>
        <v>1926.4949999999999</v>
      </c>
      <c r="AH255" s="334">
        <f ca="1">IF(AG248=0,"N.D.",AG255/AG248)</f>
        <v>0.6555270447716095</v>
      </c>
      <c r="AI255" s="337">
        <f ca="1">+AI252+AI253+AI254</f>
        <v>1875.51614</v>
      </c>
      <c r="AJ255" s="334">
        <f ca="1">IF(AI248=0,"N.D.",AI255/AI248)</f>
        <v>0.66545208779458254</v>
      </c>
      <c r="AK255" s="335">
        <f ca="1">AE255-AG255</f>
        <v>-55.401643221818631</v>
      </c>
      <c r="AL255" s="336">
        <f ca="1">IF(AG255=0,"N.D.",AE255/AG255-1)</f>
        <v>-2.8757740467438841E-2</v>
      </c>
      <c r="AM255" s="337">
        <f ca="1">AE255-AI255</f>
        <v>-4.4227832218186904</v>
      </c>
      <c r="AN255" s="334">
        <f ca="1">IF(AI255=0,"N.D.",AE255/AI255-1)</f>
        <v>-2.3581685742350977E-3</v>
      </c>
    </row>
    <row r="256" spans="2:40" ht="13" x14ac:dyDescent="0.3">
      <c r="B256" s="9" t="s">
        <v>45</v>
      </c>
      <c r="C256" s="337">
        <f ca="1">+C250-C255</f>
        <v>41.519000000000005</v>
      </c>
      <c r="D256" s="334">
        <f ca="1">IF(C248=0,"N.D.",C256/C248)</f>
        <v>1.5030557802068273E-2</v>
      </c>
      <c r="E256" s="337">
        <f ca="1">+E250-E255</f>
        <v>-33.082999999999629</v>
      </c>
      <c r="F256" s="334">
        <f t="shared" ca="1" si="322"/>
        <v>-1.1120911805182395E-2</v>
      </c>
      <c r="G256" s="337">
        <f ca="1">+G250-G255</f>
        <v>-69.546000000000049</v>
      </c>
      <c r="H256" s="334">
        <f t="shared" ca="1" si="322"/>
        <v>-2.4414183859383078E-2</v>
      </c>
      <c r="I256" s="335">
        <f ca="1">C256-E256</f>
        <v>74.601999999999634</v>
      </c>
      <c r="J256" s="336">
        <f ca="1">IF(E256=0,"N.D.",C256/E256-1)</f>
        <v>-2.2549950125442213</v>
      </c>
      <c r="K256" s="337">
        <f ca="1">C256-G256</f>
        <v>111.06500000000005</v>
      </c>
      <c r="L256" s="334">
        <f ca="1">IF(G256=0,"N.D.",C256/G256-1)</f>
        <v>-1.5970005464009429</v>
      </c>
      <c r="AD256" s="9" t="s">
        <v>45</v>
      </c>
      <c r="AE256" s="337">
        <f ca="1">+AE250-AE255</f>
        <v>17.951283037793473</v>
      </c>
      <c r="AF256" s="334">
        <f ca="1">IF(AE248=0,"N.D.",AE256/AE248)</f>
        <v>6.3409689289274018E-3</v>
      </c>
      <c r="AG256" s="337">
        <f ca="1">+AG250-AG255</f>
        <v>-29.373999999999796</v>
      </c>
      <c r="AH256" s="334">
        <f ca="1">IF(AG248=0,"N.D.",AG256/AG248)</f>
        <v>-9.9950694982967117E-3</v>
      </c>
      <c r="AI256" s="337">
        <f ca="1">+AI250-AI255</f>
        <v>-64.066772999999785</v>
      </c>
      <c r="AJ256" s="334">
        <f ca="1">IF(AI248=0,"N.D.",AI256/AI248)</f>
        <v>-2.2731538770501568E-2</v>
      </c>
      <c r="AK256" s="335">
        <f ca="1">AE256-AG256</f>
        <v>47.32528303779327</v>
      </c>
      <c r="AL256" s="336">
        <f ca="1">IF(AG256=0,"N.D.",AE256/AG256-1)</f>
        <v>-1.6111283120376387</v>
      </c>
      <c r="AM256" s="337">
        <f ca="1">AE256-AI256</f>
        <v>82.018056037793258</v>
      </c>
      <c r="AN256" s="334">
        <f ca="1">IF(AI256=0,"N.D.",AE256/AI256-1)</f>
        <v>-1.2801964606176361</v>
      </c>
    </row>
    <row r="257" spans="2:40" x14ac:dyDescent="0.25">
      <c r="B257" s="322"/>
      <c r="C257" s="338"/>
      <c r="D257" s="339"/>
      <c r="E257" s="338"/>
      <c r="F257" s="339"/>
      <c r="G257" s="338"/>
      <c r="H257" s="339"/>
      <c r="I257" s="338"/>
      <c r="J257" s="340"/>
      <c r="K257" s="338"/>
      <c r="L257" s="339"/>
      <c r="AD257" s="322"/>
      <c r="AE257" s="338"/>
      <c r="AF257" s="339"/>
      <c r="AG257" s="338"/>
      <c r="AH257" s="339"/>
      <c r="AI257" s="338"/>
      <c r="AJ257" s="339"/>
      <c r="AK257" s="338"/>
      <c r="AL257" s="340"/>
      <c r="AM257" s="338"/>
      <c r="AN257" s="339"/>
    </row>
    <row r="258" spans="2:40" x14ac:dyDescent="0.25">
      <c r="B258" s="322"/>
      <c r="C258" s="327"/>
      <c r="D258" s="343"/>
      <c r="E258" s="327"/>
      <c r="F258" s="324"/>
      <c r="G258" s="327"/>
      <c r="H258" s="324"/>
      <c r="I258" s="325"/>
      <c r="J258" s="326"/>
      <c r="K258" s="327"/>
      <c r="L258" s="324"/>
      <c r="AD258" s="1"/>
      <c r="AE258" s="327"/>
      <c r="AF258" s="343"/>
      <c r="AG258" s="327"/>
      <c r="AH258" s="343"/>
      <c r="AI258" s="327"/>
      <c r="AJ258" s="343"/>
      <c r="AK258" s="325"/>
      <c r="AL258" s="326"/>
      <c r="AM258" s="327"/>
      <c r="AN258" s="324"/>
    </row>
    <row r="259" spans="2:40" x14ac:dyDescent="0.25">
      <c r="B259" s="9" t="s">
        <v>52</v>
      </c>
      <c r="C259" s="328">
        <f t="shared" ref="C259" ca="1" si="332">+C86+C120</f>
        <v>-17.073</v>
      </c>
      <c r="D259" s="344">
        <f ca="1">IF(C248=0,"N.D.",C259/C248)</f>
        <v>-6.1807055409502064E-3</v>
      </c>
      <c r="E259" s="328">
        <f t="shared" ref="E259" ca="1" si="333">+E86+E120</f>
        <v>-9.1950000000000003</v>
      </c>
      <c r="F259" s="341">
        <f t="shared" ref="F259:H264" ca="1" si="334">IF(E259=0, 0, E259/E$248)</f>
        <v>-3.0909163028943346E-3</v>
      </c>
      <c r="G259" s="328">
        <f t="shared" ref="G259:G261" ca="1" si="335">+G86+G120</f>
        <v>-9.6479999999999997</v>
      </c>
      <c r="H259" s="341">
        <f t="shared" ca="1" si="334"/>
        <v>-3.3869388013016964E-3</v>
      </c>
      <c r="I259" s="330">
        <f t="shared" ref="I259:I264" ca="1" si="336">C259-E259</f>
        <v>-7.8780000000000001</v>
      </c>
      <c r="J259" s="331">
        <f t="shared" ref="J259:J264" ca="1" si="337">IF(E259=0,"N.D.",C259/E259-1)</f>
        <v>0.85676998368678636</v>
      </c>
      <c r="K259" s="328">
        <f t="shared" ref="K259:K264" ca="1" si="338">C259-G259</f>
        <v>-7.4250000000000007</v>
      </c>
      <c r="L259" s="341">
        <f t="shared" ref="L259:L264" ca="1" si="339">IF(G259=0,"N.D.",C259/G259-1)</f>
        <v>0.7695895522388061</v>
      </c>
      <c r="AD259" s="9" t="s">
        <v>52</v>
      </c>
      <c r="AE259" s="328">
        <f t="shared" ref="AE259:AG261" si="340">+AE86+AE120</f>
        <v>-10</v>
      </c>
      <c r="AF259" s="344">
        <f>IF(AE248=0,"N.D.",AE259/AE248)</f>
        <v>-3.5323207347227126E-3</v>
      </c>
      <c r="AG259" s="328">
        <f t="shared" ca="1" si="340"/>
        <v>-9.1950000000000003</v>
      </c>
      <c r="AH259" s="344">
        <f ca="1">IF(AG248=0,"N.D.",AG259/AG248)</f>
        <v>-3.1287759255409177E-3</v>
      </c>
      <c r="AI259" s="328">
        <f t="shared" ref="AI259" ca="1" si="341">+AI86+AI120</f>
        <v>-15.793399999999998</v>
      </c>
      <c r="AJ259" s="344">
        <f ca="1">IF(AI248=0,"N.D.",AI259/AI248)</f>
        <v>-5.6036579900479869E-3</v>
      </c>
      <c r="AK259" s="330">
        <f t="shared" ref="AK259:AK264" ca="1" si="342">AE259-AG259</f>
        <v>-0.80499999999999972</v>
      </c>
      <c r="AL259" s="331">
        <f t="shared" ref="AL259:AL264" ca="1" si="343">IF(AG259=0,"N.D.",AE259/AG259-1)</f>
        <v>8.7547580206634112E-2</v>
      </c>
      <c r="AM259" s="328">
        <f t="shared" ref="AM259:AM264" ca="1" si="344">AE259-AI259</f>
        <v>5.7933999999999983</v>
      </c>
      <c r="AN259" s="341">
        <f t="shared" ref="AN259:AN264" ca="1" si="345">IF(AI259=0,"N.D.",AE259/AI259-1)</f>
        <v>-0.36682411640305435</v>
      </c>
    </row>
    <row r="260" spans="2:40" x14ac:dyDescent="0.25">
      <c r="B260" s="9" t="s">
        <v>184</v>
      </c>
      <c r="C260" s="328">
        <f t="shared" ref="C260" ca="1" si="346">+C87+C121</f>
        <v>58.964000000000006</v>
      </c>
      <c r="D260" s="344">
        <f ca="1">IF(C248=0,"N.D.",C260/C248)</f>
        <v>2.1345933433877348E-2</v>
      </c>
      <c r="E260" s="328">
        <f t="shared" ref="E260" ca="1" si="347">+E87+E121</f>
        <v>62.306999999999995</v>
      </c>
      <c r="F260" s="341">
        <f t="shared" ca="1" si="334"/>
        <v>2.0944613603527711E-2</v>
      </c>
      <c r="G260" s="328">
        <f t="shared" ca="1" si="335"/>
        <v>58.906000000000006</v>
      </c>
      <c r="H260" s="341">
        <f t="shared" ca="1" si="334"/>
        <v>2.0679002594265937E-2</v>
      </c>
      <c r="I260" s="330">
        <f t="shared" ca="1" si="336"/>
        <v>-3.3429999999999893</v>
      </c>
      <c r="J260" s="331">
        <f t="shared" ca="1" si="337"/>
        <v>-5.3653682571781491E-2</v>
      </c>
      <c r="K260" s="328">
        <f t="shared" ca="1" si="338"/>
        <v>5.7999999999999829E-2</v>
      </c>
      <c r="L260" s="341">
        <f t="shared" ca="1" si="339"/>
        <v>9.8461956337225764E-4</v>
      </c>
      <c r="AD260" s="9" t="s">
        <v>184</v>
      </c>
      <c r="AE260" s="328">
        <f t="shared" si="340"/>
        <v>63</v>
      </c>
      <c r="AF260" s="344">
        <f>IF(AE248=0,"N.D.",AE260/AE248)</f>
        <v>2.225362062875309E-2</v>
      </c>
      <c r="AG260" s="328">
        <f t="shared" ca="1" si="340"/>
        <v>61.594000000000001</v>
      </c>
      <c r="AH260" s="344">
        <f ca="1">IF(AG248=0,"N.D.",AG260/AG248)</f>
        <v>2.0958545335265609E-2</v>
      </c>
      <c r="AI260" s="328">
        <f t="shared" ref="AI260" ca="1" si="348">+AI87+AI121</f>
        <v>63.060450000000003</v>
      </c>
      <c r="AJ260" s="344">
        <f ca="1">IF(AI248=0,"N.D.",AI260/AI248)</f>
        <v>2.2374485196254235E-2</v>
      </c>
      <c r="AK260" s="330">
        <f t="shared" ca="1" si="342"/>
        <v>1.4059999999999988</v>
      </c>
      <c r="AL260" s="331">
        <f t="shared" ca="1" si="343"/>
        <v>2.2826898723901756E-2</v>
      </c>
      <c r="AM260" s="328">
        <f t="shared" ca="1" si="344"/>
        <v>-6.0450000000003001E-2</v>
      </c>
      <c r="AN260" s="341">
        <f t="shared" ca="1" si="345"/>
        <v>-9.5860400615599417E-4</v>
      </c>
    </row>
    <row r="261" spans="2:40" x14ac:dyDescent="0.25">
      <c r="B261" s="9" t="s">
        <v>47</v>
      </c>
      <c r="C261" s="328">
        <f t="shared" ref="C261" ca="1" si="349">+C88+C122</f>
        <v>-30</v>
      </c>
      <c r="D261" s="344">
        <f ca="1">IF(C248=0,"N.D.",C261/C248)</f>
        <v>-1.0860491198295916E-2</v>
      </c>
      <c r="E261" s="328">
        <f t="shared" ref="E261" ca="1" si="350">+E88+E122</f>
        <v>0</v>
      </c>
      <c r="F261" s="341">
        <f t="shared" ca="1" si="334"/>
        <v>0</v>
      </c>
      <c r="G261" s="328">
        <f t="shared" ca="1" si="335"/>
        <v>0</v>
      </c>
      <c r="H261" s="341">
        <f t="shared" ca="1" si="334"/>
        <v>0</v>
      </c>
      <c r="I261" s="330">
        <f t="shared" ca="1" si="336"/>
        <v>-30</v>
      </c>
      <c r="J261" s="331" t="str">
        <f t="shared" ca="1" si="337"/>
        <v>N.D.</v>
      </c>
      <c r="K261" s="328">
        <f t="shared" ca="1" si="338"/>
        <v>-30</v>
      </c>
      <c r="L261" s="341" t="str">
        <f t="shared" ca="1" si="339"/>
        <v>N.D.</v>
      </c>
      <c r="AD261" s="9" t="s">
        <v>47</v>
      </c>
      <c r="AE261" s="328">
        <f t="shared" si="340"/>
        <v>0</v>
      </c>
      <c r="AF261" s="344">
        <f>IF(AE248=0,"N.D.",AE261/AE248)</f>
        <v>0</v>
      </c>
      <c r="AG261" s="328">
        <f t="shared" ca="1" si="340"/>
        <v>0</v>
      </c>
      <c r="AH261" s="344">
        <f ca="1">IF(AG248=0,"N.D.",AG261/AG248)</f>
        <v>0</v>
      </c>
      <c r="AI261" s="328">
        <f t="shared" ref="AI261" ca="1" si="351">+AI88+AI122</f>
        <v>0</v>
      </c>
      <c r="AJ261" s="344">
        <f ca="1">IF(AI248=0,"N.D.",AI261/AI248)</f>
        <v>0</v>
      </c>
      <c r="AK261" s="330">
        <f t="shared" ca="1" si="342"/>
        <v>0</v>
      </c>
      <c r="AL261" s="331" t="str">
        <f t="shared" ca="1" si="343"/>
        <v>N.D.</v>
      </c>
      <c r="AM261" s="328">
        <f t="shared" ca="1" si="344"/>
        <v>0</v>
      </c>
      <c r="AN261" s="341" t="str">
        <f t="shared" ca="1" si="345"/>
        <v>N.D.</v>
      </c>
    </row>
    <row r="262" spans="2:40" x14ac:dyDescent="0.25">
      <c r="B262" s="322"/>
      <c r="C262" s="342"/>
      <c r="D262" s="345"/>
      <c r="E262" s="342"/>
      <c r="F262" s="329"/>
      <c r="G262" s="342"/>
      <c r="H262" s="329"/>
      <c r="I262" s="330"/>
      <c r="J262" s="331"/>
      <c r="K262" s="342"/>
      <c r="L262" s="329"/>
      <c r="AD262" s="9"/>
      <c r="AE262" s="342"/>
      <c r="AF262" s="345"/>
      <c r="AG262" s="342"/>
      <c r="AH262" s="345"/>
      <c r="AI262" s="342"/>
      <c r="AJ262" s="345"/>
      <c r="AK262" s="330"/>
      <c r="AL262" s="331"/>
      <c r="AM262" s="342"/>
      <c r="AN262" s="329"/>
    </row>
    <row r="263" spans="2:40" ht="13" x14ac:dyDescent="0.3">
      <c r="B263" s="9" t="s">
        <v>48</v>
      </c>
      <c r="C263" s="335">
        <f ca="1">+C258+C259+C260-C261-C262</f>
        <v>71.891000000000005</v>
      </c>
      <c r="D263" s="334">
        <f ca="1">IF(C248=0,"N.D.",C263/C248)</f>
        <v>2.602571909122306E-2</v>
      </c>
      <c r="E263" s="335">
        <f ca="1">+E258+E259+E260-E261-E262</f>
        <v>53.111999999999995</v>
      </c>
      <c r="F263" s="334">
        <f t="shared" ca="1" si="334"/>
        <v>1.7853697300633374E-2</v>
      </c>
      <c r="G263" s="335">
        <f ca="1">+G258+G259+G260-G261-G262</f>
        <v>49.25800000000001</v>
      </c>
      <c r="H263" s="334">
        <f t="shared" ca="1" si="334"/>
        <v>1.7292063792964239E-2</v>
      </c>
      <c r="I263" s="335">
        <f t="shared" ca="1" si="336"/>
        <v>18.779000000000011</v>
      </c>
      <c r="J263" s="336">
        <f t="shared" ca="1" si="337"/>
        <v>0.35357358035848785</v>
      </c>
      <c r="K263" s="337">
        <f t="shared" ca="1" si="338"/>
        <v>22.632999999999996</v>
      </c>
      <c r="L263" s="334">
        <f t="shared" ca="1" si="339"/>
        <v>0.45947866336432641</v>
      </c>
      <c r="AD263" s="9" t="s">
        <v>48</v>
      </c>
      <c r="AE263" s="335">
        <f>+AE258+AE259+AE260-AE261-AE262</f>
        <v>53</v>
      </c>
      <c r="AF263" s="334">
        <f>IF(AE248=0,"N.D.",AE263/AE248)</f>
        <v>1.8721299894030378E-2</v>
      </c>
      <c r="AG263" s="335">
        <f ca="1">+AG258+AG259+AG260-AG261-AG262</f>
        <v>52.399000000000001</v>
      </c>
      <c r="AH263" s="334">
        <f ca="1">IF(AG248=0,"N.D.",AG263/AG248)</f>
        <v>1.782976940972469E-2</v>
      </c>
      <c r="AI263" s="335">
        <f ca="1">+AI258+AI259+AI260-AI261-AI262</f>
        <v>47.267050000000005</v>
      </c>
      <c r="AJ263" s="334">
        <f ca="1">IF(AI248=0,"N.D.",AI263/AI248)</f>
        <v>1.6770827206206249E-2</v>
      </c>
      <c r="AK263" s="335">
        <f t="shared" ca="1" si="342"/>
        <v>0.60099999999999909</v>
      </c>
      <c r="AL263" s="336">
        <f t="shared" ca="1" si="343"/>
        <v>1.1469684535964308E-2</v>
      </c>
      <c r="AM263" s="337">
        <f t="shared" ca="1" si="344"/>
        <v>5.7329499999999953</v>
      </c>
      <c r="AN263" s="334">
        <f t="shared" ca="1" si="345"/>
        <v>0.12128850859107976</v>
      </c>
    </row>
    <row r="264" spans="2:40" ht="13" x14ac:dyDescent="0.3">
      <c r="B264" s="332" t="s">
        <v>49</v>
      </c>
      <c r="C264" s="337">
        <f ca="1">+C256-C263</f>
        <v>-30.372</v>
      </c>
      <c r="D264" s="334">
        <f ca="1">IF(C248=0,"N.D.",C264/C248)</f>
        <v>-1.0995161289154785E-2</v>
      </c>
      <c r="E264" s="337">
        <f ca="1">+E256-E263</f>
        <v>-86.194999999999624</v>
      </c>
      <c r="F264" s="334">
        <f t="shared" ca="1" si="334"/>
        <v>-2.8974609105815771E-2</v>
      </c>
      <c r="G264" s="337">
        <f ca="1">+G256-G263</f>
        <v>-118.80400000000006</v>
      </c>
      <c r="H264" s="334">
        <f t="shared" ca="1" si="334"/>
        <v>-4.1706247652347317E-2</v>
      </c>
      <c r="I264" s="335">
        <f t="shared" ca="1" si="336"/>
        <v>55.822999999999624</v>
      </c>
      <c r="J264" s="336">
        <f t="shared" ca="1" si="337"/>
        <v>-0.6476361737919818</v>
      </c>
      <c r="K264" s="337">
        <f t="shared" ca="1" si="338"/>
        <v>88.432000000000059</v>
      </c>
      <c r="L264" s="334">
        <f t="shared" ca="1" si="339"/>
        <v>-0.74435204201878735</v>
      </c>
      <c r="AD264" s="332" t="s">
        <v>49</v>
      </c>
      <c r="AE264" s="337">
        <f ca="1">+AE256-AE263</f>
        <v>-35.048716962206527</v>
      </c>
      <c r="AF264" s="334">
        <f ca="1">IF(AE248=0,"N.D.",AE264/AE248)</f>
        <v>-1.2380330965102977E-2</v>
      </c>
      <c r="AG264" s="337">
        <f ca="1">+AG256-AG263</f>
        <v>-81.772999999999797</v>
      </c>
      <c r="AH264" s="334">
        <f ca="1">IF(AG248=0,"N.D.",AG264/AG248)</f>
        <v>-2.7824838908021402E-2</v>
      </c>
      <c r="AI264" s="337">
        <f ca="1">+AI256-AI263</f>
        <v>-111.3338229999998</v>
      </c>
      <c r="AJ264" s="334">
        <f ca="1">IF(AI248=0,"N.D.",AI264/AI248)</f>
        <v>-3.9502365976707816E-2</v>
      </c>
      <c r="AK264" s="335">
        <f t="shared" ca="1" si="342"/>
        <v>46.724283037793271</v>
      </c>
      <c r="AL264" s="336">
        <f t="shared" ca="1" si="343"/>
        <v>-0.57139010477533403</v>
      </c>
      <c r="AM264" s="337">
        <f t="shared" ca="1" si="344"/>
        <v>76.28510603779327</v>
      </c>
      <c r="AN264" s="334">
        <f t="shared" ca="1" si="345"/>
        <v>-0.68519254959737985</v>
      </c>
    </row>
    <row r="265" spans="2:40" x14ac:dyDescent="0.25">
      <c r="B265" s="322"/>
      <c r="C265" s="338"/>
      <c r="D265" s="339"/>
      <c r="E265" s="338"/>
      <c r="F265" s="339"/>
      <c r="G265" s="338"/>
      <c r="H265" s="339"/>
      <c r="I265" s="338"/>
      <c r="J265" s="340"/>
      <c r="K265" s="338"/>
      <c r="L265" s="339"/>
      <c r="AD265" s="322"/>
      <c r="AE265" s="338"/>
      <c r="AF265" s="339"/>
      <c r="AG265" s="338"/>
      <c r="AH265" s="339"/>
      <c r="AI265" s="338"/>
      <c r="AJ265" s="339"/>
      <c r="AK265" s="338"/>
      <c r="AL265" s="340"/>
      <c r="AM265" s="338"/>
      <c r="AN265" s="339"/>
    </row>
    <row r="266" spans="2:40" x14ac:dyDescent="0.25">
      <c r="B266" s="9" t="s">
        <v>213</v>
      </c>
      <c r="C266" s="327">
        <f t="shared" ref="C266" ca="1" si="352">+C93+C127</f>
        <v>0</v>
      </c>
      <c r="D266" s="343">
        <f ca="1">IF(C248=0,"N.D.",C266/C248)</f>
        <v>0</v>
      </c>
      <c r="E266" s="327">
        <f t="shared" ref="E266" ca="1" si="353">+E93+E127</f>
        <v>0</v>
      </c>
      <c r="F266" s="324">
        <f t="shared" ref="F266:H274" ca="1" si="354">IF(E266=0, 0, E266/E$248)</f>
        <v>0</v>
      </c>
      <c r="G266" s="327">
        <f t="shared" ref="G266:G267" ca="1" si="355">+G93+G127</f>
        <v>0</v>
      </c>
      <c r="H266" s="324">
        <f t="shared" ca="1" si="354"/>
        <v>0</v>
      </c>
      <c r="I266" s="325">
        <f t="shared" ref="I266:I274" ca="1" si="356">C266-E266</f>
        <v>0</v>
      </c>
      <c r="J266" s="326" t="str">
        <f t="shared" ref="J266:J274" ca="1" si="357">IF(E266=0,"N.D.",C266/E266-1)</f>
        <v>N.D.</v>
      </c>
      <c r="K266" s="327">
        <f t="shared" ref="K266:K274" ca="1" si="358">C266-G266</f>
        <v>0</v>
      </c>
      <c r="L266" s="324" t="str">
        <f t="shared" ref="L266:L274" ca="1" si="359">IF(G266=0,"N.D.",C266/G266-1)</f>
        <v>N.D.</v>
      </c>
      <c r="AD266" s="9" t="s">
        <v>213</v>
      </c>
      <c r="AE266" s="327">
        <f t="shared" ref="AE266:AG267" si="360">+AE93+AE127</f>
        <v>0</v>
      </c>
      <c r="AF266" s="343">
        <f>IF(AE248=0,"N.D.",AE266/AE248)</f>
        <v>0</v>
      </c>
      <c r="AG266" s="327">
        <f t="shared" ca="1" si="360"/>
        <v>0</v>
      </c>
      <c r="AH266" s="343">
        <f ca="1">IF(AG248=0,"N.D.",AG266/AG248)</f>
        <v>0</v>
      </c>
      <c r="AI266" s="327">
        <f t="shared" ref="AI266" ca="1" si="361">+AI93+AI127</f>
        <v>0</v>
      </c>
      <c r="AJ266" s="343">
        <f ca="1">IF(AI248=0,"N.D.",AI266/AI248)</f>
        <v>0</v>
      </c>
      <c r="AK266" s="325">
        <f t="shared" ref="AK266:AK274" ca="1" si="362">AE266-AG266</f>
        <v>0</v>
      </c>
      <c r="AL266" s="326" t="str">
        <f t="shared" ref="AL266:AL274" ca="1" si="363">IF(AG266=0,"N.D.",AE266/AG266-1)</f>
        <v>N.D.</v>
      </c>
      <c r="AM266" s="327">
        <f t="shared" ref="AM266:AM274" ca="1" si="364">AE266-AI266</f>
        <v>0</v>
      </c>
      <c r="AN266" s="324" t="str">
        <f t="shared" ref="AN266:AN274" ca="1" si="365">IF(AI266=0,"N.D.",AE266/AI266-1)</f>
        <v>N.D.</v>
      </c>
    </row>
    <row r="267" spans="2:40" x14ac:dyDescent="0.25">
      <c r="B267" s="9" t="s">
        <v>51</v>
      </c>
      <c r="C267" s="342">
        <f t="shared" ref="C267" ca="1" si="366">+C94+C128</f>
        <v>0</v>
      </c>
      <c r="D267" s="345">
        <f ca="1">IF(C248=0,"N.D.",C267/C248)</f>
        <v>0</v>
      </c>
      <c r="E267" s="342">
        <f t="shared" ref="E267" ca="1" si="367">+E94+E128</f>
        <v>0</v>
      </c>
      <c r="F267" s="329">
        <f t="shared" ca="1" si="354"/>
        <v>0</v>
      </c>
      <c r="G267" s="342">
        <f t="shared" ca="1" si="355"/>
        <v>0</v>
      </c>
      <c r="H267" s="329">
        <f t="shared" ca="1" si="354"/>
        <v>0</v>
      </c>
      <c r="I267" s="330">
        <f t="shared" ca="1" si="356"/>
        <v>0</v>
      </c>
      <c r="J267" s="331" t="str">
        <f t="shared" ca="1" si="357"/>
        <v>N.D.</v>
      </c>
      <c r="K267" s="342">
        <f t="shared" ca="1" si="358"/>
        <v>0</v>
      </c>
      <c r="L267" s="329" t="str">
        <f t="shared" ca="1" si="359"/>
        <v>N.D.</v>
      </c>
      <c r="AD267" s="9" t="s">
        <v>51</v>
      </c>
      <c r="AE267" s="342">
        <f t="shared" si="360"/>
        <v>0</v>
      </c>
      <c r="AF267" s="345">
        <f>IF(AE248=0,"N.D.",AE267/AE248)</f>
        <v>0</v>
      </c>
      <c r="AG267" s="342">
        <f t="shared" ca="1" si="360"/>
        <v>0</v>
      </c>
      <c r="AH267" s="345">
        <f ca="1">IF(AG248=0,"N.D.",AG267/AG248)</f>
        <v>0</v>
      </c>
      <c r="AI267" s="342">
        <f t="shared" ref="AI267" ca="1" si="368">+AI94+AI128</f>
        <v>0</v>
      </c>
      <c r="AJ267" s="345">
        <f ca="1">IF(AI248=0,"N.D.",AI267/AI248)</f>
        <v>0</v>
      </c>
      <c r="AK267" s="330">
        <f t="shared" ca="1" si="362"/>
        <v>0</v>
      </c>
      <c r="AL267" s="331" t="str">
        <f t="shared" ca="1" si="363"/>
        <v>N.D.</v>
      </c>
      <c r="AM267" s="342">
        <f t="shared" ca="1" si="364"/>
        <v>0</v>
      </c>
      <c r="AN267" s="329" t="str">
        <f t="shared" ca="1" si="365"/>
        <v>N.D.</v>
      </c>
    </row>
    <row r="268" spans="2:40" ht="13" x14ac:dyDescent="0.3">
      <c r="B268" s="87" t="s">
        <v>53</v>
      </c>
      <c r="C268" s="337">
        <f ca="1">+C264-C266-C267</f>
        <v>-30.372</v>
      </c>
      <c r="D268" s="334">
        <f ca="1">IF(C248=0,"N.D.",C268/C248)</f>
        <v>-1.0995161289154785E-2</v>
      </c>
      <c r="E268" s="337">
        <f ca="1">+E264-E266-E267</f>
        <v>-86.194999999999624</v>
      </c>
      <c r="F268" s="334">
        <f t="shared" ca="1" si="354"/>
        <v>-2.8974609105815771E-2</v>
      </c>
      <c r="G268" s="337">
        <f ca="1">+G264-G266-G267</f>
        <v>-118.80400000000006</v>
      </c>
      <c r="H268" s="334">
        <f t="shared" ca="1" si="354"/>
        <v>-4.1706247652347317E-2</v>
      </c>
      <c r="I268" s="335">
        <f t="shared" ca="1" si="356"/>
        <v>55.822999999999624</v>
      </c>
      <c r="J268" s="336">
        <f t="shared" ca="1" si="357"/>
        <v>-0.6476361737919818</v>
      </c>
      <c r="K268" s="337">
        <f t="shared" ca="1" si="358"/>
        <v>88.432000000000059</v>
      </c>
      <c r="L268" s="334">
        <f t="shared" ca="1" si="359"/>
        <v>-0.74435204201878735</v>
      </c>
      <c r="AD268" s="87" t="s">
        <v>53</v>
      </c>
      <c r="AE268" s="337">
        <f ca="1">+AE264-AE266-AE267</f>
        <v>-35.048716962206527</v>
      </c>
      <c r="AF268" s="334">
        <f ca="1">IF(AE248=0,"N.D.",AE268/AE248)</f>
        <v>-1.2380330965102977E-2</v>
      </c>
      <c r="AG268" s="337">
        <f ca="1">+AG264-AG266-AG267</f>
        <v>-81.772999999999797</v>
      </c>
      <c r="AH268" s="334">
        <f ca="1">IF(AG248=0,"N.D.",AG268/AG248)</f>
        <v>-2.7824838908021402E-2</v>
      </c>
      <c r="AI268" s="337">
        <f ca="1">+AI264-AI266-AI267</f>
        <v>-111.3338229999998</v>
      </c>
      <c r="AJ268" s="334">
        <f ca="1">IF(AI248=0,"N.D.",AI268/AI248)</f>
        <v>-3.9502365976707816E-2</v>
      </c>
      <c r="AK268" s="335">
        <f t="shared" ca="1" si="362"/>
        <v>46.724283037793271</v>
      </c>
      <c r="AL268" s="336">
        <f t="shared" ca="1" si="363"/>
        <v>-0.57139010477533403</v>
      </c>
      <c r="AM268" s="337">
        <f t="shared" ca="1" si="364"/>
        <v>76.28510603779327</v>
      </c>
      <c r="AN268" s="334">
        <f t="shared" ca="1" si="365"/>
        <v>-0.68519254959737985</v>
      </c>
    </row>
    <row r="269" spans="2:40" ht="13" x14ac:dyDescent="0.3">
      <c r="B269" s="7" t="s">
        <v>122</v>
      </c>
      <c r="C269" s="337">
        <f ca="1">+C256+C254</f>
        <v>55.117000000000004</v>
      </c>
      <c r="D269" s="334">
        <f ca="1">IF(C248=0,"N.D.",C269/C248)</f>
        <v>1.9953256445882535E-2</v>
      </c>
      <c r="E269" s="337">
        <f ca="1">+E256+E254</f>
        <v>-24.56899999999963</v>
      </c>
      <c r="F269" s="334">
        <f t="shared" ca="1" si="354"/>
        <v>-8.2589149152593553E-3</v>
      </c>
      <c r="G269" s="337">
        <f ca="1">+G256+G254</f>
        <v>-55.443000000000048</v>
      </c>
      <c r="H269" s="334">
        <f t="shared" ca="1" si="354"/>
        <v>-1.9463313428748977E-2</v>
      </c>
      <c r="I269" s="335">
        <f t="shared" ca="1" si="356"/>
        <v>79.685999999999638</v>
      </c>
      <c r="J269" s="336">
        <f t="shared" ca="1" si="357"/>
        <v>-3.2433554479222124</v>
      </c>
      <c r="K269" s="337">
        <f t="shared" ca="1" si="358"/>
        <v>110.56000000000006</v>
      </c>
      <c r="L269" s="334">
        <f t="shared" ca="1" si="359"/>
        <v>-1.9941200872968627</v>
      </c>
      <c r="AD269" s="7" t="s">
        <v>122</v>
      </c>
      <c r="AE269" s="337">
        <f ca="1">+AE256+AE254</f>
        <v>26.951283037793473</v>
      </c>
      <c r="AF269" s="334">
        <f ca="1">IF(AE248=0,"N.D.",AE269/AE248)</f>
        <v>9.5200575901778425E-3</v>
      </c>
      <c r="AG269" s="337">
        <f ca="1">+AG256+AG254</f>
        <v>-20.859999999999797</v>
      </c>
      <c r="AH269" s="334">
        <f ca="1">IF(AG248=0,"N.D.",AG269/AG248)</f>
        <v>-7.0980169447289725E-3</v>
      </c>
      <c r="AI269" s="337">
        <f ca="1">+AI256+AI254</f>
        <v>-49.962182999999783</v>
      </c>
      <c r="AJ269" s="334">
        <f ca="1">IF(AI248=0,"N.D.",AI269/AI248)</f>
        <v>-1.772708764219158E-2</v>
      </c>
      <c r="AK269" s="335">
        <f t="shared" ca="1" si="362"/>
        <v>47.811283037793274</v>
      </c>
      <c r="AL269" s="336">
        <f t="shared" ca="1" si="363"/>
        <v>-2.2920078158098627</v>
      </c>
      <c r="AM269" s="337">
        <f t="shared" ca="1" si="364"/>
        <v>76.913466037793256</v>
      </c>
      <c r="AN269" s="334">
        <f t="shared" ca="1" si="365"/>
        <v>-1.5394336560072563</v>
      </c>
    </row>
    <row r="270" spans="2:40" x14ac:dyDescent="0.25">
      <c r="B270" s="1" t="s">
        <v>194</v>
      </c>
      <c r="C270" s="373">
        <f t="shared" ref="C270" ca="1" si="369">+C97+C131</f>
        <v>0</v>
      </c>
      <c r="D270" s="324">
        <f ca="1">IF(C$212=0, 0, C270/C$212)</f>
        <v>0</v>
      </c>
      <c r="E270" s="373">
        <f t="shared" ref="E270" ca="1" si="370">+E97+E131</f>
        <v>0</v>
      </c>
      <c r="F270" s="324">
        <f t="shared" ca="1" si="354"/>
        <v>0</v>
      </c>
      <c r="G270" s="373">
        <f t="shared" ref="G270:G271" ca="1" si="371">+G97+G131</f>
        <v>0</v>
      </c>
      <c r="H270" s="324">
        <f t="shared" ca="1" si="354"/>
        <v>0</v>
      </c>
      <c r="I270" s="370">
        <f t="shared" ca="1" si="356"/>
        <v>0</v>
      </c>
      <c r="J270" s="326" t="str">
        <f t="shared" ca="1" si="357"/>
        <v>N.D.</v>
      </c>
      <c r="K270" s="370">
        <f t="shared" ca="1" si="358"/>
        <v>0</v>
      </c>
      <c r="L270" s="324" t="str">
        <f t="shared" ca="1" si="359"/>
        <v>N.D.</v>
      </c>
      <c r="AD270" s="1" t="s">
        <v>194</v>
      </c>
      <c r="AE270" s="373">
        <f t="shared" ref="AE270:AG271" si="372">+AE97+AE131</f>
        <v>0</v>
      </c>
      <c r="AF270" s="324">
        <f>IF(AE$212=0, 0, AE270/AE$212)</f>
        <v>0</v>
      </c>
      <c r="AG270" s="373">
        <f t="shared" si="372"/>
        <v>0</v>
      </c>
      <c r="AH270" s="324">
        <f ca="1">IF(AG$212=0, 0, AG270/AG$212)</f>
        <v>0</v>
      </c>
      <c r="AI270" s="373">
        <f t="shared" ref="AI270" ca="1" si="373">+AI97+AI131</f>
        <v>0</v>
      </c>
      <c r="AJ270" s="324">
        <f ca="1">IF(AI$212=0, 0, AI270/AI$212)</f>
        <v>0</v>
      </c>
      <c r="AK270" s="370">
        <f t="shared" si="362"/>
        <v>0</v>
      </c>
      <c r="AL270" s="326" t="str">
        <f t="shared" si="363"/>
        <v>N.D.</v>
      </c>
      <c r="AM270" s="370">
        <f t="shared" ca="1" si="364"/>
        <v>0</v>
      </c>
      <c r="AN270" s="324" t="str">
        <f t="shared" ca="1" si="365"/>
        <v>N.D.</v>
      </c>
    </row>
    <row r="271" spans="2:40" x14ac:dyDescent="0.25">
      <c r="B271" s="1" t="s">
        <v>123</v>
      </c>
      <c r="C271" s="408">
        <f t="shared" ref="C271" ca="1" si="374">+C98+C132</f>
        <v>0</v>
      </c>
      <c r="D271" s="329">
        <f ca="1">IF(C$212=0, 0, C271/C$212)</f>
        <v>0</v>
      </c>
      <c r="E271" s="408">
        <f t="shared" ref="E271" ca="1" si="375">+E98+E132</f>
        <v>0</v>
      </c>
      <c r="F271" s="329">
        <f t="shared" ca="1" si="354"/>
        <v>0</v>
      </c>
      <c r="G271" s="408">
        <f t="shared" ca="1" si="371"/>
        <v>0</v>
      </c>
      <c r="H271" s="329">
        <f t="shared" ca="1" si="354"/>
        <v>0</v>
      </c>
      <c r="I271" s="371">
        <f t="shared" ca="1" si="356"/>
        <v>0</v>
      </c>
      <c r="J271" s="372" t="str">
        <f t="shared" ca="1" si="357"/>
        <v>N.D.</v>
      </c>
      <c r="K271" s="371">
        <f t="shared" ca="1" si="358"/>
        <v>0</v>
      </c>
      <c r="L271" s="329" t="str">
        <f t="shared" ca="1" si="359"/>
        <v>N.D.</v>
      </c>
      <c r="AD271" s="1" t="s">
        <v>123</v>
      </c>
      <c r="AE271" s="408">
        <f t="shared" si="372"/>
        <v>0</v>
      </c>
      <c r="AF271" s="329">
        <f>IF(AE$212=0, 0, AE271/AE$212)</f>
        <v>0</v>
      </c>
      <c r="AG271" s="408">
        <f t="shared" si="372"/>
        <v>0</v>
      </c>
      <c r="AH271" s="329">
        <f ca="1">IF(AG$212=0, 0, AG271/AG$212)</f>
        <v>0</v>
      </c>
      <c r="AI271" s="408">
        <f t="shared" ref="AI271" ca="1" si="376">+AI98+AI132</f>
        <v>0</v>
      </c>
      <c r="AJ271" s="329">
        <f ca="1">IF(AI$212=0, 0, AI271/AI$212)</f>
        <v>0</v>
      </c>
      <c r="AK271" s="371">
        <f t="shared" si="362"/>
        <v>0</v>
      </c>
      <c r="AL271" s="372" t="str">
        <f t="shared" si="363"/>
        <v>N.D.</v>
      </c>
      <c r="AM271" s="371">
        <f t="shared" ca="1" si="364"/>
        <v>0</v>
      </c>
      <c r="AN271" s="329" t="str">
        <f t="shared" ca="1" si="365"/>
        <v>N.D.</v>
      </c>
    </row>
    <row r="272" spans="2:40" ht="13" x14ac:dyDescent="0.3">
      <c r="B272" s="7" t="s">
        <v>190</v>
      </c>
      <c r="C272" s="410">
        <f ca="1">+C268+C254+C270+C271</f>
        <v>-16.774000000000001</v>
      </c>
      <c r="D272" s="334">
        <f ca="1">IF(C248=0,"N.D.",C272/C248)</f>
        <v>-6.0724626453405239E-3</v>
      </c>
      <c r="E272" s="410">
        <f ca="1">+E268+E254+E270+E271</f>
        <v>-77.680999999999628</v>
      </c>
      <c r="F272" s="334">
        <f t="shared" ca="1" si="354"/>
        <v>-2.6112612215892731E-2</v>
      </c>
      <c r="G272" s="410">
        <f ca="1">+G268+G254+G270+G271</f>
        <v>-104.70100000000006</v>
      </c>
      <c r="H272" s="334">
        <f t="shared" ca="1" si="354"/>
        <v>-3.6755377221713216E-2</v>
      </c>
      <c r="I272" s="367">
        <f t="shared" ca="1" si="356"/>
        <v>60.906999999999627</v>
      </c>
      <c r="J272" s="368">
        <f t="shared" ca="1" si="357"/>
        <v>-0.78406560162716643</v>
      </c>
      <c r="K272" s="369">
        <f t="shared" ca="1" si="358"/>
        <v>87.927000000000064</v>
      </c>
      <c r="L272" s="366">
        <f t="shared" ca="1" si="359"/>
        <v>-0.83979140600376323</v>
      </c>
      <c r="AD272" s="7" t="s">
        <v>190</v>
      </c>
      <c r="AE272" s="410">
        <f ca="1">+AE268+AE254+AE270+AE271</f>
        <v>-26.048716962206527</v>
      </c>
      <c r="AF272" s="334">
        <f ca="1">IF(AE248=0,"N.D.",AE272/AE248)</f>
        <v>-9.2012423038525352E-3</v>
      </c>
      <c r="AG272" s="410">
        <f ca="1">+AG268+AG254+AG270+AG271</f>
        <v>-73.258999999999801</v>
      </c>
      <c r="AH272" s="334">
        <f ca="1">IF(AG248=0,"N.D.",AG272/AG248)</f>
        <v>-2.4927786354453665E-2</v>
      </c>
      <c r="AI272" s="410">
        <f ca="1">+AI268+AI254+AI270+AI271</f>
        <v>-97.229232999999795</v>
      </c>
      <c r="AJ272" s="334">
        <f ca="1">IF(AI248=0,"N.D.",AI272/AI248)</f>
        <v>-3.4497914848397836E-2</v>
      </c>
      <c r="AK272" s="367">
        <f t="shared" ca="1" si="362"/>
        <v>47.210283037793275</v>
      </c>
      <c r="AL272" s="368">
        <f t="shared" ca="1" si="363"/>
        <v>-0.64442980436251385</v>
      </c>
      <c r="AM272" s="369">
        <f t="shared" ca="1" si="364"/>
        <v>71.180516037793268</v>
      </c>
      <c r="AN272" s="366">
        <f t="shared" ca="1" si="365"/>
        <v>-0.73208965906162615</v>
      </c>
    </row>
    <row r="273" spans="2:40" ht="13" x14ac:dyDescent="0.3">
      <c r="B273" s="7" t="s">
        <v>191</v>
      </c>
      <c r="C273" s="381">
        <f ca="1">+C100+C134</f>
        <v>27.972709999999999</v>
      </c>
      <c r="D273" s="329">
        <f ca="1">IF(C$212=0, 0, C273/C$212)</f>
        <v>7.6130304382851788E-2</v>
      </c>
      <c r="E273" s="381">
        <f ca="1">+E100+E134</f>
        <v>27.972709999999999</v>
      </c>
      <c r="F273" s="329">
        <f t="shared" ca="1" si="354"/>
        <v>9.4030783442235321E-3</v>
      </c>
      <c r="G273" s="381">
        <f ca="1">+G100+G134</f>
        <v>49.772689999999997</v>
      </c>
      <c r="H273" s="329">
        <f t="shared" ca="1" si="354"/>
        <v>1.7472746165646862E-2</v>
      </c>
      <c r="I273" s="335">
        <f t="shared" ca="1" si="356"/>
        <v>0</v>
      </c>
      <c r="J273" s="336">
        <f t="shared" ca="1" si="357"/>
        <v>0</v>
      </c>
      <c r="K273" s="337">
        <f t="shared" ca="1" si="358"/>
        <v>-21.799979999999998</v>
      </c>
      <c r="L273" s="334">
        <f t="shared" ca="1" si="359"/>
        <v>-0.43799079374653049</v>
      </c>
      <c r="AD273" s="7" t="s">
        <v>191</v>
      </c>
      <c r="AE273" s="381">
        <f>+AE100+AE134</f>
        <v>45</v>
      </c>
      <c r="AF273" s="329">
        <f>IF(AE$212=0, 0, AE273/AE$212)</f>
        <v>0.1465798045602606</v>
      </c>
      <c r="AG273" s="381">
        <f ca="1">+AG100+AG134</f>
        <v>27.972709999999999</v>
      </c>
      <c r="AH273" s="329">
        <f ca="1">IF(AG$212=0, 0, AG273/AG$212)</f>
        <v>8.0151031518624641E-2</v>
      </c>
      <c r="AI273" s="381">
        <f ca="1">+AI100+AI134</f>
        <v>49.772689999999997</v>
      </c>
      <c r="AJ273" s="329">
        <f ca="1">IF(AI$212=0, 0, AI273/AI$212)</f>
        <v>0.1410514187243134</v>
      </c>
      <c r="AK273" s="335">
        <f t="shared" ca="1" si="362"/>
        <v>17.027290000000001</v>
      </c>
      <c r="AL273" s="336">
        <f t="shared" ca="1" si="363"/>
        <v>0.60871077560951381</v>
      </c>
      <c r="AM273" s="337">
        <f t="shared" ca="1" si="364"/>
        <v>-4.7726899999999972</v>
      </c>
      <c r="AN273" s="334">
        <f t="shared" ca="1" si="365"/>
        <v>-9.5889733908293806E-2</v>
      </c>
    </row>
    <row r="274" spans="2:40" ht="13" x14ac:dyDescent="0.3">
      <c r="B274" s="7" t="s">
        <v>84</v>
      </c>
      <c r="C274" s="381">
        <f ca="1">C272-C273</f>
        <v>-44.74671</v>
      </c>
      <c r="D274" s="334">
        <f ca="1">IF(C248=0,"N.D.",C274/C248)</f>
        <v>-1.6199041670256663E-2</v>
      </c>
      <c r="E274" s="381">
        <f ca="1">E272-E273</f>
        <v>-105.65370999999962</v>
      </c>
      <c r="F274" s="334">
        <f t="shared" ca="1" si="354"/>
        <v>-3.5515690560116261E-2</v>
      </c>
      <c r="G274" s="381">
        <f ca="1">G272-G273</f>
        <v>-154.47369000000006</v>
      </c>
      <c r="H274" s="334">
        <f t="shared" ca="1" si="354"/>
        <v>-5.4228123387360085E-2</v>
      </c>
      <c r="I274" s="335">
        <f t="shared" ca="1" si="356"/>
        <v>60.90699999999962</v>
      </c>
      <c r="J274" s="336">
        <f t="shared" ca="1" si="357"/>
        <v>-0.57647762676767189</v>
      </c>
      <c r="K274" s="337">
        <f t="shared" ca="1" si="358"/>
        <v>109.72698000000005</v>
      </c>
      <c r="L274" s="334">
        <f t="shared" ca="1" si="359"/>
        <v>-0.71032795293489803</v>
      </c>
      <c r="AD274" s="7" t="s">
        <v>84</v>
      </c>
      <c r="AE274" s="381">
        <f ca="1">AE272-AE273</f>
        <v>-71.048716962206527</v>
      </c>
      <c r="AF274" s="334">
        <f ca="1">IF(AE248=0,"N.D.",AE274/AE248)</f>
        <v>-2.5096685610104742E-2</v>
      </c>
      <c r="AG274" s="381">
        <f ca="1">AG272-AG273</f>
        <v>-101.23170999999979</v>
      </c>
      <c r="AH274" s="334">
        <f ca="1">IF(AG248=0,"N.D.",AG274/AG248)</f>
        <v>-3.4446039929237532E-2</v>
      </c>
      <c r="AI274" s="381">
        <f ca="1">AI272-AI273</f>
        <v>-147.00192299999981</v>
      </c>
      <c r="AJ274" s="334">
        <f ca="1">IF(AI248=0,"N.D.",AI274/AI248)</f>
        <v>-5.2157768458429975E-2</v>
      </c>
      <c r="AK274" s="335">
        <f t="shared" ca="1" si="362"/>
        <v>30.182993037793267</v>
      </c>
      <c r="AL274" s="336">
        <f t="shared" ca="1" si="363"/>
        <v>-0.29815749469996433</v>
      </c>
      <c r="AM274" s="337">
        <f t="shared" ca="1" si="364"/>
        <v>75.953206037793279</v>
      </c>
      <c r="AN274" s="334">
        <f t="shared" ca="1" si="365"/>
        <v>-0.5166817174071483</v>
      </c>
    </row>
    <row r="275" spans="2:40" x14ac:dyDescent="0.25">
      <c r="B275" s="1" t="s">
        <v>193</v>
      </c>
      <c r="C275" s="412">
        <f ca="1">IF(C273=0,"N.D.",(C272-C270-C271)/C273)</f>
        <v>-0.59965587889053296</v>
      </c>
      <c r="E275" s="412">
        <f ca="1">IF(E273=0,"N.D.",(E272-E270-E271)/E273)</f>
        <v>-2.7770280391138229</v>
      </c>
      <c r="G275" s="412">
        <f ca="1">IF(G273=0,"N.D.",(G272-G270-G271)/G273)</f>
        <v>-2.1035833104459507</v>
      </c>
      <c r="AD275" s="1" t="s">
        <v>193</v>
      </c>
      <c r="AE275" s="412">
        <f ca="1">IF(AE273=0,"N.D.",(AE272-AE270-AE271)/AE273)</f>
        <v>-0.5788603769379228</v>
      </c>
      <c r="AG275" s="412">
        <f ca="1">IF(AG273=0,"N.D.",(AG272-AG270-AG271)/AG273)</f>
        <v>-2.6189453935639344</v>
      </c>
      <c r="AI275" s="412">
        <f ca="1">IF(AI273=0,"N.D.",(AI272-AI270-AI271)/AI273)</f>
        <v>-1.9534655048782736</v>
      </c>
    </row>
    <row r="280" spans="2:40" ht="13" x14ac:dyDescent="0.3">
      <c r="B280" s="281" t="s">
        <v>453</v>
      </c>
      <c r="C280" s="319"/>
      <c r="D280" s="320"/>
      <c r="E280" s="319"/>
      <c r="F280" s="320"/>
      <c r="G280" s="319"/>
      <c r="H280" s="320"/>
      <c r="I280" s="319"/>
      <c r="J280" s="320"/>
      <c r="K280" s="319"/>
      <c r="L280" s="320"/>
      <c r="AD280" s="281" t="s">
        <v>453</v>
      </c>
      <c r="AE280" s="319"/>
      <c r="AF280" s="320"/>
      <c r="AG280" s="319"/>
      <c r="AH280" s="320"/>
      <c r="AI280" s="319"/>
      <c r="AJ280" s="320"/>
      <c r="AK280" s="319"/>
      <c r="AL280" s="320"/>
      <c r="AM280" s="319"/>
      <c r="AN280" s="320"/>
    </row>
    <row r="281" spans="2:40" ht="13" x14ac:dyDescent="0.3">
      <c r="B281" s="318" t="str">
        <f>+B246</f>
        <v>Trimestre</v>
      </c>
      <c r="C281" s="319"/>
      <c r="D281" s="320"/>
      <c r="E281" s="319"/>
      <c r="F281" s="320"/>
      <c r="G281" s="319"/>
      <c r="H281" s="320"/>
      <c r="I281" s="319"/>
      <c r="J281" s="320"/>
      <c r="K281" s="319"/>
      <c r="L281" s="320"/>
      <c r="AD281" s="318" t="s">
        <v>431</v>
      </c>
      <c r="AE281" s="319"/>
      <c r="AF281" s="320"/>
      <c r="AG281" s="319"/>
      <c r="AH281" s="320"/>
      <c r="AI281" s="319"/>
      <c r="AJ281" s="320"/>
      <c r="AK281" s="319"/>
      <c r="AL281" s="320"/>
      <c r="AM281" s="319"/>
      <c r="AN281" s="320"/>
    </row>
    <row r="282" spans="2:40" ht="13" x14ac:dyDescent="0.3">
      <c r="B282" s="319"/>
      <c r="C282" s="390" t="s">
        <v>0</v>
      </c>
      <c r="D282" s="321"/>
      <c r="E282" s="390" t="s">
        <v>4</v>
      </c>
      <c r="F282" s="321"/>
      <c r="G282" s="390" t="s">
        <v>9</v>
      </c>
      <c r="H282" s="321"/>
      <c r="I282" s="390" t="s">
        <v>6</v>
      </c>
      <c r="J282" s="321"/>
      <c r="K282" s="390" t="s">
        <v>7</v>
      </c>
      <c r="L282" s="320"/>
      <c r="AD282" s="319"/>
      <c r="AE282" s="390" t="s">
        <v>0</v>
      </c>
      <c r="AF282" s="321"/>
      <c r="AG282" s="390" t="s">
        <v>4</v>
      </c>
      <c r="AH282" s="321"/>
      <c r="AI282" s="390" t="s">
        <v>9</v>
      </c>
      <c r="AJ282" s="321"/>
      <c r="AK282" s="390" t="s">
        <v>6</v>
      </c>
      <c r="AL282" s="321"/>
      <c r="AM282" s="390" t="s">
        <v>7</v>
      </c>
      <c r="AN282" s="320"/>
    </row>
    <row r="283" spans="2:40" x14ac:dyDescent="0.25">
      <c r="B283" s="322" t="s">
        <v>38</v>
      </c>
      <c r="C283" s="323">
        <f ca="1">+C143+C178</f>
        <v>1617.1770000000001</v>
      </c>
      <c r="D283" s="324">
        <f ca="1">IF(C283=0,"N.D.",C283/C283)</f>
        <v>1</v>
      </c>
      <c r="E283" s="323">
        <f ca="1">+E143+E178</f>
        <v>1782.2809999999999</v>
      </c>
      <c r="F283" s="324">
        <f ca="1">IF(E$43=0, 0, E283/E283)</f>
        <v>1</v>
      </c>
      <c r="G283" s="323">
        <f ca="1">+G143+G178</f>
        <v>1729.6890000000001</v>
      </c>
      <c r="H283" s="324">
        <f ca="1">IF(G$43=0, 0, G283/G283)</f>
        <v>1</v>
      </c>
      <c r="I283" s="325">
        <f ca="1">C283-E283</f>
        <v>-165.10399999999981</v>
      </c>
      <c r="J283" s="326">
        <f ca="1">IF(E283=0,"N.D.",C283/E283-1)</f>
        <v>-9.263634634493656E-2</v>
      </c>
      <c r="K283" s="327">
        <f ca="1">C283-G283</f>
        <v>-112.51199999999994</v>
      </c>
      <c r="L283" s="324">
        <f ca="1">IF(G283=0,"N.D.",C283/G283-1)</f>
        <v>-6.5047531666097114E-2</v>
      </c>
      <c r="AD283" s="322" t="s">
        <v>38</v>
      </c>
      <c r="AE283" s="323">
        <f>+AE143+AE178</f>
        <v>1633</v>
      </c>
      <c r="AF283" s="324">
        <f>IF(AE283=0,"N.D.",AE283/AE283)</f>
        <v>1</v>
      </c>
      <c r="AG283" s="323">
        <f ca="1">+AG143+AG178</f>
        <v>1694.3200000000002</v>
      </c>
      <c r="AH283" s="324">
        <f ca="1">IF(AG283=0,"N.D.",AG283/AG283)</f>
        <v>1</v>
      </c>
      <c r="AI283" s="323">
        <f ca="1">+AI143+AI178</f>
        <v>1687.0964899999999</v>
      </c>
      <c r="AJ283" s="324">
        <f ca="1">IF(AI283=0,"N.D.",AI283/AI283)</f>
        <v>1</v>
      </c>
      <c r="AK283" s="325">
        <f ca="1">AE283-AG283</f>
        <v>-61.320000000000164</v>
      </c>
      <c r="AL283" s="326">
        <f ca="1">IF(AG283=0,"N.D.",AE283/AG283-1)</f>
        <v>-3.6191510458473131E-2</v>
      </c>
      <c r="AM283" s="327">
        <f ca="1">AE283-AI283</f>
        <v>-54.096489999999903</v>
      </c>
      <c r="AN283" s="324">
        <f ca="1">IF(AI283=0,"N.D.",AE283/AI283-1)</f>
        <v>-3.2064846510349798E-2</v>
      </c>
    </row>
    <row r="284" spans="2:40" x14ac:dyDescent="0.25">
      <c r="B284" s="322" t="s">
        <v>39</v>
      </c>
      <c r="C284" s="328">
        <f ca="1">+C144+C179</f>
        <v>540.22800000000007</v>
      </c>
      <c r="D284" s="329">
        <f ca="1">IF(C283=0,"N.D.",C284/C283)</f>
        <v>0.33405619793009672</v>
      </c>
      <c r="E284" s="328">
        <f ca="1">+E144+E179</f>
        <v>617.67599999999993</v>
      </c>
      <c r="F284" s="329">
        <f ca="1">IF(E284=0, 0, E284/E$283)</f>
        <v>0.34656487949992171</v>
      </c>
      <c r="G284" s="328">
        <f ca="1">+G144+G179</f>
        <v>598.92100000000005</v>
      </c>
      <c r="H284" s="329">
        <f ca="1">IF(G284=0, 0, G284/G$283)</f>
        <v>0.34625935645078393</v>
      </c>
      <c r="I284" s="330">
        <f ca="1">C284-E284</f>
        <v>-77.447999999999865</v>
      </c>
      <c r="J284" s="331">
        <f ca="1">IF(E284=0,"N.D.",C284/E284-1)</f>
        <v>-0.12538612476443944</v>
      </c>
      <c r="K284" s="328">
        <f ca="1">C284-G284</f>
        <v>-58.692999999999984</v>
      </c>
      <c r="L284" s="329">
        <f ca="1">IF(G284=0,"N.D.",C284/G284-1)</f>
        <v>-9.7997899556034884E-2</v>
      </c>
      <c r="AD284" s="322" t="s">
        <v>39</v>
      </c>
      <c r="AE284" s="328">
        <f ca="1">+AE144+AE179</f>
        <v>546.00427171349293</v>
      </c>
      <c r="AF284" s="329">
        <f ca="1">IF(AE283=0,"N.D.",AE284/AE283)</f>
        <v>0.33435656565431288</v>
      </c>
      <c r="AG284" s="328">
        <f ca="1">+AG144+AG179</f>
        <v>587.13300000000004</v>
      </c>
      <c r="AH284" s="329">
        <f ca="1">IF(AG283=0,"N.D.",AG284/AG283)</f>
        <v>0.34653017139619435</v>
      </c>
      <c r="AI284" s="328">
        <f ca="1">+AI144+AI179</f>
        <v>630.30232999999998</v>
      </c>
      <c r="AJ284" s="329">
        <f ca="1">IF(AI283=0,"N.D.",AI284/AI283)</f>
        <v>0.3736018264136155</v>
      </c>
      <c r="AK284" s="330">
        <f ca="1">AE284-AG284</f>
        <v>-41.128728286507112</v>
      </c>
      <c r="AL284" s="331">
        <f ca="1">IF(AG284=0,"N.D.",AE284/AG284-1)</f>
        <v>-7.0050104978781835E-2</v>
      </c>
      <c r="AM284" s="328">
        <f ca="1">AE284-AI284</f>
        <v>-84.298058286507057</v>
      </c>
      <c r="AN284" s="329">
        <f ca="1">IF(AI284=0,"N.D.",AE284/AI284-1)</f>
        <v>-0.13374226029992153</v>
      </c>
    </row>
    <row r="285" spans="2:40" ht="13" x14ac:dyDescent="0.3">
      <c r="B285" s="332" t="s">
        <v>40</v>
      </c>
      <c r="C285" s="333">
        <f ca="1">+C283-C284</f>
        <v>1076.9490000000001</v>
      </c>
      <c r="D285" s="334">
        <f ca="1">IF(C283=0,"N.D.",C285/C283)</f>
        <v>0.66594380206990333</v>
      </c>
      <c r="E285" s="333">
        <f ca="1">+E283-E284</f>
        <v>1164.605</v>
      </c>
      <c r="F285" s="334">
        <f t="shared" ref="F285" ca="1" si="377">IF(E285=0, 0, E285/E$283)</f>
        <v>0.65343512050007835</v>
      </c>
      <c r="G285" s="333">
        <f ca="1">+G283-G284</f>
        <v>1130.768</v>
      </c>
      <c r="H285" s="334">
        <f ca="1">IF(G285=0, 0, G285/G$283)</f>
        <v>0.65374064354921602</v>
      </c>
      <c r="I285" s="335">
        <f ca="1">C285-E285</f>
        <v>-87.655999999999949</v>
      </c>
      <c r="J285" s="336">
        <f ca="1">IF(E285=0,"N.D.",C285/E285-1)</f>
        <v>-7.526672133470147E-2</v>
      </c>
      <c r="K285" s="337">
        <f ca="1">C285-G285</f>
        <v>-53.81899999999996</v>
      </c>
      <c r="L285" s="334">
        <f ca="1">IF(G285=0,"N.D.",C285/G285-1)</f>
        <v>-4.7595085817780491E-2</v>
      </c>
      <c r="AD285" s="332" t="s">
        <v>40</v>
      </c>
      <c r="AE285" s="333">
        <f ca="1">+AE283-AE284</f>
        <v>1086.9957282865071</v>
      </c>
      <c r="AF285" s="334">
        <f ca="1">IF(AE283=0,"N.D.",AE285/AE283)</f>
        <v>0.66564343434568718</v>
      </c>
      <c r="AG285" s="333">
        <f ca="1">+AG283-AG284</f>
        <v>1107.1870000000001</v>
      </c>
      <c r="AH285" s="334">
        <f ca="1">IF(AG283=0,"N.D.",AG285/AG283)</f>
        <v>0.65346982860380565</v>
      </c>
      <c r="AI285" s="333">
        <f ca="1">+AI283-AI284</f>
        <v>1056.7941599999999</v>
      </c>
      <c r="AJ285" s="334">
        <f ca="1">IF(AI283=0,"N.D.",AI285/AI283)</f>
        <v>0.6263981735863845</v>
      </c>
      <c r="AK285" s="335">
        <f ca="1">AE285-AG285</f>
        <v>-20.191271713493052</v>
      </c>
      <c r="AL285" s="336">
        <f ca="1">IF(AG285=0,"N.D.",AE285/AG285-1)</f>
        <v>-1.8236550567783949E-2</v>
      </c>
      <c r="AM285" s="337">
        <f ca="1">AE285-AI285</f>
        <v>30.201568286507154</v>
      </c>
      <c r="AN285" s="334">
        <f ca="1">IF(AI285=0,"N.D.",AE285/AI285-1)</f>
        <v>2.8578477654065626E-2</v>
      </c>
    </row>
    <row r="286" spans="2:40" x14ac:dyDescent="0.25">
      <c r="B286" s="322"/>
      <c r="C286" s="338"/>
      <c r="D286" s="339"/>
      <c r="E286" s="338"/>
      <c r="F286" s="339"/>
      <c r="G286" s="338"/>
      <c r="H286" s="339"/>
      <c r="I286" s="338"/>
      <c r="J286" s="340"/>
      <c r="K286" s="338"/>
      <c r="L286" s="339"/>
      <c r="AD286" s="322"/>
      <c r="AE286" s="338"/>
      <c r="AF286" s="339"/>
      <c r="AG286" s="338"/>
      <c r="AH286" s="339"/>
      <c r="AI286" s="338"/>
      <c r="AJ286" s="339"/>
      <c r="AK286" s="338"/>
      <c r="AL286" s="340"/>
      <c r="AM286" s="338"/>
      <c r="AN286" s="339"/>
    </row>
    <row r="287" spans="2:40" x14ac:dyDescent="0.25">
      <c r="B287" s="9" t="s">
        <v>41</v>
      </c>
      <c r="C287" s="327">
        <f t="shared" ref="C287" ca="1" si="378">+C147+C182</f>
        <v>1057.886</v>
      </c>
      <c r="D287" s="324">
        <f ca="1">IF(C283=0,"N.D.",C287/C283)</f>
        <v>0.65415597674218706</v>
      </c>
      <c r="E287" s="327">
        <f t="shared" ref="E287" ca="1" si="379">+E147+E182</f>
        <v>1131.3809999999999</v>
      </c>
      <c r="F287" s="324">
        <f t="shared" ref="F287:F291" ca="1" si="380">IF(E287=0, 0, E287/E$283)</f>
        <v>0.63479384002859252</v>
      </c>
      <c r="G287" s="327">
        <f t="shared" ref="G287:G289" ca="1" si="381">+G147+G182</f>
        <v>1130.798</v>
      </c>
      <c r="H287" s="324">
        <f ca="1">IF(G287=0, 0, G287/G$283)</f>
        <v>0.65375798770761673</v>
      </c>
      <c r="I287" s="325">
        <f ca="1">C287-E287</f>
        <v>-73.494999999999891</v>
      </c>
      <c r="J287" s="326">
        <f ca="1">IF(E287=0,"N.D.",C287/E287-1)</f>
        <v>-6.496043331114798E-2</v>
      </c>
      <c r="K287" s="327">
        <f ca="1">C287-G287</f>
        <v>-72.912000000000035</v>
      </c>
      <c r="L287" s="324">
        <f ca="1">IF(G287=0,"N.D.",C287/G287-1)</f>
        <v>-6.4478359530172558E-2</v>
      </c>
      <c r="AD287" s="9" t="s">
        <v>41</v>
      </c>
      <c r="AE287" s="327">
        <f t="shared" ref="AE287:AG289" ca="1" si="382">+AE147+AE182</f>
        <v>1069.5315047770537</v>
      </c>
      <c r="AF287" s="324">
        <f ca="1">IF(AE283=0,"N.D.",AE287/AE283)</f>
        <v>0.65494887004106161</v>
      </c>
      <c r="AG287" s="327">
        <f t="shared" ca="1" si="382"/>
        <v>1105.6390000000001</v>
      </c>
      <c r="AH287" s="324">
        <f ca="1">IF(AG283=0,"N.D.",AG287/AG283)</f>
        <v>0.65255618773313184</v>
      </c>
      <c r="AI287" s="327">
        <f t="shared" ref="AI287" ca="1" si="383">+AI147+AI182</f>
        <v>1041.1403300000002</v>
      </c>
      <c r="AJ287" s="324">
        <f ca="1">IF(AI283=0,"N.D.",AI287/AI283)</f>
        <v>0.61711961122033998</v>
      </c>
      <c r="AK287" s="325">
        <f ca="1">AE287-AG287</f>
        <v>-36.107495222946454</v>
      </c>
      <c r="AL287" s="326">
        <f ca="1">IF(AG287=0,"N.D.",AE287/AG287-1)</f>
        <v>-3.2657581021424242E-2</v>
      </c>
      <c r="AM287" s="327">
        <f ca="1">AE287-AI287</f>
        <v>28.391174777053493</v>
      </c>
      <c r="AN287" s="324">
        <f ca="1">IF(AI287=0,"N.D.",AE287/AI287-1)</f>
        <v>2.7269306508425739E-2</v>
      </c>
    </row>
    <row r="288" spans="2:40" x14ac:dyDescent="0.25">
      <c r="B288" s="9" t="s">
        <v>42</v>
      </c>
      <c r="C288" s="328">
        <f t="shared" ref="C288" ca="1" si="384">+C148+C183</f>
        <v>93.212000000000003</v>
      </c>
      <c r="D288" s="341">
        <f ca="1">IF(C283=0,"N.D.",C288/C283)</f>
        <v>5.7638712398209967E-2</v>
      </c>
      <c r="E288" s="328">
        <f t="shared" ref="E288" ca="1" si="385">+E148+E183</f>
        <v>107.17</v>
      </c>
      <c r="F288" s="341">
        <f t="shared" ca="1" si="380"/>
        <v>6.0130809900346804E-2</v>
      </c>
      <c r="G288" s="328">
        <f t="shared" ca="1" si="381"/>
        <v>107.015</v>
      </c>
      <c r="H288" s="341">
        <f ca="1">IF(G288=0, 0, G288/G$283)</f>
        <v>6.1869503708470136E-2</v>
      </c>
      <c r="I288" s="330">
        <f ca="1">C288-E288</f>
        <v>-13.957999999999998</v>
      </c>
      <c r="J288" s="331">
        <f ca="1">IF(E288=0,"N.D.",C288/E288-1)</f>
        <v>-0.13024167210973214</v>
      </c>
      <c r="K288" s="328">
        <f ca="1">C288-G288</f>
        <v>-13.802999999999997</v>
      </c>
      <c r="L288" s="341">
        <f ca="1">IF(G288=0,"N.D.",C288/G288-1)</f>
        <v>-0.12898191842265105</v>
      </c>
      <c r="AD288" s="9" t="s">
        <v>42</v>
      </c>
      <c r="AE288" s="328">
        <f t="shared" si="382"/>
        <v>108</v>
      </c>
      <c r="AF288" s="341">
        <f>IF(AE283=0,"N.D.",AE288/AE283)</f>
        <v>6.6135946111451321E-2</v>
      </c>
      <c r="AG288" s="328">
        <f t="shared" ca="1" si="382"/>
        <v>86.206000000000003</v>
      </c>
      <c r="AH288" s="341">
        <f ca="1">IF(AG283=0,"N.D.",AG288/AG283)</f>
        <v>5.0879408848387549E-2</v>
      </c>
      <c r="AI288" s="328">
        <f t="shared" ref="AI288" ca="1" si="386">+AI148+AI183</f>
        <v>100.55080000000001</v>
      </c>
      <c r="AJ288" s="341">
        <f ca="1">IF(AI283=0,"N.D.",AI288/AI283)</f>
        <v>5.9599910613292791E-2</v>
      </c>
      <c r="AK288" s="330">
        <f ca="1">AE288-AG288</f>
        <v>21.793999999999997</v>
      </c>
      <c r="AL288" s="331">
        <f ca="1">IF(AG288=0,"N.D.",AE288/AG288-1)</f>
        <v>0.2528130292555042</v>
      </c>
      <c r="AM288" s="328">
        <f ca="1">AE288-AI288</f>
        <v>7.4491999999999905</v>
      </c>
      <c r="AN288" s="341">
        <f ca="1">IF(AI288=0,"N.D.",AE288/AI288-1)</f>
        <v>7.4083945627483772E-2</v>
      </c>
    </row>
    <row r="289" spans="2:40" x14ac:dyDescent="0.25">
      <c r="B289" s="9" t="s">
        <v>43</v>
      </c>
      <c r="C289" s="342">
        <f t="shared" ref="C289" ca="1" si="387">+C149+C184</f>
        <v>52.688000000000002</v>
      </c>
      <c r="D289" s="329">
        <f ca="1">IF(C283=0,"N.D.",C289/C283)</f>
        <v>3.2580230859083452E-2</v>
      </c>
      <c r="E289" s="342">
        <f t="shared" ref="E289" ca="1" si="388">+E149+E184</f>
        <v>71.897999999999996</v>
      </c>
      <c r="F289" s="329">
        <f t="shared" ca="1" si="380"/>
        <v>4.0340440143838148E-2</v>
      </c>
      <c r="G289" s="342">
        <f t="shared" ca="1" si="381"/>
        <v>81.399000000000001</v>
      </c>
      <c r="H289" s="329">
        <f ca="1">IF(G289=0, 0, G289/G$283)</f>
        <v>4.7059904988700281E-2</v>
      </c>
      <c r="I289" s="330">
        <f ca="1">C289-E289</f>
        <v>-19.209999999999994</v>
      </c>
      <c r="J289" s="331">
        <f ca="1">IF(E289=0,"N.D.",C289/E289-1)</f>
        <v>-0.26718406631617009</v>
      </c>
      <c r="K289" s="342">
        <f ca="1">C289-G289</f>
        <v>-28.710999999999999</v>
      </c>
      <c r="L289" s="329">
        <f ca="1">IF(G289=0,"N.D.",C289/G289-1)</f>
        <v>-0.35271932087617786</v>
      </c>
      <c r="AD289" s="9" t="s">
        <v>43</v>
      </c>
      <c r="AE289" s="342">
        <f t="shared" si="382"/>
        <v>72</v>
      </c>
      <c r="AF289" s="329">
        <f>IF(AE283=0,"N.D.",AE289/AE283)</f>
        <v>4.4090630740967543E-2</v>
      </c>
      <c r="AG289" s="342">
        <f t="shared" ca="1" si="382"/>
        <v>71.897999999999996</v>
      </c>
      <c r="AH289" s="329">
        <f ca="1">IF(AG283=0,"N.D.",AG289/AG283)</f>
        <v>4.2434723074743844E-2</v>
      </c>
      <c r="AI289" s="342">
        <f t="shared" ref="AI289" ca="1" si="389">+AI149+AI184</f>
        <v>81.397660000000002</v>
      </c>
      <c r="AJ289" s="329">
        <f ca="1">IF(AI283=0,"N.D.",AI289/AI283)</f>
        <v>4.824718709479385E-2</v>
      </c>
      <c r="AK289" s="330">
        <f ca="1">AE289-AG289</f>
        <v>0.10200000000000387</v>
      </c>
      <c r="AL289" s="331">
        <f ca="1">IF(AG289=0,"N.D.",AE289/AG289-1)</f>
        <v>1.4186764583159484E-3</v>
      </c>
      <c r="AM289" s="342">
        <f ca="1">AE289-AI289</f>
        <v>-9.3976600000000019</v>
      </c>
      <c r="AN289" s="329">
        <f ca="1">IF(AI289=0,"N.D.",AE289/AI289-1)</f>
        <v>-0.11545368748929641</v>
      </c>
    </row>
    <row r="290" spans="2:40" ht="13" x14ac:dyDescent="0.3">
      <c r="B290" s="9" t="s">
        <v>44</v>
      </c>
      <c r="C290" s="337">
        <f ca="1">+C287+C288+C289</f>
        <v>1203.7860000000001</v>
      </c>
      <c r="D290" s="334">
        <f ca="1">IF(C283=0,"N.D.",C290/C283)</f>
        <v>0.74437491999948058</v>
      </c>
      <c r="E290" s="337">
        <f ca="1">+E287+E288+E289</f>
        <v>1310.4489999999998</v>
      </c>
      <c r="F290" s="334">
        <f t="shared" ca="1" si="380"/>
        <v>0.73526509007277741</v>
      </c>
      <c r="G290" s="337">
        <f ca="1">+G287+G288+G289</f>
        <v>1319.212</v>
      </c>
      <c r="H290" s="334">
        <f ca="1">IF(G290=0, 0, G290/G$283)</f>
        <v>0.76268739640478722</v>
      </c>
      <c r="I290" s="335">
        <f ca="1">C290-E290</f>
        <v>-106.66299999999978</v>
      </c>
      <c r="J290" s="336">
        <f ca="1">IF(E290=0,"N.D.",C290/E290-1)</f>
        <v>-8.1394239684260739E-2</v>
      </c>
      <c r="K290" s="337">
        <f ca="1">C290-G290</f>
        <v>-115.42599999999993</v>
      </c>
      <c r="L290" s="334">
        <f ca="1">IF(G290=0,"N.D.",C290/G290-1)</f>
        <v>-8.749617195719861E-2</v>
      </c>
      <c r="AD290" s="9" t="s">
        <v>44</v>
      </c>
      <c r="AE290" s="337">
        <f ca="1">+AE287+AE288+AE289</f>
        <v>1249.5315047770537</v>
      </c>
      <c r="AF290" s="334">
        <f ca="1">IF(AE283=0,"N.D.",AE290/AE283)</f>
        <v>0.76517544689348049</v>
      </c>
      <c r="AG290" s="337">
        <f ca="1">+AG287+AG288+AG289</f>
        <v>1263.7429999999999</v>
      </c>
      <c r="AH290" s="334">
        <f ca="1">IF(AG283=0,"N.D.",AG290/AG283)</f>
        <v>0.74587031965626316</v>
      </c>
      <c r="AI290" s="337">
        <f ca="1">+AI287+AI288+AI289</f>
        <v>1223.0887900000002</v>
      </c>
      <c r="AJ290" s="334">
        <f ca="1">IF(AI283=0,"N.D.",AI290/AI283)</f>
        <v>0.72496670892842663</v>
      </c>
      <c r="AK290" s="335">
        <f ca="1">AE290-AG290</f>
        <v>-14.211495222946269</v>
      </c>
      <c r="AL290" s="336">
        <f ca="1">IF(AG290=0,"N.D.",AE290/AG290-1)</f>
        <v>-1.1245558015313462E-2</v>
      </c>
      <c r="AM290" s="337">
        <f ca="1">AE290-AI290</f>
        <v>26.442714777053425</v>
      </c>
      <c r="AN290" s="334">
        <f ca="1">IF(AI290=0,"N.D.",AE290/AI290-1)</f>
        <v>2.1619619927228273E-2</v>
      </c>
    </row>
    <row r="291" spans="2:40" ht="13" x14ac:dyDescent="0.3">
      <c r="B291" s="9" t="s">
        <v>45</v>
      </c>
      <c r="C291" s="337">
        <f ca="1">+C285-C290</f>
        <v>-126.83699999999999</v>
      </c>
      <c r="D291" s="334">
        <f ca="1">IF(C283=0,"N.D.",C291/C283)</f>
        <v>-7.8431117929577271E-2</v>
      </c>
      <c r="E291" s="337">
        <f ca="1">+E285-E290</f>
        <v>-145.84399999999982</v>
      </c>
      <c r="F291" s="334">
        <f t="shared" ca="1" si="380"/>
        <v>-8.1829969572699154E-2</v>
      </c>
      <c r="G291" s="337">
        <f ca="1">+G285-G290</f>
        <v>-188.44399999999996</v>
      </c>
      <c r="H291" s="334">
        <f ca="1">IF(G291=0, 0, G291/G$283)</f>
        <v>-0.10894675285557112</v>
      </c>
      <c r="I291" s="335">
        <f ca="1">C291-E291</f>
        <v>19.006999999999834</v>
      </c>
      <c r="J291" s="336">
        <f ca="1">IF(E291=0,"N.D.",C291/E291-1)</f>
        <v>-0.13032418200268681</v>
      </c>
      <c r="K291" s="337">
        <f ca="1">C291-G291</f>
        <v>61.606999999999971</v>
      </c>
      <c r="L291" s="334">
        <f ca="1">IF(G291=0,"N.D.",C291/G291-1)</f>
        <v>-0.32692470972808885</v>
      </c>
      <c r="AD291" s="9" t="s">
        <v>45</v>
      </c>
      <c r="AE291" s="337">
        <f ca="1">+AE285-AE290</f>
        <v>-162.5357764905466</v>
      </c>
      <c r="AF291" s="334">
        <f ca="1">IF(AE283=0,"N.D.",AE291/AE283)</f>
        <v>-9.9532012547793383E-2</v>
      </c>
      <c r="AG291" s="337">
        <f ca="1">+AG285-AG290</f>
        <v>-156.55599999999981</v>
      </c>
      <c r="AH291" s="334">
        <f ca="1">IF(AG283=0,"N.D.",AG291/AG283)</f>
        <v>-9.2400491052457498E-2</v>
      </c>
      <c r="AI291" s="337">
        <f ca="1">+AI285-AI290</f>
        <v>-166.29463000000032</v>
      </c>
      <c r="AJ291" s="334">
        <f ca="1">IF(AI283=0,"N.D.",AI291/AI283)</f>
        <v>-9.8568535342042199E-2</v>
      </c>
      <c r="AK291" s="335">
        <f ca="1">AE291-AG291</f>
        <v>-5.979776490546783</v>
      </c>
      <c r="AL291" s="336">
        <f ca="1">IF(AG291=0,"N.D.",AE291/AG291-1)</f>
        <v>3.8195766949505439E-2</v>
      </c>
      <c r="AM291" s="337">
        <f ca="1">AE291-AI291</f>
        <v>3.7588535094537292</v>
      </c>
      <c r="AN291" s="334">
        <f ca="1">IF(AI291=0,"N.D.",AE291/AI291-1)</f>
        <v>-2.2603577213850645E-2</v>
      </c>
    </row>
    <row r="292" spans="2:40" x14ac:dyDescent="0.25">
      <c r="B292" s="322"/>
      <c r="C292" s="338"/>
      <c r="D292" s="339"/>
      <c r="E292" s="338"/>
      <c r="F292" s="339"/>
      <c r="G292" s="338"/>
      <c r="H292" s="339"/>
      <c r="I292" s="338"/>
      <c r="J292" s="340"/>
      <c r="K292" s="338"/>
      <c r="L292" s="339"/>
      <c r="AD292" s="322"/>
      <c r="AE292" s="338"/>
      <c r="AF292" s="339"/>
      <c r="AG292" s="338"/>
      <c r="AH292" s="339"/>
      <c r="AI292" s="338"/>
      <c r="AJ292" s="339"/>
      <c r="AK292" s="338"/>
      <c r="AL292" s="340"/>
      <c r="AM292" s="338"/>
      <c r="AN292" s="339"/>
    </row>
    <row r="293" spans="2:40" x14ac:dyDescent="0.25">
      <c r="B293" s="322"/>
      <c r="C293" s="327"/>
      <c r="D293" s="343"/>
      <c r="E293" s="327"/>
      <c r="F293" s="324"/>
      <c r="G293" s="327"/>
      <c r="H293" s="324"/>
      <c r="I293" s="325"/>
      <c r="J293" s="326"/>
      <c r="K293" s="327"/>
      <c r="L293" s="324"/>
      <c r="AD293" s="1"/>
      <c r="AE293" s="327"/>
      <c r="AF293" s="343"/>
      <c r="AG293" s="327"/>
      <c r="AH293" s="343"/>
      <c r="AI293" s="327"/>
      <c r="AJ293" s="343"/>
      <c r="AK293" s="325"/>
      <c r="AL293" s="326"/>
      <c r="AM293" s="327"/>
      <c r="AN293" s="324"/>
    </row>
    <row r="294" spans="2:40" x14ac:dyDescent="0.25">
      <c r="B294" s="9" t="s">
        <v>52</v>
      </c>
      <c r="C294" s="328">
        <f t="shared" ref="C294" ca="1" si="390">+C154+C189</f>
        <v>-19.143999999999998</v>
      </c>
      <c r="D294" s="344">
        <f ca="1">IF(C283=0,"N.D.",C294/C283)</f>
        <v>-1.1837912609442254E-2</v>
      </c>
      <c r="E294" s="328">
        <f t="shared" ref="E294" ca="1" si="391">+E154+E189</f>
        <v>-13.137</v>
      </c>
      <c r="F294" s="341">
        <f t="shared" ref="F294:H299" ca="1" si="392">IF(E294=0, 0, E294/E$283)</f>
        <v>-7.3708915709700101E-3</v>
      </c>
      <c r="G294" s="328">
        <f t="shared" ref="G294:G296" ca="1" si="393">+G154+G189</f>
        <v>-11.158000000000001</v>
      </c>
      <c r="H294" s="341">
        <f t="shared" ca="1" si="392"/>
        <v>-6.4508706478447865E-3</v>
      </c>
      <c r="I294" s="330">
        <f t="shared" ref="I294:I299" ca="1" si="394">C294-E294</f>
        <v>-6.0069999999999979</v>
      </c>
      <c r="J294" s="331">
        <f t="shared" ref="J294:J299" ca="1" si="395">IF(E294=0,"N.D.",C294/E294-1)</f>
        <v>0.45725812590393522</v>
      </c>
      <c r="K294" s="328">
        <f t="shared" ref="K294:K299" ca="1" si="396">C294-G294</f>
        <v>-7.9859999999999971</v>
      </c>
      <c r="L294" s="341">
        <f t="shared" ref="L294:L299" ca="1" si="397">IF(G294=0,"N.D.",C294/G294-1)</f>
        <v>0.71571966302204659</v>
      </c>
      <c r="AD294" s="9" t="s">
        <v>52</v>
      </c>
      <c r="AE294" s="328">
        <f t="shared" ref="AE294:AG296" si="398">+AE154+AE189</f>
        <v>-14</v>
      </c>
      <c r="AF294" s="344">
        <f>IF(AE283=0,"N.D.",AE294/AE283)</f>
        <v>-8.5731781996325786E-3</v>
      </c>
      <c r="AG294" s="328">
        <f t="shared" ca="1" si="398"/>
        <v>-13.137</v>
      </c>
      <c r="AH294" s="344">
        <f ca="1">IF(AG283=0,"N.D.",AG294/AG283)</f>
        <v>-7.7535530478303975E-3</v>
      </c>
      <c r="AI294" s="328">
        <f t="shared" ref="AI294" ca="1" si="399">+AI154+AI189</f>
        <v>-5.9199700000000002</v>
      </c>
      <c r="AJ294" s="344">
        <f ca="1">IF(AI283=0,"N.D.",AI294/AI283)</f>
        <v>-3.5089694247422685E-3</v>
      </c>
      <c r="AK294" s="330">
        <f t="shared" ref="AK294:AK299" ca="1" si="400">AE294-AG294</f>
        <v>-0.86299999999999955</v>
      </c>
      <c r="AL294" s="331">
        <f t="shared" ref="AL294:AL299" ca="1" si="401">IF(AG294=0,"N.D.",AE294/AG294-1)</f>
        <v>6.5692319403212185E-2</v>
      </c>
      <c r="AM294" s="328">
        <f t="shared" ref="AM294:AM299" ca="1" si="402">AE294-AI294</f>
        <v>-8.0800300000000007</v>
      </c>
      <c r="AN294" s="341">
        <f t="shared" ref="AN294:AN299" ca="1" si="403">IF(AI294=0,"N.D.",AE294/AI294-1)</f>
        <v>1.3648768490380863</v>
      </c>
    </row>
    <row r="295" spans="2:40" x14ac:dyDescent="0.25">
      <c r="B295" s="9" t="s">
        <v>184</v>
      </c>
      <c r="C295" s="328">
        <f t="shared" ref="C295" ca="1" si="404">+C155+C190</f>
        <v>0</v>
      </c>
      <c r="D295" s="344">
        <f ca="1">IF(C283=0,"N.D.",C295/C283)</f>
        <v>0</v>
      </c>
      <c r="E295" s="328">
        <f t="shared" ref="E295" ca="1" si="405">+E155+E190</f>
        <v>0</v>
      </c>
      <c r="F295" s="341">
        <f t="shared" ca="1" si="392"/>
        <v>0</v>
      </c>
      <c r="G295" s="328">
        <f t="shared" ca="1" si="393"/>
        <v>9.93</v>
      </c>
      <c r="H295" s="341">
        <f t="shared" ca="1" si="392"/>
        <v>5.7409164306415775E-3</v>
      </c>
      <c r="I295" s="330">
        <f t="shared" ca="1" si="394"/>
        <v>0</v>
      </c>
      <c r="J295" s="331" t="str">
        <f t="shared" ca="1" si="395"/>
        <v>N.D.</v>
      </c>
      <c r="K295" s="328">
        <f t="shared" ca="1" si="396"/>
        <v>-9.93</v>
      </c>
      <c r="L295" s="341">
        <f t="shared" ca="1" si="397"/>
        <v>-1</v>
      </c>
      <c r="AD295" s="9" t="s">
        <v>184</v>
      </c>
      <c r="AE295" s="328">
        <f t="shared" si="398"/>
        <v>0</v>
      </c>
      <c r="AF295" s="344">
        <f>IF(AE283=0,"N.D.",AE295/AE283)</f>
        <v>0</v>
      </c>
      <c r="AG295" s="328">
        <f t="shared" ca="1" si="398"/>
        <v>0</v>
      </c>
      <c r="AH295" s="344">
        <f ca="1">IF(AG283=0,"N.D.",AG295/AG283)</f>
        <v>0</v>
      </c>
      <c r="AI295" s="328">
        <f t="shared" ref="AI295" ca="1" si="406">+AI155+AI190</f>
        <v>8.2715399999999999</v>
      </c>
      <c r="AJ295" s="344">
        <f ca="1">IF(AI283=0,"N.D.",AI295/AI283)</f>
        <v>4.9028256824836377E-3</v>
      </c>
      <c r="AK295" s="330">
        <f t="shared" ca="1" si="400"/>
        <v>0</v>
      </c>
      <c r="AL295" s="331" t="str">
        <f t="shared" ca="1" si="401"/>
        <v>N.D.</v>
      </c>
      <c r="AM295" s="328">
        <f t="shared" ca="1" si="402"/>
        <v>-8.2715399999999999</v>
      </c>
      <c r="AN295" s="341">
        <f t="shared" ca="1" si="403"/>
        <v>-1</v>
      </c>
    </row>
    <row r="296" spans="2:40" x14ac:dyDescent="0.25">
      <c r="B296" s="9" t="s">
        <v>47</v>
      </c>
      <c r="C296" s="328">
        <f t="shared" ref="C296" ca="1" si="407">+C156+C191</f>
        <v>0</v>
      </c>
      <c r="D296" s="344">
        <f ca="1">IF(C283=0,"N.D.",C296/C283)</f>
        <v>0</v>
      </c>
      <c r="E296" s="328">
        <f t="shared" ref="E296" ca="1" si="408">+E156+E191</f>
        <v>0</v>
      </c>
      <c r="F296" s="341">
        <f t="shared" ca="1" si="392"/>
        <v>0</v>
      </c>
      <c r="G296" s="328">
        <f t="shared" ca="1" si="393"/>
        <v>0</v>
      </c>
      <c r="H296" s="341">
        <f t="shared" ca="1" si="392"/>
        <v>0</v>
      </c>
      <c r="I296" s="330">
        <f t="shared" ca="1" si="394"/>
        <v>0</v>
      </c>
      <c r="J296" s="331" t="str">
        <f t="shared" ca="1" si="395"/>
        <v>N.D.</v>
      </c>
      <c r="K296" s="328">
        <f t="shared" ca="1" si="396"/>
        <v>0</v>
      </c>
      <c r="L296" s="341" t="str">
        <f t="shared" ca="1" si="397"/>
        <v>N.D.</v>
      </c>
      <c r="AD296" s="9" t="s">
        <v>47</v>
      </c>
      <c r="AE296" s="328">
        <f t="shared" si="398"/>
        <v>0</v>
      </c>
      <c r="AF296" s="344">
        <f>IF(AE283=0,"N.D.",AE296/AE283)</f>
        <v>0</v>
      </c>
      <c r="AG296" s="328">
        <f t="shared" ca="1" si="398"/>
        <v>0</v>
      </c>
      <c r="AH296" s="344">
        <f ca="1">IF(AG283=0,"N.D.",AG296/AG283)</f>
        <v>0</v>
      </c>
      <c r="AI296" s="328">
        <f t="shared" ref="AI296" ca="1" si="409">+AI156+AI191</f>
        <v>0</v>
      </c>
      <c r="AJ296" s="344">
        <f ca="1">IF(AI283=0,"N.D.",AI296/AI283)</f>
        <v>0</v>
      </c>
      <c r="AK296" s="330">
        <f t="shared" ca="1" si="400"/>
        <v>0</v>
      </c>
      <c r="AL296" s="331" t="str">
        <f t="shared" ca="1" si="401"/>
        <v>N.D.</v>
      </c>
      <c r="AM296" s="328">
        <f t="shared" ca="1" si="402"/>
        <v>0</v>
      </c>
      <c r="AN296" s="341" t="str">
        <f t="shared" ca="1" si="403"/>
        <v>N.D.</v>
      </c>
    </row>
    <row r="297" spans="2:40" x14ac:dyDescent="0.25">
      <c r="B297" s="322"/>
      <c r="C297" s="342"/>
      <c r="D297" s="345"/>
      <c r="E297" s="342"/>
      <c r="F297" s="329"/>
      <c r="G297" s="342"/>
      <c r="H297" s="329"/>
      <c r="I297" s="330"/>
      <c r="J297" s="331"/>
      <c r="K297" s="342"/>
      <c r="L297" s="329"/>
      <c r="AD297" s="9"/>
      <c r="AE297" s="342"/>
      <c r="AF297" s="345"/>
      <c r="AG297" s="342"/>
      <c r="AH297" s="345"/>
      <c r="AI297" s="342"/>
      <c r="AJ297" s="345"/>
      <c r="AK297" s="330"/>
      <c r="AL297" s="331"/>
      <c r="AM297" s="342"/>
      <c r="AN297" s="329"/>
    </row>
    <row r="298" spans="2:40" ht="13" x14ac:dyDescent="0.3">
      <c r="B298" s="9" t="s">
        <v>48</v>
      </c>
      <c r="C298" s="335">
        <f ca="1">+C293+C294+C295-C296-C297</f>
        <v>-19.143999999999998</v>
      </c>
      <c r="D298" s="334">
        <f ca="1">IF(C283=0,"N.D.",C298/C283)</f>
        <v>-1.1837912609442254E-2</v>
      </c>
      <c r="E298" s="335">
        <f ca="1">+E293+E294+E295-E296-E297</f>
        <v>-13.137</v>
      </c>
      <c r="F298" s="334">
        <f t="shared" ca="1" si="392"/>
        <v>-7.3708915709700101E-3</v>
      </c>
      <c r="G298" s="335">
        <f ca="1">+G293+G294+G295-G296-G297</f>
        <v>-1.2280000000000015</v>
      </c>
      <c r="H298" s="334">
        <f t="shared" ca="1" si="392"/>
        <v>-7.0995421720320903E-4</v>
      </c>
      <c r="I298" s="335">
        <f t="shared" ca="1" si="394"/>
        <v>-6.0069999999999979</v>
      </c>
      <c r="J298" s="336">
        <f t="shared" ca="1" si="395"/>
        <v>0.45725812590393522</v>
      </c>
      <c r="K298" s="337">
        <f t="shared" ca="1" si="396"/>
        <v>-17.915999999999997</v>
      </c>
      <c r="L298" s="334">
        <f t="shared" ca="1" si="397"/>
        <v>14.58957654723125</v>
      </c>
      <c r="AD298" s="9" t="s">
        <v>48</v>
      </c>
      <c r="AE298" s="335">
        <f>+AE293+AE294+AE295-AE296-AE297</f>
        <v>-14</v>
      </c>
      <c r="AF298" s="334">
        <f>IF(AE283=0,"N.D.",AE298/AE283)</f>
        <v>-8.5731781996325786E-3</v>
      </c>
      <c r="AG298" s="335">
        <f ca="1">+AG293+AG294+AG295-AG296-AG297</f>
        <v>-13.137</v>
      </c>
      <c r="AH298" s="334">
        <f ca="1">IF(AG283=0,"N.D.",AG298/AG283)</f>
        <v>-7.7535530478303975E-3</v>
      </c>
      <c r="AI298" s="335">
        <f ca="1">+AI293+AI294+AI295-AI296-AI297</f>
        <v>2.3515699999999997</v>
      </c>
      <c r="AJ298" s="334">
        <f ca="1">IF(AI283=0,"N.D.",AI298/AI283)</f>
        <v>1.3938562577413694E-3</v>
      </c>
      <c r="AK298" s="335">
        <f t="shared" ca="1" si="400"/>
        <v>-0.86299999999999955</v>
      </c>
      <c r="AL298" s="336">
        <f t="shared" ca="1" si="401"/>
        <v>6.5692319403212185E-2</v>
      </c>
      <c r="AM298" s="337">
        <f t="shared" ca="1" si="402"/>
        <v>-16.351569999999999</v>
      </c>
      <c r="AN298" s="334">
        <f t="shared" ca="1" si="403"/>
        <v>-6.9534693842836921</v>
      </c>
    </row>
    <row r="299" spans="2:40" ht="13" x14ac:dyDescent="0.3">
      <c r="B299" s="332" t="s">
        <v>49</v>
      </c>
      <c r="C299" s="337">
        <f ca="1">+C291-C298</f>
        <v>-107.69299999999998</v>
      </c>
      <c r="D299" s="334">
        <f ca="1">IF(C283=0,"N.D.",C299/C283)</f>
        <v>-6.6593205320135004E-2</v>
      </c>
      <c r="E299" s="337">
        <f ca="1">+E291-E298</f>
        <v>-132.70699999999982</v>
      </c>
      <c r="F299" s="334">
        <f t="shared" ca="1" si="392"/>
        <v>-7.4459078001729143E-2</v>
      </c>
      <c r="G299" s="337">
        <f ca="1">+G291-G298</f>
        <v>-187.21599999999995</v>
      </c>
      <c r="H299" s="334">
        <f t="shared" ca="1" si="392"/>
        <v>-0.10823679863836791</v>
      </c>
      <c r="I299" s="335">
        <f t="shared" ca="1" si="394"/>
        <v>25.013999999999839</v>
      </c>
      <c r="J299" s="336">
        <f t="shared" ca="1" si="395"/>
        <v>-0.18849043381283481</v>
      </c>
      <c r="K299" s="337">
        <f t="shared" ca="1" si="396"/>
        <v>79.522999999999968</v>
      </c>
      <c r="L299" s="334">
        <f t="shared" ca="1" si="397"/>
        <v>-0.42476604563712494</v>
      </c>
      <c r="AD299" s="332" t="s">
        <v>49</v>
      </c>
      <c r="AE299" s="337">
        <f ca="1">+AE291-AE298</f>
        <v>-148.5357764905466</v>
      </c>
      <c r="AF299" s="334">
        <f ca="1">IF(AE283=0,"N.D.",AE299/AE283)</f>
        <v>-9.0958834348160808E-2</v>
      </c>
      <c r="AG299" s="337">
        <f ca="1">+AG291-AG298</f>
        <v>-143.41899999999981</v>
      </c>
      <c r="AH299" s="334">
        <f ca="1">IF(AG283=0,"N.D.",AG299/AG283)</f>
        <v>-8.4646938004627109E-2</v>
      </c>
      <c r="AI299" s="337">
        <f ca="1">+AI291-AI298</f>
        <v>-168.64620000000033</v>
      </c>
      <c r="AJ299" s="334">
        <f ca="1">IF(AI283=0,"N.D.",AI299/AI283)</f>
        <v>-9.9962391599783568E-2</v>
      </c>
      <c r="AK299" s="335">
        <f t="shared" ca="1" si="400"/>
        <v>-5.1167764905467834</v>
      </c>
      <c r="AL299" s="336">
        <f t="shared" ca="1" si="401"/>
        <v>3.5677117331363251E-2</v>
      </c>
      <c r="AM299" s="337">
        <f t="shared" ca="1" si="402"/>
        <v>20.110423509453739</v>
      </c>
      <c r="AN299" s="334">
        <f t="shared" ca="1" si="403"/>
        <v>-0.11924622973689114</v>
      </c>
    </row>
    <row r="300" spans="2:40" x14ac:dyDescent="0.25">
      <c r="B300" s="322"/>
      <c r="C300" s="338"/>
      <c r="D300" s="339"/>
      <c r="E300" s="338"/>
      <c r="F300" s="339"/>
      <c r="G300" s="338"/>
      <c r="H300" s="339"/>
      <c r="I300" s="338"/>
      <c r="J300" s="340"/>
      <c r="K300" s="338"/>
      <c r="L300" s="339"/>
      <c r="AD300" s="322"/>
      <c r="AE300" s="338"/>
      <c r="AF300" s="339"/>
      <c r="AG300" s="338"/>
      <c r="AH300" s="339"/>
      <c r="AI300" s="338"/>
      <c r="AJ300" s="339"/>
      <c r="AK300" s="338"/>
      <c r="AL300" s="340"/>
      <c r="AM300" s="338"/>
      <c r="AN300" s="339"/>
    </row>
    <row r="301" spans="2:40" x14ac:dyDescent="0.25">
      <c r="B301" s="9" t="s">
        <v>213</v>
      </c>
      <c r="C301" s="327">
        <f t="shared" ref="C301" ca="1" si="410">+C161+C196</f>
        <v>0</v>
      </c>
      <c r="D301" s="343">
        <f ca="1">IF(C283=0,"N.D.",C301/C283)</f>
        <v>0</v>
      </c>
      <c r="E301" s="327">
        <f t="shared" ref="E301" ca="1" si="411">+E161+E196</f>
        <v>0</v>
      </c>
      <c r="F301" s="324">
        <f t="shared" ref="F301:H309" ca="1" si="412">IF(E301=0, 0, E301/E$283)</f>
        <v>0</v>
      </c>
      <c r="G301" s="327">
        <f t="shared" ref="G301:G302" ca="1" si="413">+G161+G196</f>
        <v>0</v>
      </c>
      <c r="H301" s="324">
        <f t="shared" ca="1" si="412"/>
        <v>0</v>
      </c>
      <c r="I301" s="325">
        <f t="shared" ref="I301:I309" ca="1" si="414">C301-E301</f>
        <v>0</v>
      </c>
      <c r="J301" s="326" t="str">
        <f t="shared" ref="J301:J309" ca="1" si="415">IF(E301=0,"N.D.",C301/E301-1)</f>
        <v>N.D.</v>
      </c>
      <c r="K301" s="327">
        <f t="shared" ref="K301:K309" ca="1" si="416">C301-G301</f>
        <v>0</v>
      </c>
      <c r="L301" s="324" t="str">
        <f t="shared" ref="L301:L309" ca="1" si="417">IF(G301=0,"N.D.",C301/G301-1)</f>
        <v>N.D.</v>
      </c>
      <c r="AD301" s="9" t="s">
        <v>213</v>
      </c>
      <c r="AE301" s="327">
        <f t="shared" ref="AE301:AG302" si="418">+AE161+AE196</f>
        <v>0</v>
      </c>
      <c r="AF301" s="343">
        <f>IF(AE283=0,"N.D.",AE301/AE283)</f>
        <v>0</v>
      </c>
      <c r="AG301" s="327">
        <f t="shared" ca="1" si="418"/>
        <v>0</v>
      </c>
      <c r="AH301" s="343">
        <f ca="1">IF(AG283=0,"N.D.",AG301/AG283)</f>
        <v>0</v>
      </c>
      <c r="AI301" s="327">
        <f t="shared" ref="AI301" ca="1" si="419">+AI161+AI196</f>
        <v>0</v>
      </c>
      <c r="AJ301" s="343">
        <f ca="1">IF(AI283=0,"N.D.",AI301/AI283)</f>
        <v>0</v>
      </c>
      <c r="AK301" s="325">
        <f t="shared" ref="AK301:AK309" ca="1" si="420">AE301-AG301</f>
        <v>0</v>
      </c>
      <c r="AL301" s="326" t="str">
        <f t="shared" ref="AL301:AL309" ca="1" si="421">IF(AG301=0,"N.D.",AE301/AG301-1)</f>
        <v>N.D.</v>
      </c>
      <c r="AM301" s="327">
        <f t="shared" ref="AM301:AM309" ca="1" si="422">AE301-AI301</f>
        <v>0</v>
      </c>
      <c r="AN301" s="324" t="str">
        <f t="shared" ref="AN301:AN309" ca="1" si="423">IF(AI301=0,"N.D.",AE301/AI301-1)</f>
        <v>N.D.</v>
      </c>
    </row>
    <row r="302" spans="2:40" x14ac:dyDescent="0.25">
      <c r="B302" s="9" t="s">
        <v>51</v>
      </c>
      <c r="C302" s="342">
        <f t="shared" ref="C302" ca="1" si="424">+C162+C197</f>
        <v>0</v>
      </c>
      <c r="D302" s="345">
        <f ca="1">IF(C283=0,"N.D.",C302/C283)</f>
        <v>0</v>
      </c>
      <c r="E302" s="342">
        <f t="shared" ref="E302" ca="1" si="425">+E162+E197</f>
        <v>0</v>
      </c>
      <c r="F302" s="329">
        <f t="shared" ca="1" si="412"/>
        <v>0</v>
      </c>
      <c r="G302" s="342">
        <f t="shared" ca="1" si="413"/>
        <v>0</v>
      </c>
      <c r="H302" s="329">
        <f t="shared" ca="1" si="412"/>
        <v>0</v>
      </c>
      <c r="I302" s="330">
        <f t="shared" ca="1" si="414"/>
        <v>0</v>
      </c>
      <c r="J302" s="331" t="str">
        <f t="shared" ca="1" si="415"/>
        <v>N.D.</v>
      </c>
      <c r="K302" s="342">
        <f t="shared" ca="1" si="416"/>
        <v>0</v>
      </c>
      <c r="L302" s="329" t="str">
        <f t="shared" ca="1" si="417"/>
        <v>N.D.</v>
      </c>
      <c r="AD302" s="9" t="s">
        <v>51</v>
      </c>
      <c r="AE302" s="342">
        <f t="shared" si="418"/>
        <v>0</v>
      </c>
      <c r="AF302" s="345">
        <f>IF(AE283=0,"N.D.",AE302/AE283)</f>
        <v>0</v>
      </c>
      <c r="AG302" s="342">
        <f t="shared" ca="1" si="418"/>
        <v>0</v>
      </c>
      <c r="AH302" s="345">
        <f ca="1">IF(AG283=0,"N.D.",AG302/AG283)</f>
        <v>0</v>
      </c>
      <c r="AI302" s="342">
        <f t="shared" ref="AI302" ca="1" si="426">+AI162+AI197</f>
        <v>0</v>
      </c>
      <c r="AJ302" s="345">
        <f ca="1">IF(AI283=0,"N.D.",AI302/AI283)</f>
        <v>0</v>
      </c>
      <c r="AK302" s="330">
        <f t="shared" ca="1" si="420"/>
        <v>0</v>
      </c>
      <c r="AL302" s="331" t="str">
        <f t="shared" ca="1" si="421"/>
        <v>N.D.</v>
      </c>
      <c r="AM302" s="342">
        <f t="shared" ca="1" si="422"/>
        <v>0</v>
      </c>
      <c r="AN302" s="329" t="str">
        <f t="shared" ca="1" si="423"/>
        <v>N.D.</v>
      </c>
    </row>
    <row r="303" spans="2:40" ht="13" x14ac:dyDescent="0.3">
      <c r="B303" s="87" t="s">
        <v>53</v>
      </c>
      <c r="C303" s="337">
        <f ca="1">+C299-C301-C302</f>
        <v>-107.69299999999998</v>
      </c>
      <c r="D303" s="334">
        <f ca="1">IF(C283=0,"N.D.",C303/C283)</f>
        <v>-6.6593205320135004E-2</v>
      </c>
      <c r="E303" s="337">
        <f ca="1">+E299-E301-E302</f>
        <v>-132.70699999999982</v>
      </c>
      <c r="F303" s="334">
        <f t="shared" ca="1" si="412"/>
        <v>-7.4459078001729143E-2</v>
      </c>
      <c r="G303" s="337">
        <f ca="1">+G299-G301-G302</f>
        <v>-187.21599999999995</v>
      </c>
      <c r="H303" s="334">
        <f t="shared" ca="1" si="412"/>
        <v>-0.10823679863836791</v>
      </c>
      <c r="I303" s="335">
        <f t="shared" ca="1" si="414"/>
        <v>25.013999999999839</v>
      </c>
      <c r="J303" s="336">
        <f t="shared" ca="1" si="415"/>
        <v>-0.18849043381283481</v>
      </c>
      <c r="K303" s="337">
        <f t="shared" ca="1" si="416"/>
        <v>79.522999999999968</v>
      </c>
      <c r="L303" s="334">
        <f t="shared" ca="1" si="417"/>
        <v>-0.42476604563712494</v>
      </c>
      <c r="AD303" s="87" t="s">
        <v>53</v>
      </c>
      <c r="AE303" s="337">
        <f ca="1">+AE299-AE301-AE302</f>
        <v>-148.5357764905466</v>
      </c>
      <c r="AF303" s="334">
        <f ca="1">IF(AE283=0,"N.D.",AE303/AE283)</f>
        <v>-9.0958834348160808E-2</v>
      </c>
      <c r="AG303" s="337">
        <f ca="1">+AG299-AG301-AG302</f>
        <v>-143.41899999999981</v>
      </c>
      <c r="AH303" s="334">
        <f ca="1">IF(AG283=0,"N.D.",AG303/AG283)</f>
        <v>-8.4646938004627109E-2</v>
      </c>
      <c r="AI303" s="337">
        <f ca="1">+AI299-AI301-AI302</f>
        <v>-168.64620000000033</v>
      </c>
      <c r="AJ303" s="334">
        <f ca="1">IF(AI283=0,"N.D.",AI303/AI283)</f>
        <v>-9.9962391599783568E-2</v>
      </c>
      <c r="AK303" s="335">
        <f t="shared" ca="1" si="420"/>
        <v>-5.1167764905467834</v>
      </c>
      <c r="AL303" s="336">
        <f t="shared" ca="1" si="421"/>
        <v>3.5677117331363251E-2</v>
      </c>
      <c r="AM303" s="337">
        <f t="shared" ca="1" si="422"/>
        <v>20.110423509453739</v>
      </c>
      <c r="AN303" s="334">
        <f t="shared" ca="1" si="423"/>
        <v>-0.11924622973689114</v>
      </c>
    </row>
    <row r="304" spans="2:40" ht="13" x14ac:dyDescent="0.3">
      <c r="B304" s="7" t="s">
        <v>122</v>
      </c>
      <c r="C304" s="337">
        <f ca="1">+C291+C289</f>
        <v>-74.148999999999987</v>
      </c>
      <c r="D304" s="334">
        <f ca="1">IF(C283=0,"N.D.",C304/C283)</f>
        <v>-4.5850887070493819E-2</v>
      </c>
      <c r="E304" s="337">
        <f ca="1">+E291+E289</f>
        <v>-73.945999999999827</v>
      </c>
      <c r="F304" s="334">
        <f t="shared" ca="1" si="412"/>
        <v>-4.1489529428861006E-2</v>
      </c>
      <c r="G304" s="337">
        <f ca="1">+G291+G289</f>
        <v>-107.04499999999996</v>
      </c>
      <c r="H304" s="334">
        <f t="shared" ca="1" si="412"/>
        <v>-6.1886847866870841E-2</v>
      </c>
      <c r="I304" s="335">
        <f t="shared" ca="1" si="414"/>
        <v>-0.20300000000015928</v>
      </c>
      <c r="J304" s="336">
        <f t="shared" ca="1" si="415"/>
        <v>2.7452465312547414E-3</v>
      </c>
      <c r="K304" s="337">
        <f t="shared" ca="1" si="416"/>
        <v>32.895999999999972</v>
      </c>
      <c r="L304" s="334">
        <f t="shared" ca="1" si="417"/>
        <v>-0.30731000980895873</v>
      </c>
      <c r="AD304" s="7" t="s">
        <v>122</v>
      </c>
      <c r="AE304" s="337">
        <f ca="1">+AE291+AE289</f>
        <v>-90.535776490546596</v>
      </c>
      <c r="AF304" s="334">
        <f ca="1">IF(AE283=0,"N.D.",AE304/AE283)</f>
        <v>-5.544138180682584E-2</v>
      </c>
      <c r="AG304" s="337">
        <f ca="1">+AG291+AG289</f>
        <v>-84.657999999999817</v>
      </c>
      <c r="AH304" s="334">
        <f ca="1">IF(AG283=0,"N.D.",AG304/AG283)</f>
        <v>-4.9965767977713661E-2</v>
      </c>
      <c r="AI304" s="337">
        <f ca="1">+AI291+AI289</f>
        <v>-84.896970000000323</v>
      </c>
      <c r="AJ304" s="334">
        <f ca="1">IF(AI283=0,"N.D.",AI304/AI283)</f>
        <v>-5.0321348247248342E-2</v>
      </c>
      <c r="AK304" s="335">
        <f t="shared" ca="1" si="420"/>
        <v>-5.8777764905467791</v>
      </c>
      <c r="AL304" s="336">
        <f t="shared" ca="1" si="421"/>
        <v>6.9429663948437081E-2</v>
      </c>
      <c r="AM304" s="337">
        <f t="shared" ca="1" si="422"/>
        <v>-5.6388064905462727</v>
      </c>
      <c r="AN304" s="334">
        <f t="shared" ca="1" si="423"/>
        <v>6.6419408025354176E-2</v>
      </c>
    </row>
    <row r="305" spans="2:40" x14ac:dyDescent="0.25">
      <c r="B305" s="1" t="s">
        <v>194</v>
      </c>
      <c r="C305" s="373">
        <f t="shared" ref="C305" ca="1" si="427">+C165+C200</f>
        <v>0</v>
      </c>
      <c r="D305" s="324">
        <f ca="1">IF(C$212=0, 0, C305/C$212)</f>
        <v>0</v>
      </c>
      <c r="E305" s="373">
        <f t="shared" ref="E305" ca="1" si="428">+E165+E200</f>
        <v>0</v>
      </c>
      <c r="F305" s="324">
        <f t="shared" ca="1" si="412"/>
        <v>0</v>
      </c>
      <c r="G305" s="373">
        <f t="shared" ref="G305:G306" ca="1" si="429">+G165+G200</f>
        <v>0</v>
      </c>
      <c r="H305" s="324">
        <f t="shared" ca="1" si="412"/>
        <v>0</v>
      </c>
      <c r="I305" s="370">
        <f t="shared" ca="1" si="414"/>
        <v>0</v>
      </c>
      <c r="J305" s="326" t="str">
        <f t="shared" ca="1" si="415"/>
        <v>N.D.</v>
      </c>
      <c r="K305" s="370">
        <f t="shared" ca="1" si="416"/>
        <v>0</v>
      </c>
      <c r="L305" s="324" t="str">
        <f t="shared" ca="1" si="417"/>
        <v>N.D.</v>
      </c>
      <c r="AD305" s="1" t="s">
        <v>194</v>
      </c>
      <c r="AE305" s="373">
        <f t="shared" ref="AE305:AG306" si="430">+AE165+AE200</f>
        <v>0</v>
      </c>
      <c r="AF305" s="324">
        <f>IF(AE$212=0, 0, AE305/AE$212)</f>
        <v>0</v>
      </c>
      <c r="AG305" s="373">
        <f t="shared" si="430"/>
        <v>0</v>
      </c>
      <c r="AH305" s="324">
        <f ca="1">IF(AG$212=0, 0, AG305/AG$212)</f>
        <v>0</v>
      </c>
      <c r="AI305" s="373">
        <f t="shared" ref="AI305" ca="1" si="431">+AI165+AI200</f>
        <v>0</v>
      </c>
      <c r="AJ305" s="324">
        <f ca="1">IF(AI$212=0, 0, AI305/AI$212)</f>
        <v>0</v>
      </c>
      <c r="AK305" s="370">
        <f t="shared" si="420"/>
        <v>0</v>
      </c>
      <c r="AL305" s="326" t="str">
        <f t="shared" si="421"/>
        <v>N.D.</v>
      </c>
      <c r="AM305" s="370">
        <f t="shared" ca="1" si="422"/>
        <v>0</v>
      </c>
      <c r="AN305" s="324" t="str">
        <f t="shared" ca="1" si="423"/>
        <v>N.D.</v>
      </c>
    </row>
    <row r="306" spans="2:40" x14ac:dyDescent="0.25">
      <c r="B306" s="1" t="s">
        <v>123</v>
      </c>
      <c r="C306" s="408">
        <f t="shared" ref="C306" ca="1" si="432">+C166+C201</f>
        <v>0</v>
      </c>
      <c r="D306" s="329">
        <f ca="1">IF(C$212=0, 0, C306/C$212)</f>
        <v>0</v>
      </c>
      <c r="E306" s="408">
        <f t="shared" ref="E306" ca="1" si="433">+E166+E201</f>
        <v>0</v>
      </c>
      <c r="F306" s="329">
        <f t="shared" ca="1" si="412"/>
        <v>0</v>
      </c>
      <c r="G306" s="408">
        <f t="shared" ca="1" si="429"/>
        <v>0</v>
      </c>
      <c r="H306" s="329">
        <f t="shared" ca="1" si="412"/>
        <v>0</v>
      </c>
      <c r="I306" s="371">
        <f t="shared" ca="1" si="414"/>
        <v>0</v>
      </c>
      <c r="J306" s="372" t="str">
        <f t="shared" ca="1" si="415"/>
        <v>N.D.</v>
      </c>
      <c r="K306" s="371">
        <f t="shared" ca="1" si="416"/>
        <v>0</v>
      </c>
      <c r="L306" s="329" t="str">
        <f t="shared" ca="1" si="417"/>
        <v>N.D.</v>
      </c>
      <c r="AD306" s="1" t="s">
        <v>123</v>
      </c>
      <c r="AE306" s="408">
        <f t="shared" si="430"/>
        <v>0</v>
      </c>
      <c r="AF306" s="329">
        <f>IF(AE$212=0, 0, AE306/AE$212)</f>
        <v>0</v>
      </c>
      <c r="AG306" s="408">
        <f t="shared" si="430"/>
        <v>0</v>
      </c>
      <c r="AH306" s="329">
        <f ca="1">IF(AG$212=0, 0, AG306/AG$212)</f>
        <v>0</v>
      </c>
      <c r="AI306" s="408">
        <f t="shared" ref="AI306" ca="1" si="434">+AI166+AI201</f>
        <v>0</v>
      </c>
      <c r="AJ306" s="329">
        <f ca="1">IF(AI$212=0, 0, AI306/AI$212)</f>
        <v>0</v>
      </c>
      <c r="AK306" s="371">
        <f t="shared" si="420"/>
        <v>0</v>
      </c>
      <c r="AL306" s="372" t="str">
        <f t="shared" si="421"/>
        <v>N.D.</v>
      </c>
      <c r="AM306" s="371">
        <f t="shared" ca="1" si="422"/>
        <v>0</v>
      </c>
      <c r="AN306" s="329" t="str">
        <f t="shared" ca="1" si="423"/>
        <v>N.D.</v>
      </c>
    </row>
    <row r="307" spans="2:40" ht="13" x14ac:dyDescent="0.3">
      <c r="B307" s="7" t="s">
        <v>190</v>
      </c>
      <c r="C307" s="410">
        <f ca="1">+C303+C289+C305+C306</f>
        <v>-55.004999999999981</v>
      </c>
      <c r="D307" s="334">
        <f ca="1">IF(C283=0,"N.D.",C307/C283)</f>
        <v>-3.4012974461051559E-2</v>
      </c>
      <c r="E307" s="410">
        <f ca="1">+E303+E289+E305+E306</f>
        <v>-60.808999999999827</v>
      </c>
      <c r="F307" s="334">
        <f t="shared" ca="1" si="412"/>
        <v>-3.4118637857891002E-2</v>
      </c>
      <c r="G307" s="410">
        <f ca="1">+G303+G289+G305+G306</f>
        <v>-105.81699999999995</v>
      </c>
      <c r="H307" s="334">
        <f t="shared" ca="1" si="412"/>
        <v>-6.1176893649667628E-2</v>
      </c>
      <c r="I307" s="367">
        <f t="shared" ca="1" si="414"/>
        <v>5.8039999999998457</v>
      </c>
      <c r="J307" s="368">
        <f t="shared" ca="1" si="415"/>
        <v>-9.5446397737174782E-2</v>
      </c>
      <c r="K307" s="369">
        <f t="shared" ca="1" si="416"/>
        <v>50.811999999999969</v>
      </c>
      <c r="L307" s="366">
        <f t="shared" ca="1" si="417"/>
        <v>-0.48018749350293422</v>
      </c>
      <c r="AD307" s="7" t="s">
        <v>190</v>
      </c>
      <c r="AE307" s="410">
        <f ca="1">+AE303+AE289+AE305+AE306</f>
        <v>-76.535776490546596</v>
      </c>
      <c r="AF307" s="334">
        <f ca="1">IF(AE283=0,"N.D.",AE307/AE283)</f>
        <v>-4.6868203607193258E-2</v>
      </c>
      <c r="AG307" s="410">
        <f ca="1">+AG303+AG289+AG305+AG306</f>
        <v>-71.520999999999816</v>
      </c>
      <c r="AH307" s="334">
        <f ca="1">IF(AG283=0,"N.D.",AG307/AG283)</f>
        <v>-4.2212214929883266E-2</v>
      </c>
      <c r="AI307" s="410">
        <f ca="1">+AI303+AI289+AI305+AI306</f>
        <v>-87.248540000000332</v>
      </c>
      <c r="AJ307" s="334">
        <f ca="1">IF(AI283=0,"N.D.",AI307/AI283)</f>
        <v>-5.1715204504989717E-2</v>
      </c>
      <c r="AK307" s="367">
        <f t="shared" ca="1" si="420"/>
        <v>-5.0147764905467795</v>
      </c>
      <c r="AL307" s="368">
        <f t="shared" ca="1" si="421"/>
        <v>7.0116140581742314E-2</v>
      </c>
      <c r="AM307" s="369">
        <f t="shared" ca="1" si="422"/>
        <v>10.712763509453737</v>
      </c>
      <c r="AN307" s="366">
        <f t="shared" ca="1" si="423"/>
        <v>-0.12278444440965652</v>
      </c>
    </row>
    <row r="308" spans="2:40" ht="13" x14ac:dyDescent="0.3">
      <c r="B308" s="7" t="s">
        <v>191</v>
      </c>
      <c r="C308" s="381">
        <f ca="1">+C135+C169</f>
        <v>-97.609390000000076</v>
      </c>
      <c r="D308" s="329">
        <f ca="1">IF(C$212=0, 0, C308/C$212)</f>
        <v>-0.26565293714211086</v>
      </c>
      <c r="E308" s="381">
        <f ca="1">+E135+E169</f>
        <v>-102.03838999999968</v>
      </c>
      <c r="F308" s="329">
        <f t="shared" ca="1" si="412"/>
        <v>-5.7251572563473262E-2</v>
      </c>
      <c r="G308" s="381">
        <f ca="1">+G135+G169</f>
        <v>-161.13829999999945</v>
      </c>
      <c r="H308" s="329">
        <f t="shared" ca="1" si="412"/>
        <v>-9.3160273320810533E-2</v>
      </c>
      <c r="I308" s="335">
        <f t="shared" ca="1" si="414"/>
        <v>4.4289999999996041</v>
      </c>
      <c r="J308" s="336">
        <f t="shared" ca="1" si="415"/>
        <v>-4.3405232089604895E-2</v>
      </c>
      <c r="K308" s="337">
        <f t="shared" ca="1" si="416"/>
        <v>63.528909999999371</v>
      </c>
      <c r="L308" s="334">
        <f t="shared" ca="1" si="417"/>
        <v>-0.39425083918596382</v>
      </c>
      <c r="AD308" s="7" t="s">
        <v>191</v>
      </c>
      <c r="AE308" s="381">
        <f ca="1">+AE135+AE169</f>
        <v>-124.52396469399548</v>
      </c>
      <c r="AF308" s="329">
        <f ca="1">IF(AE$212=0, 0, AE308/AE$212)</f>
        <v>-0.40561552017588104</v>
      </c>
      <c r="AG308" s="381">
        <f ca="1">+AG135+AG169</f>
        <v>-113.89139</v>
      </c>
      <c r="AH308" s="329">
        <f ca="1">IF(AG$212=0, 0, AG308/AG$212)</f>
        <v>-0.32633636103151864</v>
      </c>
      <c r="AI308" s="381">
        <f ca="1">+AI135+AI169</f>
        <v>-172.93520299999952</v>
      </c>
      <c r="AJ308" s="329">
        <f ca="1">IF(AI$212=0, 0, AI308/AI$212)</f>
        <v>-0.49008313053859603</v>
      </c>
      <c r="AK308" s="335">
        <f t="shared" ca="1" si="420"/>
        <v>-10.63257469399548</v>
      </c>
      <c r="AL308" s="336">
        <f t="shared" ca="1" si="421"/>
        <v>9.3357142221158984E-2</v>
      </c>
      <c r="AM308" s="337">
        <f t="shared" ca="1" si="422"/>
        <v>48.411238306004037</v>
      </c>
      <c r="AN308" s="334">
        <f t="shared" ca="1" si="423"/>
        <v>-0.27993859819278188</v>
      </c>
    </row>
    <row r="309" spans="2:40" ht="13" x14ac:dyDescent="0.3">
      <c r="B309" s="7" t="s">
        <v>84</v>
      </c>
      <c r="C309" s="381">
        <f ca="1">C307-C308</f>
        <v>42.604390000000095</v>
      </c>
      <c r="D309" s="334">
        <f ca="1">IF(C283=0,"N.D.",C309/C283)</f>
        <v>2.6344914625919175E-2</v>
      </c>
      <c r="E309" s="381">
        <f ca="1">E307-E308</f>
        <v>41.229389999999853</v>
      </c>
      <c r="F309" s="334">
        <f t="shared" ca="1" si="412"/>
        <v>2.313293470558226E-2</v>
      </c>
      <c r="G309" s="381">
        <f ca="1">G307-G308</f>
        <v>55.321299999999496</v>
      </c>
      <c r="H309" s="334">
        <f t="shared" ca="1" si="412"/>
        <v>3.1983379671142904E-2</v>
      </c>
      <c r="I309" s="335">
        <f t="shared" ca="1" si="414"/>
        <v>1.3750000000002416</v>
      </c>
      <c r="J309" s="336">
        <f t="shared" ca="1" si="415"/>
        <v>3.3349996204170118E-2</v>
      </c>
      <c r="K309" s="337">
        <f t="shared" ca="1" si="416"/>
        <v>-12.716909999999402</v>
      </c>
      <c r="L309" s="334">
        <f t="shared" ca="1" si="417"/>
        <v>-0.22987366529708297</v>
      </c>
      <c r="AD309" s="7" t="s">
        <v>84</v>
      </c>
      <c r="AE309" s="381">
        <f ca="1">AE307-AE308</f>
        <v>47.988188203448885</v>
      </c>
      <c r="AF309" s="334">
        <f ca="1">IF(AE283=0,"N.D.",AE309/AE283)</f>
        <v>2.9386520638976659E-2</v>
      </c>
      <c r="AG309" s="381">
        <f ca="1">AG307-AG308</f>
        <v>42.370390000000185</v>
      </c>
      <c r="AH309" s="334">
        <f ca="1">IF(AG283=0,"N.D.",AG309/AG283)</f>
        <v>2.5007312668209183E-2</v>
      </c>
      <c r="AI309" s="381">
        <f ca="1">AI307-AI308</f>
        <v>85.686662999999186</v>
      </c>
      <c r="AJ309" s="334">
        <f ca="1">IF(AI283=0,"N.D.",AI309/AI283)</f>
        <v>5.0789426394929664E-2</v>
      </c>
      <c r="AK309" s="335">
        <f t="shared" ca="1" si="420"/>
        <v>5.6177982034487002</v>
      </c>
      <c r="AL309" s="336">
        <f t="shared" ca="1" si="421"/>
        <v>0.13258783323563161</v>
      </c>
      <c r="AM309" s="337">
        <f t="shared" ca="1" si="422"/>
        <v>-37.6984747965503</v>
      </c>
      <c r="AN309" s="334">
        <f t="shared" ca="1" si="423"/>
        <v>-0.43995732213951033</v>
      </c>
    </row>
    <row r="310" spans="2:40" x14ac:dyDescent="0.25">
      <c r="B310" s="1" t="s">
        <v>193</v>
      </c>
      <c r="C310" s="412">
        <f ca="1">IF(C308=0,"N.D.",(C307-C305-C306)/C308)</f>
        <v>0.56352160381291128</v>
      </c>
      <c r="E310" s="412">
        <f ca="1">IF(E308=0,"N.D.",(E307-E305-E306)/E308)</f>
        <v>0.5959423703176816</v>
      </c>
      <c r="G310" s="412">
        <f ca="1">IF(G308=0,"N.D.",(G307-G305-G306)/G308)</f>
        <v>0.65668435126844649</v>
      </c>
      <c r="AD310" s="1" t="s">
        <v>193</v>
      </c>
      <c r="AE310" s="412">
        <f ca="1">IF(AE308=0,"N.D.",(AE307-AE305-AE306)/AE308)</f>
        <v>0.61462688470147253</v>
      </c>
      <c r="AG310" s="412">
        <f ca="1">IF(AG308=0,"N.D.",(AG307-AG305-AG306)/AG308)</f>
        <v>0.62797547733853998</v>
      </c>
      <c r="AI310" s="412">
        <f ca="1">IF(AI308=0,"N.D.",(AI307-AI305-AI306)/AI308)</f>
        <v>0.50451578675974129</v>
      </c>
    </row>
  </sheetData>
  <mergeCells count="12">
    <mergeCell ref="AQ4:BD4"/>
    <mergeCell ref="AQ5:BD5"/>
    <mergeCell ref="AQ6:BD6"/>
    <mergeCell ref="AQ40:AZ40"/>
    <mergeCell ref="AE5:AN5"/>
    <mergeCell ref="AE6:AN6"/>
    <mergeCell ref="O4:AB4"/>
    <mergeCell ref="O5:AB5"/>
    <mergeCell ref="O6:AB6"/>
    <mergeCell ref="O40:X40"/>
    <mergeCell ref="C5:L5"/>
    <mergeCell ref="C6:L6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AH83"/>
  <sheetViews>
    <sheetView showGridLines="0" topLeftCell="S1" zoomScale="80" zoomScaleNormal="80" workbookViewId="0">
      <selection activeCell="AG57" sqref="AG57"/>
    </sheetView>
  </sheetViews>
  <sheetFormatPr baseColWidth="10" defaultColWidth="10.90625" defaultRowHeight="12.5" x14ac:dyDescent="0.25"/>
  <cols>
    <col min="2" max="2" width="20.1796875" customWidth="1"/>
    <col min="3" max="14" width="12.7265625" bestFit="1" customWidth="1"/>
    <col min="15" max="15" width="11.54296875" customWidth="1"/>
    <col min="18" max="18" width="26.1796875" customWidth="1"/>
    <col min="19" max="28" width="12.7265625" bestFit="1" customWidth="1"/>
    <col min="29" max="29" width="11.26953125" bestFit="1" customWidth="1"/>
    <col min="30" max="30" width="10.1796875" bestFit="1" customWidth="1"/>
    <col min="31" max="31" width="11.54296875" style="213" customWidth="1"/>
  </cols>
  <sheetData>
    <row r="2" spans="1:34" ht="18" x14ac:dyDescent="0.4">
      <c r="A2" s="268">
        <f>YEAR(MES_CIERRE)-1</f>
        <v>2018</v>
      </c>
      <c r="Q2" s="268">
        <f>YEAR(MES_CIERRE)</f>
        <v>2019</v>
      </c>
    </row>
    <row r="3" spans="1:34" ht="13" x14ac:dyDescent="0.3">
      <c r="A3" s="270" t="s">
        <v>164</v>
      </c>
      <c r="B3" s="111" t="s">
        <v>165</v>
      </c>
      <c r="C3" s="267" t="s">
        <v>195</v>
      </c>
      <c r="D3" s="267" t="s">
        <v>197</v>
      </c>
      <c r="E3" s="267" t="s">
        <v>198</v>
      </c>
      <c r="F3" s="267" t="s">
        <v>199</v>
      </c>
      <c r="G3" s="267" t="s">
        <v>200</v>
      </c>
      <c r="H3" s="267" t="s">
        <v>201</v>
      </c>
      <c r="I3" s="267" t="s">
        <v>202</v>
      </c>
      <c r="J3" s="267" t="s">
        <v>203</v>
      </c>
      <c r="K3" s="267" t="s">
        <v>204</v>
      </c>
      <c r="L3" s="267" t="s">
        <v>205</v>
      </c>
      <c r="M3" s="267" t="s">
        <v>206</v>
      </c>
      <c r="N3" s="267" t="s">
        <v>207</v>
      </c>
      <c r="O3" s="266" t="str">
        <f>"Acum a "&amp;TEXT(MES_CIERRE,"MMM")</f>
        <v>Acum a jun</v>
      </c>
      <c r="Q3" s="270" t="s">
        <v>164</v>
      </c>
      <c r="R3" s="111" t="s">
        <v>165</v>
      </c>
      <c r="S3" s="267" t="s">
        <v>195</v>
      </c>
      <c r="T3" s="267" t="s">
        <v>197</v>
      </c>
      <c r="U3" s="267" t="s">
        <v>198</v>
      </c>
      <c r="V3" s="267" t="s">
        <v>199</v>
      </c>
      <c r="W3" s="267" t="s">
        <v>200</v>
      </c>
      <c r="X3" s="267" t="s">
        <v>201</v>
      </c>
      <c r="Y3" s="267" t="s">
        <v>202</v>
      </c>
      <c r="Z3" s="267" t="s">
        <v>203</v>
      </c>
      <c r="AA3" s="267" t="s">
        <v>204</v>
      </c>
      <c r="AB3" s="267" t="s">
        <v>205</v>
      </c>
      <c r="AC3" s="267" t="s">
        <v>206</v>
      </c>
      <c r="AD3" s="267" t="s">
        <v>207</v>
      </c>
      <c r="AE3" s="273" t="str">
        <f>"Acum a "&amp;TEXT(MES_CIERRE,"MMM")</f>
        <v>Acum a jun</v>
      </c>
      <c r="AG3" s="269">
        <f>MES_CIERRE</f>
        <v>43617</v>
      </c>
      <c r="AH3" s="267" t="s">
        <v>215</v>
      </c>
    </row>
    <row r="4" spans="1:34" x14ac:dyDescent="0.25">
      <c r="A4" t="s">
        <v>181</v>
      </c>
      <c r="B4" t="s">
        <v>181</v>
      </c>
      <c r="Q4" t="s">
        <v>181</v>
      </c>
      <c r="R4" t="s">
        <v>181</v>
      </c>
    </row>
    <row r="5" spans="1:34" x14ac:dyDescent="0.25"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</row>
    <row r="6" spans="1:34" ht="13" x14ac:dyDescent="0.3">
      <c r="A6" s="264">
        <v>10</v>
      </c>
      <c r="B6" s="111" t="s">
        <v>358</v>
      </c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Q6" s="264">
        <v>10</v>
      </c>
      <c r="R6" s="111" t="s">
        <v>358</v>
      </c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</row>
    <row r="7" spans="1:34" ht="13" x14ac:dyDescent="0.3">
      <c r="A7" s="264">
        <v>11</v>
      </c>
      <c r="B7" t="s">
        <v>357</v>
      </c>
      <c r="C7" s="271">
        <v>116548.39</v>
      </c>
      <c r="D7" s="271">
        <v>122143.26</v>
      </c>
      <c r="E7" s="271">
        <v>144197.71</v>
      </c>
      <c r="F7" s="271">
        <v>130622</v>
      </c>
      <c r="G7" s="271">
        <v>138479.69</v>
      </c>
      <c r="H7" s="271">
        <v>131221.45000000001</v>
      </c>
      <c r="I7" s="271">
        <v>137274.35</v>
      </c>
      <c r="J7" s="271">
        <v>136540.79999999999</v>
      </c>
      <c r="K7" s="271">
        <v>125107.06</v>
      </c>
      <c r="L7" s="271">
        <v>132371.26</v>
      </c>
      <c r="M7" s="271">
        <v>129215.16</v>
      </c>
      <c r="N7" s="271">
        <v>134931.94</v>
      </c>
      <c r="O7" s="272">
        <f>SUM(C7:CHOOSE(MONTH(MES_CIERRE),C7,D7,E7,F7,G7,H7,I7,J7,K7,L7,M7,N7))</f>
        <v>783212.5</v>
      </c>
      <c r="Q7" s="264">
        <v>11</v>
      </c>
      <c r="R7" t="s">
        <v>357</v>
      </c>
      <c r="S7" s="271">
        <v>125633.25</v>
      </c>
      <c r="T7" s="271">
        <v>122010.17</v>
      </c>
      <c r="U7" s="271">
        <v>133252.82</v>
      </c>
      <c r="V7" s="271">
        <v>61574.92</v>
      </c>
      <c r="W7" s="271">
        <v>0</v>
      </c>
      <c r="X7" s="271">
        <v>0</v>
      </c>
      <c r="Y7" s="271">
        <v>0</v>
      </c>
      <c r="Z7" s="271">
        <v>0</v>
      </c>
      <c r="AA7" s="271">
        <v>0</v>
      </c>
      <c r="AB7" s="271">
        <v>0</v>
      </c>
      <c r="AC7" s="271">
        <v>0</v>
      </c>
      <c r="AD7" s="271">
        <v>0</v>
      </c>
      <c r="AE7" s="272">
        <f>SUM(S7:CHOOSE(MONTH(MES_CIERRE),S7,T7,U7,V7,W7,X7,Y7,Z7,AA7,AB7,AC7,AD7))</f>
        <v>442471.16</v>
      </c>
      <c r="AG7" s="288">
        <f t="shared" ref="AG7:AG38" si="0">IFERROR((CHOOSE(MONTH(MES_CIERRE),S7,T7,U7,V7,W7,X7,Y7,Z7,AA7,AB7,AC7,AD7)-CHOOSE(MONTH(MES_CIERRE),C7,D7,E7,F7,G7,H7,I7,J7,K7,L7,M7,N7))/CHOOSE(MONTH(MES_CIERRE),C7,D7,E7,F7,G7,H7,I7,J7,K7,L7,M7,N7),"")</f>
        <v>-1</v>
      </c>
      <c r="AH7" s="288">
        <f>IFERROR((AE7-O7)/O7,"")</f>
        <v>-0.43505605439136891</v>
      </c>
    </row>
    <row r="8" spans="1:34" ht="13" x14ac:dyDescent="0.3">
      <c r="A8" s="264">
        <v>12</v>
      </c>
      <c r="B8" t="s">
        <v>359</v>
      </c>
      <c r="C8" s="271">
        <v>93135.33</v>
      </c>
      <c r="D8" s="271">
        <v>89378.92</v>
      </c>
      <c r="E8" s="271">
        <v>105573.22</v>
      </c>
      <c r="F8" s="271">
        <v>102594.69</v>
      </c>
      <c r="G8" s="271">
        <v>111046.9</v>
      </c>
      <c r="H8" s="271">
        <v>104379.11</v>
      </c>
      <c r="I8" s="271">
        <v>102505.44</v>
      </c>
      <c r="J8" s="271">
        <v>103694.66</v>
      </c>
      <c r="K8" s="271">
        <v>95297.88</v>
      </c>
      <c r="L8" s="271">
        <v>100780.81</v>
      </c>
      <c r="M8" s="271">
        <v>91388.33</v>
      </c>
      <c r="N8" s="271">
        <v>91878.84</v>
      </c>
      <c r="O8" s="272">
        <f>SUM(C8:CHOOSE(MONTH(MES_CIERRE),C8,D8,E8,F8,G8,H8,I8,J8,K8,L8,M8,N8))</f>
        <v>606108.16999999993</v>
      </c>
      <c r="Q8" s="264">
        <v>12</v>
      </c>
      <c r="R8" t="s">
        <v>359</v>
      </c>
      <c r="S8" s="271">
        <v>92612.33</v>
      </c>
      <c r="T8" s="271">
        <v>90621.79</v>
      </c>
      <c r="U8" s="271">
        <v>101030.16</v>
      </c>
      <c r="V8" s="271">
        <v>49217.760000000002</v>
      </c>
      <c r="W8" s="271">
        <v>0</v>
      </c>
      <c r="X8" s="271">
        <v>0</v>
      </c>
      <c r="Y8" s="271">
        <v>0</v>
      </c>
      <c r="Z8" s="271">
        <v>0</v>
      </c>
      <c r="AA8" s="271">
        <v>0</v>
      </c>
      <c r="AB8" s="271">
        <v>0</v>
      </c>
      <c r="AC8" s="271">
        <v>0</v>
      </c>
      <c r="AD8" s="271">
        <v>0</v>
      </c>
      <c r="AE8" s="272">
        <f>SUM(S8:CHOOSE(MONTH(MES_CIERRE),S8,T8,U8,V8,W8,X8,Y8,Z8,AA8,AB8,AC8,AD8))</f>
        <v>333482.04000000004</v>
      </c>
      <c r="AG8" s="288">
        <f t="shared" si="0"/>
        <v>-1</v>
      </c>
      <c r="AH8" s="288">
        <f t="shared" ref="AH8:AH69" si="1">IFERROR((AE8-O8)/O8,"")</f>
        <v>-0.44979781414264702</v>
      </c>
    </row>
    <row r="9" spans="1:34" ht="13" x14ac:dyDescent="0.3">
      <c r="A9" s="264">
        <v>13</v>
      </c>
      <c r="B9" t="s">
        <v>360</v>
      </c>
      <c r="C9" s="271">
        <v>93793.3</v>
      </c>
      <c r="D9" s="271">
        <v>89897.1</v>
      </c>
      <c r="E9" s="271">
        <v>108915.9</v>
      </c>
      <c r="F9" s="271">
        <v>95195.7</v>
      </c>
      <c r="G9" s="271">
        <v>107668.89</v>
      </c>
      <c r="H9" s="271">
        <v>99750.26</v>
      </c>
      <c r="I9" s="271">
        <v>95742.69</v>
      </c>
      <c r="J9" s="271">
        <v>101208.88</v>
      </c>
      <c r="K9" s="271">
        <v>92609.63</v>
      </c>
      <c r="L9" s="271">
        <v>100271.71</v>
      </c>
      <c r="M9" s="271">
        <v>90576.03</v>
      </c>
      <c r="N9" s="271">
        <v>94966.7</v>
      </c>
      <c r="O9" s="272">
        <f>SUM(C9:CHOOSE(MONTH(MES_CIERRE),C9,D9,E9,F9,G9,H9,I9,J9,K9,L9,M9,N9))</f>
        <v>595221.15</v>
      </c>
      <c r="Q9" s="264">
        <v>13</v>
      </c>
      <c r="R9" t="s">
        <v>360</v>
      </c>
      <c r="S9" s="271">
        <v>93990.42</v>
      </c>
      <c r="T9" s="271">
        <v>90418.73</v>
      </c>
      <c r="U9" s="271">
        <v>98083.47</v>
      </c>
      <c r="V9" s="271">
        <v>45844.18</v>
      </c>
      <c r="W9" s="271">
        <v>0</v>
      </c>
      <c r="X9" s="271">
        <v>0</v>
      </c>
      <c r="Y9" s="271">
        <v>0</v>
      </c>
      <c r="Z9" s="271">
        <v>0</v>
      </c>
      <c r="AA9" s="271">
        <v>0</v>
      </c>
      <c r="AB9" s="271">
        <v>0</v>
      </c>
      <c r="AC9" s="271">
        <v>0</v>
      </c>
      <c r="AD9" s="271">
        <v>0</v>
      </c>
      <c r="AE9" s="272">
        <f>SUM(S9:CHOOSE(MONTH(MES_CIERRE),S9,T9,U9,V9,W9,X9,Y9,Z9,AA9,AB9,AC9,AD9))</f>
        <v>328336.8</v>
      </c>
      <c r="AG9" s="288">
        <f>IFERROR((CHOOSE(MONTH(MES_CIERRE),S9,T9,U9,V9,W9,X9,Y9,Z9,AA9,AB9,AC9,AD9)-CHOOSE(MONTH(MES_CIERRE),C9,D9,E9,F9,G9,H9,I9,J9,K9,L9,M9,N9))/CHOOSE(MONTH(MES_CIERRE),C9,D9,E9,F9,G9,H9,I9,J9,K9,L9,M9,N9),"")</f>
        <v>-1</v>
      </c>
      <c r="AH9" s="288">
        <f t="shared" si="1"/>
        <v>-0.44837847243835344</v>
      </c>
    </row>
    <row r="10" spans="1:34" ht="13" x14ac:dyDescent="0.3">
      <c r="A10" s="264">
        <v>14</v>
      </c>
      <c r="B10" t="s">
        <v>361</v>
      </c>
      <c r="C10" s="271">
        <v>117733.42</v>
      </c>
      <c r="D10" s="271">
        <v>116876.18</v>
      </c>
      <c r="E10" s="271">
        <v>138954.04</v>
      </c>
      <c r="F10" s="271">
        <v>120523.67</v>
      </c>
      <c r="G10" s="271">
        <v>131148.81</v>
      </c>
      <c r="H10" s="271">
        <v>119121.11</v>
      </c>
      <c r="I10" s="271">
        <v>117381.89</v>
      </c>
      <c r="J10" s="271">
        <v>121581.65</v>
      </c>
      <c r="K10" s="271">
        <v>103672.65</v>
      </c>
      <c r="L10" s="271">
        <v>110128.3</v>
      </c>
      <c r="M10" s="271">
        <v>104162.05</v>
      </c>
      <c r="N10" s="271">
        <v>109128.45</v>
      </c>
      <c r="O10" s="272">
        <f>SUM(C10:CHOOSE(MONTH(MES_CIERRE),C10,D10,E10,F10,G10,H10,I10,J10,K10,L10,M10,N10))</f>
        <v>744357.23</v>
      </c>
      <c r="Q10" s="264">
        <v>14</v>
      </c>
      <c r="R10" t="s">
        <v>361</v>
      </c>
      <c r="S10" s="271">
        <v>107536.35</v>
      </c>
      <c r="T10" s="271">
        <v>106574.5</v>
      </c>
      <c r="U10" s="271">
        <v>113625.58</v>
      </c>
      <c r="V10" s="271">
        <v>56095.42</v>
      </c>
      <c r="W10" s="271">
        <v>0</v>
      </c>
      <c r="X10" s="271">
        <v>0</v>
      </c>
      <c r="Y10" s="271">
        <v>0</v>
      </c>
      <c r="Z10" s="271">
        <v>0</v>
      </c>
      <c r="AA10" s="271">
        <v>0</v>
      </c>
      <c r="AB10" s="271">
        <v>0</v>
      </c>
      <c r="AC10" s="271">
        <v>0</v>
      </c>
      <c r="AD10" s="271">
        <v>0</v>
      </c>
      <c r="AE10" s="272">
        <f>SUM(S10:CHOOSE(MONTH(MES_CIERRE),S10,T10,U10,V10,W10,X10,Y10,Z10,AA10,AB10,AC10,AD10))</f>
        <v>383831.85</v>
      </c>
      <c r="AG10" s="288">
        <f t="shared" si="0"/>
        <v>-1</v>
      </c>
      <c r="AH10" s="288">
        <f t="shared" si="1"/>
        <v>-0.48434456665383635</v>
      </c>
    </row>
    <row r="11" spans="1:34" ht="13" x14ac:dyDescent="0.3">
      <c r="A11" s="264">
        <v>15</v>
      </c>
      <c r="B11" t="s">
        <v>362</v>
      </c>
      <c r="C11" s="271">
        <v>107359.16</v>
      </c>
      <c r="D11" s="271">
        <v>96980.15</v>
      </c>
      <c r="E11" s="271">
        <v>135024.38</v>
      </c>
      <c r="F11" s="271">
        <v>122077.98</v>
      </c>
      <c r="G11" s="271">
        <v>123507.68</v>
      </c>
      <c r="H11" s="271">
        <v>124466.69</v>
      </c>
      <c r="I11" s="271">
        <v>128037.07</v>
      </c>
      <c r="J11" s="271">
        <v>122959.95</v>
      </c>
      <c r="K11" s="271">
        <v>98780.59</v>
      </c>
      <c r="L11" s="271">
        <v>104959.65</v>
      </c>
      <c r="M11" s="271">
        <v>109148.29</v>
      </c>
      <c r="N11" s="271">
        <v>122191.18</v>
      </c>
      <c r="O11" s="272">
        <f>SUM(C11:CHOOSE(MONTH(MES_CIERRE),C11,D11,E11,F11,G11,H11,I11,J11,K11,L11,M11,N11))</f>
        <v>709416.04</v>
      </c>
      <c r="Q11" s="264">
        <v>15</v>
      </c>
      <c r="R11" t="s">
        <v>362</v>
      </c>
      <c r="S11" s="271">
        <v>110171.12</v>
      </c>
      <c r="T11" s="271">
        <v>102879.01</v>
      </c>
      <c r="U11" s="271">
        <v>119602.78</v>
      </c>
      <c r="V11" s="271">
        <v>52908.49</v>
      </c>
      <c r="W11" s="271">
        <v>0</v>
      </c>
      <c r="X11" s="271">
        <v>0</v>
      </c>
      <c r="Y11" s="271">
        <v>0</v>
      </c>
      <c r="Z11" s="271">
        <v>0</v>
      </c>
      <c r="AA11" s="271">
        <v>0</v>
      </c>
      <c r="AB11" s="271">
        <v>0</v>
      </c>
      <c r="AC11" s="271">
        <v>0</v>
      </c>
      <c r="AD11" s="271">
        <v>0</v>
      </c>
      <c r="AE11" s="272">
        <f>SUM(S11:CHOOSE(MONTH(MES_CIERRE),S11,T11,U11,V11,W11,X11,Y11,Z11,AA11,AB11,AC11,AD11))</f>
        <v>385561.4</v>
      </c>
      <c r="AG11" s="288">
        <f t="shared" si="0"/>
        <v>-1</v>
      </c>
      <c r="AH11" s="288">
        <f t="shared" si="1"/>
        <v>-0.45650876458897094</v>
      </c>
    </row>
    <row r="12" spans="1:34" ht="13" x14ac:dyDescent="0.3">
      <c r="A12" s="264">
        <v>16</v>
      </c>
      <c r="B12" t="s">
        <v>363</v>
      </c>
      <c r="C12" s="271">
        <v>118745.13</v>
      </c>
      <c r="D12" s="271">
        <v>122290.13</v>
      </c>
      <c r="E12" s="271">
        <v>150192.94</v>
      </c>
      <c r="F12" s="271">
        <v>135366.1</v>
      </c>
      <c r="G12" s="271">
        <v>141412.01999999999</v>
      </c>
      <c r="H12" s="271">
        <v>136284.76999999999</v>
      </c>
      <c r="I12" s="271">
        <v>136435.54</v>
      </c>
      <c r="J12" s="271">
        <v>141330.98000000001</v>
      </c>
      <c r="K12" s="271">
        <v>122275.23</v>
      </c>
      <c r="L12" s="271">
        <v>128504.54</v>
      </c>
      <c r="M12" s="271">
        <v>118550.86</v>
      </c>
      <c r="N12" s="271">
        <v>121882.73</v>
      </c>
      <c r="O12" s="272">
        <f>SUM(C12:CHOOSE(MONTH(MES_CIERRE),C12,D12,E12,F12,G12,H12,I12,J12,K12,L12,M12,N12))</f>
        <v>804291.09000000008</v>
      </c>
      <c r="Q12" s="264">
        <v>16</v>
      </c>
      <c r="R12" t="s">
        <v>363</v>
      </c>
      <c r="S12" s="271">
        <v>127268.1</v>
      </c>
      <c r="T12" s="271">
        <v>126575.89</v>
      </c>
      <c r="U12" s="271">
        <v>135071.62</v>
      </c>
      <c r="V12" s="271">
        <v>62830.9</v>
      </c>
      <c r="W12" s="271">
        <v>0</v>
      </c>
      <c r="X12" s="271">
        <v>0</v>
      </c>
      <c r="Y12" s="271">
        <v>0</v>
      </c>
      <c r="Z12" s="271">
        <v>0</v>
      </c>
      <c r="AA12" s="271">
        <v>0</v>
      </c>
      <c r="AB12" s="271">
        <v>0</v>
      </c>
      <c r="AC12" s="271">
        <v>0</v>
      </c>
      <c r="AD12" s="271">
        <v>0</v>
      </c>
      <c r="AE12" s="272">
        <f>SUM(S12:CHOOSE(MONTH(MES_CIERRE),S12,T12,U12,V12,W12,X12,Y12,Z12,AA12,AB12,AC12,AD12))</f>
        <v>451746.51</v>
      </c>
      <c r="AG12" s="288">
        <f t="shared" si="0"/>
        <v>-1</v>
      </c>
      <c r="AH12" s="288">
        <f t="shared" si="1"/>
        <v>-0.43832958537436989</v>
      </c>
    </row>
    <row r="13" spans="1:34" ht="13" x14ac:dyDescent="0.3">
      <c r="A13" s="264">
        <v>17</v>
      </c>
      <c r="B13" t="s">
        <v>364</v>
      </c>
      <c r="C13" s="271">
        <v>107187.15</v>
      </c>
      <c r="D13" s="271">
        <v>101455.61</v>
      </c>
      <c r="E13" s="271">
        <v>118192.71</v>
      </c>
      <c r="F13" s="271">
        <v>115141.75</v>
      </c>
      <c r="G13" s="271">
        <v>117747.67</v>
      </c>
      <c r="H13" s="271">
        <v>107391.61</v>
      </c>
      <c r="I13" s="271">
        <v>109604.88</v>
      </c>
      <c r="J13" s="271">
        <v>118252.92</v>
      </c>
      <c r="K13" s="271">
        <v>104469.57</v>
      </c>
      <c r="L13" s="271">
        <v>113593.65</v>
      </c>
      <c r="M13" s="271">
        <v>105163.44</v>
      </c>
      <c r="N13" s="271">
        <v>106684.08</v>
      </c>
      <c r="O13" s="272">
        <f>SUM(C13:CHOOSE(MONTH(MES_CIERRE),C13,D13,E13,F13,G13,H13,I13,J13,K13,L13,M13,N13))</f>
        <v>667116.5</v>
      </c>
      <c r="Q13" s="264">
        <v>17</v>
      </c>
      <c r="R13" t="s">
        <v>364</v>
      </c>
      <c r="S13" s="271">
        <v>108669.94</v>
      </c>
      <c r="T13" s="271">
        <v>107505.45</v>
      </c>
      <c r="U13" s="271">
        <v>119845.12</v>
      </c>
      <c r="V13" s="271">
        <v>56214.15</v>
      </c>
      <c r="W13" s="271">
        <v>0</v>
      </c>
      <c r="X13" s="271">
        <v>0</v>
      </c>
      <c r="Y13" s="271">
        <v>0</v>
      </c>
      <c r="Z13" s="271">
        <v>0</v>
      </c>
      <c r="AA13" s="271">
        <v>0</v>
      </c>
      <c r="AB13" s="271">
        <v>0</v>
      </c>
      <c r="AC13" s="271">
        <v>0</v>
      </c>
      <c r="AD13" s="271">
        <v>0</v>
      </c>
      <c r="AE13" s="272">
        <f>SUM(S13:CHOOSE(MONTH(MES_CIERRE),S13,T13,U13,V13,W13,X13,Y13,Z13,AA13,AB13,AC13,AD13))</f>
        <v>392234.66000000003</v>
      </c>
      <c r="AG13" s="288">
        <f t="shared" si="0"/>
        <v>-1</v>
      </c>
      <c r="AH13" s="288">
        <f t="shared" si="1"/>
        <v>-0.41204473281653198</v>
      </c>
    </row>
    <row r="14" spans="1:34" ht="13" x14ac:dyDescent="0.3">
      <c r="A14" s="264">
        <v>19</v>
      </c>
      <c r="B14" t="s">
        <v>365</v>
      </c>
      <c r="C14" s="213">
        <v>754501.88</v>
      </c>
      <c r="D14" s="213">
        <v>739021.35</v>
      </c>
      <c r="E14" s="213">
        <v>901050.9</v>
      </c>
      <c r="F14" s="213">
        <v>821521.89</v>
      </c>
      <c r="G14" s="213">
        <v>871011.66</v>
      </c>
      <c r="H14" s="213">
        <v>822615</v>
      </c>
      <c r="I14" s="213">
        <v>826981.86</v>
      </c>
      <c r="J14" s="213">
        <v>845569.84</v>
      </c>
      <c r="K14" s="213">
        <v>742212.61</v>
      </c>
      <c r="L14" s="213">
        <v>790609.92000000004</v>
      </c>
      <c r="M14" s="213">
        <v>748204.16</v>
      </c>
      <c r="N14" s="213">
        <v>781663.92</v>
      </c>
      <c r="O14" s="265">
        <f>SUM(C14:CHOOSE(MONTH(MES_CIERRE),C14,D14,E14,F14,G14,H14,I14,J14,K14,L14,M14,N14))</f>
        <v>4909722.68</v>
      </c>
      <c r="Q14" s="264">
        <v>19</v>
      </c>
      <c r="R14" t="s">
        <v>365</v>
      </c>
      <c r="S14" s="213">
        <v>765881.51</v>
      </c>
      <c r="T14" s="213">
        <v>746585.54</v>
      </c>
      <c r="U14" s="213">
        <v>820511.55</v>
      </c>
      <c r="V14" s="213">
        <v>384685.82</v>
      </c>
      <c r="W14" s="213">
        <v>0</v>
      </c>
      <c r="X14" s="213">
        <v>0</v>
      </c>
      <c r="Y14" s="213">
        <v>0</v>
      </c>
      <c r="Z14" s="213">
        <v>0</v>
      </c>
      <c r="AA14" s="213">
        <v>0</v>
      </c>
      <c r="AB14" s="213">
        <v>0</v>
      </c>
      <c r="AC14" s="213">
        <v>0</v>
      </c>
      <c r="AD14" s="213">
        <v>0</v>
      </c>
      <c r="AE14" s="265">
        <f>SUM(S14:CHOOSE(MONTH(MES_CIERRE),S14,T14,U14,V14,W14,X14,Y14,Z14,AA14,AB14,AC14,AD14))</f>
        <v>2717664.42</v>
      </c>
      <c r="AG14" s="288">
        <f t="shared" si="0"/>
        <v>-1</v>
      </c>
      <c r="AH14" s="288">
        <f t="shared" si="1"/>
        <v>-0.4464729278762441</v>
      </c>
    </row>
    <row r="15" spans="1:34" ht="13" x14ac:dyDescent="0.3">
      <c r="A15" s="264">
        <v>20</v>
      </c>
      <c r="C15" s="213"/>
      <c r="D15" s="213"/>
      <c r="E15" s="213"/>
      <c r="F15" s="213"/>
      <c r="G15" s="213"/>
      <c r="H15" s="213"/>
      <c r="I15" s="213"/>
      <c r="J15" s="213"/>
      <c r="K15" s="213"/>
      <c r="L15" s="213"/>
      <c r="M15" s="213"/>
      <c r="N15" s="213"/>
      <c r="O15" s="265"/>
      <c r="Q15" s="264">
        <v>20</v>
      </c>
      <c r="S15" s="213"/>
      <c r="T15" s="213"/>
      <c r="U15" s="213"/>
      <c r="V15" s="213"/>
      <c r="W15" s="213"/>
      <c r="X15" s="213"/>
      <c r="Y15" s="213"/>
      <c r="Z15" s="213"/>
      <c r="AA15" s="213"/>
      <c r="AB15" s="213"/>
      <c r="AC15" s="213"/>
      <c r="AD15" s="213"/>
      <c r="AE15" s="265"/>
      <c r="AG15" s="288" t="str">
        <f t="shared" si="0"/>
        <v/>
      </c>
      <c r="AH15" s="288" t="str">
        <f t="shared" si="1"/>
        <v/>
      </c>
    </row>
    <row r="16" spans="1:34" ht="13" x14ac:dyDescent="0.3">
      <c r="A16" s="264">
        <v>21</v>
      </c>
      <c r="B16" t="s">
        <v>366</v>
      </c>
      <c r="C16" s="271">
        <v>112682.21</v>
      </c>
      <c r="D16" s="271">
        <v>113531.57</v>
      </c>
      <c r="E16" s="271">
        <v>142135.48000000001</v>
      </c>
      <c r="F16" s="271">
        <v>121159.62</v>
      </c>
      <c r="G16" s="271">
        <v>135379.53</v>
      </c>
      <c r="H16" s="271">
        <v>126315.84</v>
      </c>
      <c r="I16" s="271">
        <v>126070.64</v>
      </c>
      <c r="J16" s="271">
        <v>124675.15</v>
      </c>
      <c r="K16" s="271">
        <v>114057.81</v>
      </c>
      <c r="L16" s="271">
        <v>122370.94</v>
      </c>
      <c r="M16" s="271">
        <v>119618.86</v>
      </c>
      <c r="N16" s="271">
        <v>129686.12</v>
      </c>
      <c r="O16" s="272">
        <f>SUM(C16:CHOOSE(MONTH(MES_CIERRE),C16,D16,E16,F16,G16,H16,I16,J16,K16,L16,M16,N16))</f>
        <v>751204.25</v>
      </c>
      <c r="Q16" s="264">
        <v>21</v>
      </c>
      <c r="R16" t="s">
        <v>366</v>
      </c>
      <c r="S16" s="271">
        <v>118641.08</v>
      </c>
      <c r="T16" s="271">
        <v>118678.75</v>
      </c>
      <c r="U16" s="271">
        <v>138559.18</v>
      </c>
      <c r="V16" s="271">
        <v>62975.91</v>
      </c>
      <c r="W16" s="271">
        <v>0</v>
      </c>
      <c r="X16" s="271">
        <v>0</v>
      </c>
      <c r="Y16" s="271">
        <v>0</v>
      </c>
      <c r="Z16" s="271">
        <v>0</v>
      </c>
      <c r="AA16" s="271">
        <v>0</v>
      </c>
      <c r="AB16" s="271">
        <v>0</v>
      </c>
      <c r="AC16" s="271">
        <v>0</v>
      </c>
      <c r="AD16" s="271">
        <v>0</v>
      </c>
      <c r="AE16" s="272">
        <f>SUM(S16:CHOOSE(MONTH(MES_CIERRE),S16,T16,U16,V16,W16,X16,Y16,Z16,AA16,AB16,AC16,AD16))</f>
        <v>438854.92000000004</v>
      </c>
      <c r="AG16" s="288">
        <f t="shared" si="0"/>
        <v>-1</v>
      </c>
      <c r="AH16" s="288">
        <f t="shared" si="1"/>
        <v>-0.41579814011968114</v>
      </c>
    </row>
    <row r="17" spans="1:34" ht="13" x14ac:dyDescent="0.3">
      <c r="A17" s="264">
        <v>22</v>
      </c>
      <c r="B17" t="s">
        <v>367</v>
      </c>
      <c r="C17" s="271">
        <v>144312.9</v>
      </c>
      <c r="D17" s="271">
        <v>137842.95000000001</v>
      </c>
      <c r="E17" s="271">
        <v>172868.93</v>
      </c>
      <c r="F17" s="271">
        <v>148658.31</v>
      </c>
      <c r="G17" s="271">
        <v>159070.53</v>
      </c>
      <c r="H17" s="271">
        <v>150692.31</v>
      </c>
      <c r="I17" s="271">
        <v>154477.18</v>
      </c>
      <c r="J17" s="271">
        <v>152609.5</v>
      </c>
      <c r="K17" s="271">
        <v>134540.82</v>
      </c>
      <c r="L17" s="271">
        <v>141155.97</v>
      </c>
      <c r="M17" s="271">
        <v>135122.95000000001</v>
      </c>
      <c r="N17" s="271">
        <v>142374.84</v>
      </c>
      <c r="O17" s="272">
        <f>SUM(C17:CHOOSE(MONTH(MES_CIERRE),C17,D17,E17,F17,G17,H17,I17,J17,K17,L17,M17,N17))</f>
        <v>913445.92999999993</v>
      </c>
      <c r="Q17" s="264">
        <v>22</v>
      </c>
      <c r="R17" t="s">
        <v>367</v>
      </c>
      <c r="S17" s="271">
        <v>151000.57</v>
      </c>
      <c r="T17" s="271">
        <v>138759.47</v>
      </c>
      <c r="U17" s="271">
        <v>159531.21</v>
      </c>
      <c r="V17" s="271">
        <v>68436.23</v>
      </c>
      <c r="W17" s="271">
        <v>0</v>
      </c>
      <c r="X17" s="271">
        <v>0</v>
      </c>
      <c r="Y17" s="271">
        <v>0</v>
      </c>
      <c r="Z17" s="271">
        <v>0</v>
      </c>
      <c r="AA17" s="271">
        <v>0</v>
      </c>
      <c r="AB17" s="271">
        <v>0</v>
      </c>
      <c r="AC17" s="271">
        <v>0</v>
      </c>
      <c r="AD17" s="271">
        <v>0</v>
      </c>
      <c r="AE17" s="272">
        <f>SUM(S17:CHOOSE(MONTH(MES_CIERRE),S17,T17,U17,V17,W17,X17,Y17,Z17,AA17,AB17,AC17,AD17))</f>
        <v>517727.48</v>
      </c>
      <c r="AG17" s="288">
        <f t="shared" si="0"/>
        <v>-1</v>
      </c>
      <c r="AH17" s="288">
        <f t="shared" si="1"/>
        <v>-0.43321496872836246</v>
      </c>
    </row>
    <row r="18" spans="1:34" ht="13" x14ac:dyDescent="0.3">
      <c r="A18" s="264">
        <v>23</v>
      </c>
      <c r="B18" t="s">
        <v>368</v>
      </c>
      <c r="C18" s="271">
        <v>108175.19</v>
      </c>
      <c r="D18" s="271">
        <v>101703.93</v>
      </c>
      <c r="E18" s="271">
        <v>138001.82</v>
      </c>
      <c r="F18" s="271">
        <v>111577.87</v>
      </c>
      <c r="G18" s="271">
        <v>131672.87</v>
      </c>
      <c r="H18" s="271">
        <v>137208.79</v>
      </c>
      <c r="I18" s="271">
        <v>146339.51999999999</v>
      </c>
      <c r="J18" s="271">
        <v>139938.42000000001</v>
      </c>
      <c r="K18" s="271">
        <v>118524.57</v>
      </c>
      <c r="L18" s="271">
        <v>126273.75</v>
      </c>
      <c r="M18" s="271">
        <v>128068.39</v>
      </c>
      <c r="N18" s="271">
        <v>139550.16</v>
      </c>
      <c r="O18" s="272">
        <f>SUM(C18:CHOOSE(MONTH(MES_CIERRE),C18,D18,E18,F18,G18,H18,I18,J18,K18,L18,M18,N18))</f>
        <v>728340.47</v>
      </c>
      <c r="Q18" s="264">
        <v>23</v>
      </c>
      <c r="R18" t="s">
        <v>368</v>
      </c>
      <c r="S18" s="271">
        <v>125204.54</v>
      </c>
      <c r="T18" s="271">
        <v>114511.28</v>
      </c>
      <c r="U18" s="271">
        <v>130390.33</v>
      </c>
      <c r="V18" s="271">
        <v>55388.4</v>
      </c>
      <c r="W18" s="271">
        <v>0</v>
      </c>
      <c r="X18" s="271">
        <v>0</v>
      </c>
      <c r="Y18" s="271">
        <v>0</v>
      </c>
      <c r="Z18" s="271">
        <v>0</v>
      </c>
      <c r="AA18" s="271">
        <v>0</v>
      </c>
      <c r="AB18" s="271">
        <v>0</v>
      </c>
      <c r="AC18" s="271">
        <v>0</v>
      </c>
      <c r="AD18" s="271">
        <v>0</v>
      </c>
      <c r="AE18" s="272">
        <f>SUM(S18:CHOOSE(MONTH(MES_CIERRE),S18,T18,U18,V18,W18,X18,Y18,Z18,AA18,AB18,AC18,AD18))</f>
        <v>425494.55000000005</v>
      </c>
      <c r="AG18" s="288">
        <f t="shared" si="0"/>
        <v>-1</v>
      </c>
      <c r="AH18" s="288">
        <f t="shared" si="1"/>
        <v>-0.41580268085336508</v>
      </c>
    </row>
    <row r="19" spans="1:34" ht="13" x14ac:dyDescent="0.3">
      <c r="A19" s="264">
        <v>24</v>
      </c>
      <c r="B19" t="s">
        <v>369</v>
      </c>
      <c r="C19" s="271">
        <v>106218.54</v>
      </c>
      <c r="D19" s="271">
        <v>100991.55</v>
      </c>
      <c r="E19" s="271">
        <v>120702.58</v>
      </c>
      <c r="F19" s="271">
        <v>109782.19</v>
      </c>
      <c r="G19" s="271">
        <v>122613.35</v>
      </c>
      <c r="H19" s="271">
        <v>118246.17</v>
      </c>
      <c r="I19" s="271">
        <v>118339.5</v>
      </c>
      <c r="J19" s="271">
        <v>122709.32</v>
      </c>
      <c r="K19" s="271">
        <v>105358.66</v>
      </c>
      <c r="L19" s="271">
        <v>115820.3</v>
      </c>
      <c r="M19" s="271">
        <v>102979.38</v>
      </c>
      <c r="N19" s="271">
        <v>99614.54</v>
      </c>
      <c r="O19" s="272">
        <f>SUM(C19:CHOOSE(MONTH(MES_CIERRE),C19,D19,E19,F19,G19,H19,I19,J19,K19,L19,M19,N19))</f>
        <v>678554.38</v>
      </c>
      <c r="Q19" s="264">
        <v>24</v>
      </c>
      <c r="R19" t="s">
        <v>369</v>
      </c>
      <c r="S19" s="271">
        <v>111141.51</v>
      </c>
      <c r="T19" s="271">
        <v>110614.56</v>
      </c>
      <c r="U19" s="271">
        <v>121019.66</v>
      </c>
      <c r="V19" s="271">
        <v>54432.480000000003</v>
      </c>
      <c r="W19" s="271">
        <v>0</v>
      </c>
      <c r="X19" s="271">
        <v>0</v>
      </c>
      <c r="Y19" s="271">
        <v>0</v>
      </c>
      <c r="Z19" s="271">
        <v>0</v>
      </c>
      <c r="AA19" s="271">
        <v>0</v>
      </c>
      <c r="AB19" s="271">
        <v>0</v>
      </c>
      <c r="AC19" s="271">
        <v>0</v>
      </c>
      <c r="AD19" s="271">
        <v>0</v>
      </c>
      <c r="AE19" s="272">
        <f>SUM(S19:CHOOSE(MONTH(MES_CIERRE),S19,T19,U19,V19,W19,X19,Y19,Z19,AA19,AB19,AC19,AD19))</f>
        <v>397208.20999999996</v>
      </c>
      <c r="AG19" s="288">
        <f t="shared" si="0"/>
        <v>-1</v>
      </c>
      <c r="AH19" s="288">
        <f t="shared" si="1"/>
        <v>-0.41462582556758387</v>
      </c>
    </row>
    <row r="20" spans="1:34" ht="13" x14ac:dyDescent="0.3">
      <c r="A20" s="264">
        <v>25</v>
      </c>
      <c r="B20" t="s">
        <v>370</v>
      </c>
      <c r="C20" s="271">
        <v>117447.86</v>
      </c>
      <c r="D20" s="271">
        <v>113376.31</v>
      </c>
      <c r="E20" s="271">
        <v>146661.45000000001</v>
      </c>
      <c r="F20" s="271">
        <v>127295.37</v>
      </c>
      <c r="G20" s="271">
        <v>149876.23000000001</v>
      </c>
      <c r="H20" s="271">
        <v>146520.26999999999</v>
      </c>
      <c r="I20" s="271">
        <v>143584.78</v>
      </c>
      <c r="J20" s="271">
        <v>143985.82</v>
      </c>
      <c r="K20" s="271">
        <v>130176.48</v>
      </c>
      <c r="L20" s="271">
        <v>135164.65</v>
      </c>
      <c r="M20" s="271">
        <v>125630.23</v>
      </c>
      <c r="N20" s="271">
        <v>132429.48000000001</v>
      </c>
      <c r="O20" s="272">
        <f>SUM(C20:CHOOSE(MONTH(MES_CIERRE),C20,D20,E20,F20,G20,H20,I20,J20,K20,L20,M20,N20))</f>
        <v>801177.49</v>
      </c>
      <c r="Q20" s="264">
        <v>25</v>
      </c>
      <c r="R20" t="s">
        <v>370</v>
      </c>
      <c r="S20" s="271">
        <v>134225</v>
      </c>
      <c r="T20" s="271">
        <v>132566.88</v>
      </c>
      <c r="U20" s="271">
        <v>144249.12</v>
      </c>
      <c r="V20" s="271">
        <v>66030.570000000007</v>
      </c>
      <c r="W20" s="271">
        <v>0</v>
      </c>
      <c r="X20" s="271">
        <v>0</v>
      </c>
      <c r="Y20" s="271">
        <v>0</v>
      </c>
      <c r="Z20" s="271">
        <v>0</v>
      </c>
      <c r="AA20" s="271">
        <v>0</v>
      </c>
      <c r="AB20" s="271">
        <v>0</v>
      </c>
      <c r="AC20" s="271">
        <v>0</v>
      </c>
      <c r="AD20" s="271">
        <v>0</v>
      </c>
      <c r="AE20" s="272">
        <f>SUM(S20:CHOOSE(MONTH(MES_CIERRE),S20,T20,U20,V20,W20,X20,Y20,Z20,AA20,AB20,AC20,AD20))</f>
        <v>477071.57</v>
      </c>
      <c r="AG20" s="288">
        <f t="shared" si="0"/>
        <v>-1</v>
      </c>
      <c r="AH20" s="288">
        <f t="shared" si="1"/>
        <v>-0.40453697719340564</v>
      </c>
    </row>
    <row r="21" spans="1:34" ht="13" x14ac:dyDescent="0.3">
      <c r="A21" s="264">
        <v>26</v>
      </c>
      <c r="B21" t="s">
        <v>371</v>
      </c>
      <c r="C21" s="271">
        <v>100351.31</v>
      </c>
      <c r="D21" s="271">
        <v>95731.22</v>
      </c>
      <c r="E21" s="271">
        <v>118958.86</v>
      </c>
      <c r="F21" s="271">
        <v>97382.74</v>
      </c>
      <c r="G21" s="271">
        <v>109436.86</v>
      </c>
      <c r="H21" s="271">
        <v>103917.47</v>
      </c>
      <c r="I21" s="271">
        <v>118023.08</v>
      </c>
      <c r="J21" s="271">
        <v>121191.64</v>
      </c>
      <c r="K21" s="271">
        <v>103251.88</v>
      </c>
      <c r="L21" s="271">
        <v>109653.07</v>
      </c>
      <c r="M21" s="271">
        <v>110560.19</v>
      </c>
      <c r="N21" s="271">
        <v>136386.10999999999</v>
      </c>
      <c r="O21" s="272">
        <f>SUM(C21:CHOOSE(MONTH(MES_CIERRE),C21,D21,E21,F21,G21,H21,I21,J21,K21,L21,M21,N21))</f>
        <v>625778.46</v>
      </c>
      <c r="Q21" s="264">
        <v>26</v>
      </c>
      <c r="R21" t="s">
        <v>371</v>
      </c>
      <c r="S21" s="271">
        <v>116305.88</v>
      </c>
      <c r="T21" s="271">
        <v>115273.13</v>
      </c>
      <c r="U21" s="271">
        <v>131194.19</v>
      </c>
      <c r="V21" s="271">
        <v>57806.8</v>
      </c>
      <c r="W21" s="271">
        <v>0</v>
      </c>
      <c r="X21" s="271">
        <v>0</v>
      </c>
      <c r="Y21" s="271">
        <v>0</v>
      </c>
      <c r="Z21" s="271">
        <v>0</v>
      </c>
      <c r="AA21" s="271">
        <v>0</v>
      </c>
      <c r="AB21" s="271">
        <v>0</v>
      </c>
      <c r="AC21" s="271">
        <v>0</v>
      </c>
      <c r="AD21" s="271">
        <v>0</v>
      </c>
      <c r="AE21" s="272">
        <f>SUM(S21:CHOOSE(MONTH(MES_CIERRE),S21,T21,U21,V21,W21,X21,Y21,Z21,AA21,AB21,AC21,AD21))</f>
        <v>420580</v>
      </c>
      <c r="AG21" s="288">
        <f t="shared" si="0"/>
        <v>-1</v>
      </c>
      <c r="AH21" s="288">
        <f t="shared" si="1"/>
        <v>-0.32790911339453899</v>
      </c>
    </row>
    <row r="22" spans="1:34" ht="13" x14ac:dyDescent="0.3">
      <c r="A22" s="264">
        <v>27</v>
      </c>
      <c r="B22" t="s">
        <v>372</v>
      </c>
      <c r="C22" s="271">
        <v>81545.06</v>
      </c>
      <c r="D22" s="271">
        <v>81369.31</v>
      </c>
      <c r="E22" s="271">
        <v>99714.28</v>
      </c>
      <c r="F22" s="271">
        <v>86178.27</v>
      </c>
      <c r="G22" s="271">
        <v>102893.01</v>
      </c>
      <c r="H22" s="271">
        <v>96078.36</v>
      </c>
      <c r="I22" s="271">
        <v>93267.67</v>
      </c>
      <c r="J22" s="271">
        <v>95423.67</v>
      </c>
      <c r="K22" s="271">
        <v>87009.67</v>
      </c>
      <c r="L22" s="271">
        <v>90968.88</v>
      </c>
      <c r="M22" s="271">
        <v>85481.68</v>
      </c>
      <c r="N22" s="271">
        <v>87921.83</v>
      </c>
      <c r="O22" s="272">
        <f>SUM(C22:CHOOSE(MONTH(MES_CIERRE),C22,D22,E22,F22,G22,H22,I22,J22,K22,L22,M22,N22))</f>
        <v>547778.29</v>
      </c>
      <c r="Q22" s="264">
        <v>27</v>
      </c>
      <c r="R22" t="s">
        <v>372</v>
      </c>
      <c r="S22" s="271">
        <v>90364.81</v>
      </c>
      <c r="T22" s="271">
        <v>85613.32</v>
      </c>
      <c r="U22" s="271">
        <v>94076.31</v>
      </c>
      <c r="V22" s="271">
        <v>43899.839999999997</v>
      </c>
      <c r="W22" s="271">
        <v>0</v>
      </c>
      <c r="X22" s="271">
        <v>0</v>
      </c>
      <c r="Y22" s="271">
        <v>0</v>
      </c>
      <c r="Z22" s="271">
        <v>0</v>
      </c>
      <c r="AA22" s="271">
        <v>0</v>
      </c>
      <c r="AB22" s="271">
        <v>0</v>
      </c>
      <c r="AC22" s="271">
        <v>0</v>
      </c>
      <c r="AD22" s="271">
        <v>0</v>
      </c>
      <c r="AE22" s="272">
        <f>SUM(S22:CHOOSE(MONTH(MES_CIERRE),S22,T22,U22,V22,W22,X22,Y22,Z22,AA22,AB22,AC22,AD22))</f>
        <v>313954.28000000003</v>
      </c>
      <c r="AG22" s="288">
        <f t="shared" si="0"/>
        <v>-1</v>
      </c>
      <c r="AH22" s="288">
        <f t="shared" si="1"/>
        <v>-0.42685884831251708</v>
      </c>
    </row>
    <row r="23" spans="1:34" ht="13" x14ac:dyDescent="0.3">
      <c r="A23" s="264">
        <v>28</v>
      </c>
      <c r="B23" t="s">
        <v>373</v>
      </c>
      <c r="C23" s="271">
        <v>119849.69</v>
      </c>
      <c r="D23" s="271">
        <v>108437.68</v>
      </c>
      <c r="E23" s="271">
        <v>134062.26999999999</v>
      </c>
      <c r="F23" s="271">
        <v>121030.47</v>
      </c>
      <c r="G23" s="271">
        <v>135461.93</v>
      </c>
      <c r="H23" s="271">
        <v>131106.21</v>
      </c>
      <c r="I23" s="271">
        <v>131035.11</v>
      </c>
      <c r="J23" s="271">
        <v>139052.45000000001</v>
      </c>
      <c r="K23" s="271">
        <v>125252.32</v>
      </c>
      <c r="L23" s="271">
        <v>136540.96</v>
      </c>
      <c r="M23" s="271">
        <v>125522.15</v>
      </c>
      <c r="N23" s="271">
        <v>136652.67000000001</v>
      </c>
      <c r="O23" s="272">
        <f>SUM(C23:CHOOSE(MONTH(MES_CIERRE),C23,D23,E23,F23,G23,H23,I23,J23,K23,L23,M23,N23))</f>
        <v>749948.25</v>
      </c>
      <c r="Q23" s="264">
        <v>28</v>
      </c>
      <c r="R23" t="s">
        <v>373</v>
      </c>
      <c r="S23" s="271">
        <v>137870.82999999999</v>
      </c>
      <c r="T23" s="271">
        <v>134275.70000000001</v>
      </c>
      <c r="U23" s="271">
        <v>145834</v>
      </c>
      <c r="V23" s="271">
        <v>68483.59</v>
      </c>
      <c r="W23" s="271">
        <v>0</v>
      </c>
      <c r="X23" s="271">
        <v>0</v>
      </c>
      <c r="Y23" s="271">
        <v>0</v>
      </c>
      <c r="Z23" s="271">
        <v>0</v>
      </c>
      <c r="AA23" s="271">
        <v>0</v>
      </c>
      <c r="AB23" s="271">
        <v>0</v>
      </c>
      <c r="AC23" s="271">
        <v>0</v>
      </c>
      <c r="AD23" s="271">
        <v>0</v>
      </c>
      <c r="AE23" s="272">
        <f>SUM(S23:CHOOSE(MONTH(MES_CIERRE),S23,T23,U23,V23,W23,X23,Y23,Z23,AA23,AB23,AC23,AD23))</f>
        <v>486464.12</v>
      </c>
      <c r="AG23" s="288">
        <f t="shared" si="0"/>
        <v>-1</v>
      </c>
      <c r="AH23" s="288">
        <f t="shared" si="1"/>
        <v>-0.35133641554600603</v>
      </c>
    </row>
    <row r="24" spans="1:34" ht="13" x14ac:dyDescent="0.3">
      <c r="A24" s="264">
        <v>29</v>
      </c>
      <c r="B24" t="s">
        <v>374</v>
      </c>
      <c r="C24" s="213">
        <v>890582.76</v>
      </c>
      <c r="D24" s="213">
        <v>852984.52</v>
      </c>
      <c r="E24" s="213">
        <v>1073105.67</v>
      </c>
      <c r="F24" s="213">
        <v>923064.84</v>
      </c>
      <c r="G24" s="213">
        <v>1046404.31</v>
      </c>
      <c r="H24" s="213">
        <v>1010085.42</v>
      </c>
      <c r="I24" s="213">
        <v>1031137.48</v>
      </c>
      <c r="J24" s="213">
        <v>1039585.97</v>
      </c>
      <c r="K24" s="213">
        <v>918172.21</v>
      </c>
      <c r="L24" s="213">
        <v>977948.52</v>
      </c>
      <c r="M24" s="213">
        <v>932983.83</v>
      </c>
      <c r="N24" s="213">
        <v>1004615.75</v>
      </c>
      <c r="O24" s="265">
        <f>SUM(C24:CHOOSE(MONTH(MES_CIERRE),C24,D24,E24,F24,G24,H24,I24,J24,K24,L24,M24,N24))</f>
        <v>5796227.5199999996</v>
      </c>
      <c r="Q24" s="264">
        <v>29</v>
      </c>
      <c r="R24" t="s">
        <v>374</v>
      </c>
      <c r="S24" s="213">
        <v>984754.22</v>
      </c>
      <c r="T24" s="213">
        <v>950293.09</v>
      </c>
      <c r="U24" s="213">
        <v>1064854</v>
      </c>
      <c r="V24" s="213">
        <v>477453.82</v>
      </c>
      <c r="W24" s="213">
        <v>0</v>
      </c>
      <c r="X24" s="213">
        <v>0</v>
      </c>
      <c r="Y24" s="213">
        <v>0</v>
      </c>
      <c r="Z24" s="213">
        <v>0</v>
      </c>
      <c r="AA24" s="213">
        <v>0</v>
      </c>
      <c r="AB24" s="213">
        <v>0</v>
      </c>
      <c r="AC24" s="213">
        <v>0</v>
      </c>
      <c r="AD24" s="213">
        <v>0</v>
      </c>
      <c r="AE24" s="265">
        <f>SUM(S24:CHOOSE(MONTH(MES_CIERRE),S24,T24,U24,V24,W24,X24,Y24,Z24,AA24,AB24,AC24,AD24))</f>
        <v>3477355.13</v>
      </c>
      <c r="AG24" s="288">
        <f t="shared" si="0"/>
        <v>-1</v>
      </c>
      <c r="AH24" s="288">
        <f t="shared" si="1"/>
        <v>-0.40006579831428007</v>
      </c>
    </row>
    <row r="25" spans="1:34" ht="13" x14ac:dyDescent="0.3">
      <c r="A25" s="264">
        <v>37</v>
      </c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65"/>
      <c r="Q25" s="264">
        <v>37</v>
      </c>
      <c r="S25" s="213"/>
      <c r="T25" s="213"/>
      <c r="U25" s="213"/>
      <c r="V25" s="213"/>
      <c r="W25" s="213"/>
      <c r="X25" s="213"/>
      <c r="Y25" s="213"/>
      <c r="Z25" s="213"/>
      <c r="AA25" s="213"/>
      <c r="AB25" s="213"/>
      <c r="AC25" s="213"/>
      <c r="AD25" s="213"/>
      <c r="AE25" s="265"/>
      <c r="AG25" s="288" t="str">
        <f t="shared" si="0"/>
        <v/>
      </c>
      <c r="AH25" s="288" t="str">
        <f t="shared" si="1"/>
        <v/>
      </c>
    </row>
    <row r="26" spans="1:34" ht="13" x14ac:dyDescent="0.3">
      <c r="A26" s="264">
        <v>38</v>
      </c>
      <c r="B26" s="111" t="s">
        <v>375</v>
      </c>
      <c r="C26" s="265">
        <v>1645084.64</v>
      </c>
      <c r="D26" s="265">
        <v>1592005.87</v>
      </c>
      <c r="E26" s="265">
        <v>1974156.57</v>
      </c>
      <c r="F26" s="265">
        <v>1744586.73</v>
      </c>
      <c r="G26" s="265">
        <v>1917415.97</v>
      </c>
      <c r="H26" s="265">
        <v>1832700.42</v>
      </c>
      <c r="I26" s="265">
        <v>1858119.34</v>
      </c>
      <c r="J26" s="265">
        <v>1885155.81</v>
      </c>
      <c r="K26" s="265">
        <v>1660384.82</v>
      </c>
      <c r="L26" s="265">
        <v>1768558.44</v>
      </c>
      <c r="M26" s="265">
        <v>1681187.99</v>
      </c>
      <c r="N26" s="265">
        <v>1786279.67</v>
      </c>
      <c r="O26" s="265">
        <f>SUM(C26:CHOOSE(MONTH(MES_CIERRE),C26,D26,E26,F26,G26,H26,I26,J26,K26,L26,M26,N26))</f>
        <v>10705950.200000001</v>
      </c>
      <c r="Q26" s="264">
        <v>38</v>
      </c>
      <c r="R26" s="111" t="s">
        <v>375</v>
      </c>
      <c r="S26" s="265">
        <v>1750635.73</v>
      </c>
      <c r="T26" s="265">
        <v>1696878.63</v>
      </c>
      <c r="U26" s="265">
        <v>1885365.55</v>
      </c>
      <c r="V26" s="265">
        <v>862139.64</v>
      </c>
      <c r="W26" s="265">
        <v>0</v>
      </c>
      <c r="X26" s="265">
        <v>0</v>
      </c>
      <c r="Y26" s="265">
        <v>0</v>
      </c>
      <c r="Z26" s="265">
        <v>0</v>
      </c>
      <c r="AA26" s="265">
        <v>0</v>
      </c>
      <c r="AB26" s="265">
        <v>0</v>
      </c>
      <c r="AC26" s="265">
        <v>0</v>
      </c>
      <c r="AD26" s="265">
        <v>0</v>
      </c>
      <c r="AE26" s="265">
        <f>SUM(S26:CHOOSE(MONTH(MES_CIERRE),S26,T26,U26,V26,W26,X26,Y26,Z26,AA26,AB26,AC26,AD26))</f>
        <v>6195019.5499999998</v>
      </c>
      <c r="AG26" s="288">
        <f t="shared" si="0"/>
        <v>-1</v>
      </c>
      <c r="AH26" s="288">
        <f t="shared" si="1"/>
        <v>-0.42134799487485014</v>
      </c>
    </row>
    <row r="27" spans="1:34" ht="13" x14ac:dyDescent="0.3">
      <c r="A27" s="264">
        <v>39</v>
      </c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65"/>
      <c r="Q27" s="264">
        <v>39</v>
      </c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65"/>
      <c r="AG27" s="288" t="str">
        <f t="shared" si="0"/>
        <v/>
      </c>
      <c r="AH27" s="288" t="str">
        <f t="shared" si="1"/>
        <v/>
      </c>
    </row>
    <row r="28" spans="1:34" ht="13" x14ac:dyDescent="0.3">
      <c r="A28" s="264">
        <v>40</v>
      </c>
      <c r="B28" s="111" t="s">
        <v>376</v>
      </c>
      <c r="C28" s="213"/>
      <c r="D28" s="213"/>
      <c r="E28" s="213"/>
      <c r="F28" s="213"/>
      <c r="G28" s="213"/>
      <c r="H28" s="213"/>
      <c r="I28" s="213"/>
      <c r="J28" s="213"/>
      <c r="K28" s="213"/>
      <c r="L28" s="213"/>
      <c r="M28" s="213"/>
      <c r="N28" s="213"/>
      <c r="O28" s="265"/>
      <c r="Q28" s="264">
        <v>40</v>
      </c>
      <c r="R28" s="111" t="s">
        <v>376</v>
      </c>
      <c r="S28" s="213"/>
      <c r="T28" s="213"/>
      <c r="U28" s="213"/>
      <c r="V28" s="213"/>
      <c r="W28" s="213"/>
      <c r="X28" s="213"/>
      <c r="Y28" s="213"/>
      <c r="Z28" s="213"/>
      <c r="AA28" s="213"/>
      <c r="AB28" s="213"/>
      <c r="AC28" s="213"/>
      <c r="AD28" s="213"/>
      <c r="AE28" s="265"/>
      <c r="AG28" s="288" t="str">
        <f t="shared" si="0"/>
        <v/>
      </c>
      <c r="AH28" s="288" t="str">
        <f t="shared" si="1"/>
        <v/>
      </c>
    </row>
    <row r="29" spans="1:34" ht="13" x14ac:dyDescent="0.3">
      <c r="A29" s="264">
        <v>41</v>
      </c>
      <c r="B29" t="s">
        <v>377</v>
      </c>
      <c r="C29" s="271">
        <v>41093.25</v>
      </c>
      <c r="D29" s="271">
        <v>39231.43</v>
      </c>
      <c r="E29" s="271">
        <v>46984.160000000003</v>
      </c>
      <c r="F29" s="271">
        <v>41740.65</v>
      </c>
      <c r="G29" s="271">
        <v>44555.69</v>
      </c>
      <c r="H29" s="271">
        <v>44894.06</v>
      </c>
      <c r="I29" s="271">
        <v>43196.28</v>
      </c>
      <c r="J29" s="271">
        <v>42407.08</v>
      </c>
      <c r="K29" s="271">
        <v>41007.599999999999</v>
      </c>
      <c r="L29" s="271">
        <v>43344.51</v>
      </c>
      <c r="M29" s="271">
        <v>41632.78</v>
      </c>
      <c r="N29" s="271">
        <v>48041.43</v>
      </c>
      <c r="O29" s="272">
        <f>SUM(C29:CHOOSE(MONTH(MES_CIERRE),C29,D29,E29,F29,G29,H29,I29,J29,K29,L29,M29,N29))</f>
        <v>258499.24</v>
      </c>
      <c r="Q29" s="264">
        <v>41</v>
      </c>
      <c r="R29" t="s">
        <v>377</v>
      </c>
      <c r="S29" s="271">
        <v>41108.97</v>
      </c>
      <c r="T29" s="271">
        <v>42058.8</v>
      </c>
      <c r="U29" s="271">
        <v>46375.199999999997</v>
      </c>
      <c r="V29" s="271">
        <v>43115.21</v>
      </c>
      <c r="W29" s="271">
        <v>44678.22</v>
      </c>
      <c r="X29" s="271">
        <v>41137.08</v>
      </c>
      <c r="Y29" s="271">
        <v>0</v>
      </c>
      <c r="Z29" s="271">
        <v>0</v>
      </c>
      <c r="AA29" s="271">
        <v>0</v>
      </c>
      <c r="AB29" s="271">
        <v>0</v>
      </c>
      <c r="AC29" s="271">
        <v>0</v>
      </c>
      <c r="AD29" s="271">
        <v>0</v>
      </c>
      <c r="AE29" s="272">
        <f>SUM(S29:CHOOSE(MONTH(MES_CIERRE),S29,T29,U29,V29,W29,X29,Y29,Z29,AA29,AB29,AC29,AD29))</f>
        <v>258473.47999999998</v>
      </c>
      <c r="AG29" s="288">
        <f t="shared" si="0"/>
        <v>-8.368545861078272E-2</v>
      </c>
      <c r="AH29" s="288">
        <f t="shared" si="1"/>
        <v>-9.9652130505332683E-5</v>
      </c>
    </row>
    <row r="30" spans="1:34" ht="13" x14ac:dyDescent="0.3">
      <c r="A30" s="264">
        <v>42</v>
      </c>
      <c r="B30" t="s">
        <v>378</v>
      </c>
      <c r="C30" s="271">
        <v>59437.49</v>
      </c>
      <c r="D30" s="271">
        <v>57639.83</v>
      </c>
      <c r="E30" s="271">
        <v>67209.460000000006</v>
      </c>
      <c r="F30" s="271">
        <v>61280.98</v>
      </c>
      <c r="G30" s="271">
        <v>63364.82</v>
      </c>
      <c r="H30" s="271">
        <v>59644.62</v>
      </c>
      <c r="I30" s="271">
        <v>60858.47</v>
      </c>
      <c r="J30" s="271">
        <v>64911.75</v>
      </c>
      <c r="K30" s="271">
        <v>60672.25</v>
      </c>
      <c r="L30" s="271">
        <v>61221.47</v>
      </c>
      <c r="M30" s="271">
        <v>57174.31</v>
      </c>
      <c r="N30" s="271">
        <v>62761.95</v>
      </c>
      <c r="O30" s="272">
        <f>SUM(C30:CHOOSE(MONTH(MES_CIERRE),C30,D30,E30,F30,G30,H30,I30,J30,K30,L30,M30,N30))</f>
        <v>368577.2</v>
      </c>
      <c r="Q30" s="264">
        <v>42</v>
      </c>
      <c r="R30" t="s">
        <v>378</v>
      </c>
      <c r="S30" s="271">
        <v>57769.36</v>
      </c>
      <c r="T30" s="271">
        <v>58127.68</v>
      </c>
      <c r="U30" s="271">
        <v>65585.13</v>
      </c>
      <c r="V30" s="271">
        <v>62437.21</v>
      </c>
      <c r="W30" s="271">
        <v>62443.98</v>
      </c>
      <c r="X30" s="271">
        <v>61414.83</v>
      </c>
      <c r="Y30" s="271">
        <v>0</v>
      </c>
      <c r="Z30" s="271">
        <v>0</v>
      </c>
      <c r="AA30" s="271">
        <v>0</v>
      </c>
      <c r="AB30" s="271">
        <v>0</v>
      </c>
      <c r="AC30" s="271">
        <v>0</v>
      </c>
      <c r="AD30" s="271">
        <v>0</v>
      </c>
      <c r="AE30" s="272">
        <f>SUM(S30:CHOOSE(MONTH(MES_CIERRE),S30,T30,U30,V30,W30,X30,Y30,Z30,AA30,AB30,AC30,AD30))</f>
        <v>367778.19</v>
      </c>
      <c r="AG30" s="288">
        <f t="shared" si="0"/>
        <v>2.9679290437259875E-2</v>
      </c>
      <c r="AH30" s="288">
        <f t="shared" si="1"/>
        <v>-2.167822643397392E-3</v>
      </c>
    </row>
    <row r="31" spans="1:34" ht="13" x14ac:dyDescent="0.3">
      <c r="A31" s="264">
        <v>43</v>
      </c>
      <c r="B31" t="s">
        <v>379</v>
      </c>
      <c r="C31" s="271">
        <v>52989.54</v>
      </c>
      <c r="D31" s="271">
        <v>56542.7</v>
      </c>
      <c r="E31" s="271">
        <v>69279.77</v>
      </c>
      <c r="F31" s="271">
        <v>64275</v>
      </c>
      <c r="G31" s="271">
        <v>65411.39</v>
      </c>
      <c r="H31" s="271">
        <v>62836.97</v>
      </c>
      <c r="I31" s="271">
        <v>64868.2</v>
      </c>
      <c r="J31" s="271">
        <v>66106.259999999995</v>
      </c>
      <c r="K31" s="271">
        <v>62956.84</v>
      </c>
      <c r="L31" s="271">
        <v>64045.279999999999</v>
      </c>
      <c r="M31" s="271">
        <v>64965.84</v>
      </c>
      <c r="N31" s="271">
        <v>72261.990000000005</v>
      </c>
      <c r="O31" s="272">
        <f>SUM(C31:CHOOSE(MONTH(MES_CIERRE),C31,D31,E31,F31,G31,H31,I31,J31,K31,L31,M31,N31))</f>
        <v>371335.37</v>
      </c>
      <c r="Q31" s="264">
        <v>43</v>
      </c>
      <c r="R31" t="s">
        <v>379</v>
      </c>
      <c r="S31" s="271">
        <v>58038.48</v>
      </c>
      <c r="T31" s="271">
        <v>63298.33</v>
      </c>
      <c r="U31" s="271">
        <v>71022.070000000007</v>
      </c>
      <c r="V31" s="271">
        <v>68349.11</v>
      </c>
      <c r="W31" s="271">
        <v>67465.41</v>
      </c>
      <c r="X31" s="271">
        <v>62735.93</v>
      </c>
      <c r="Y31" s="271">
        <v>0</v>
      </c>
      <c r="Z31" s="271">
        <v>0</v>
      </c>
      <c r="AA31" s="271">
        <v>0</v>
      </c>
      <c r="AB31" s="271">
        <v>0</v>
      </c>
      <c r="AC31" s="271">
        <v>0</v>
      </c>
      <c r="AD31" s="271">
        <v>0</v>
      </c>
      <c r="AE31" s="272">
        <f>SUM(S31:CHOOSE(MONTH(MES_CIERRE),S31,T31,U31,V31,W31,X31,Y31,Z31,AA31,AB31,AC31,AD31))</f>
        <v>390909.33</v>
      </c>
      <c r="AG31" s="288">
        <f t="shared" si="0"/>
        <v>-1.6079705943809969E-3</v>
      </c>
      <c r="AH31" s="288">
        <f t="shared" si="1"/>
        <v>5.2712350024722993E-2</v>
      </c>
    </row>
    <row r="32" spans="1:34" ht="13" x14ac:dyDescent="0.3">
      <c r="A32" s="264">
        <v>44</v>
      </c>
      <c r="B32" t="s">
        <v>380</v>
      </c>
      <c r="C32" s="271">
        <v>70539.41</v>
      </c>
      <c r="D32" s="271">
        <v>75871.92</v>
      </c>
      <c r="E32" s="271">
        <v>86372.23</v>
      </c>
      <c r="F32" s="271">
        <v>76637.919999999998</v>
      </c>
      <c r="G32" s="271">
        <v>81626.38</v>
      </c>
      <c r="H32" s="271">
        <v>75427.28</v>
      </c>
      <c r="I32" s="271">
        <v>74585.22</v>
      </c>
      <c r="J32" s="271">
        <v>78848.88</v>
      </c>
      <c r="K32" s="271">
        <v>71122.320000000007</v>
      </c>
      <c r="L32" s="271">
        <v>72585.100000000006</v>
      </c>
      <c r="M32" s="271">
        <v>74244.69</v>
      </c>
      <c r="N32" s="271">
        <v>84259.839999999997</v>
      </c>
      <c r="O32" s="272">
        <f>SUM(C32:CHOOSE(MONTH(MES_CIERRE),C32,D32,E32,F32,G32,H32,I32,J32,K32,L32,M32,N32))</f>
        <v>466475.14</v>
      </c>
      <c r="Q32" s="264">
        <v>44</v>
      </c>
      <c r="R32" t="s">
        <v>380</v>
      </c>
      <c r="S32" s="271">
        <v>70536.34</v>
      </c>
      <c r="T32" s="271">
        <v>78298.149999999994</v>
      </c>
      <c r="U32" s="271">
        <v>87515.99</v>
      </c>
      <c r="V32" s="271">
        <v>78260.899999999994</v>
      </c>
      <c r="W32" s="271">
        <v>82109.7</v>
      </c>
      <c r="X32" s="271">
        <v>76781.73</v>
      </c>
      <c r="Y32" s="271">
        <v>0</v>
      </c>
      <c r="Z32" s="271">
        <v>0</v>
      </c>
      <c r="AA32" s="271">
        <v>0</v>
      </c>
      <c r="AB32" s="271">
        <v>0</v>
      </c>
      <c r="AC32" s="271">
        <v>0</v>
      </c>
      <c r="AD32" s="271">
        <v>0</v>
      </c>
      <c r="AE32" s="272">
        <f>SUM(S32:CHOOSE(MONTH(MES_CIERRE),S32,T32,U32,V32,W32,X32,Y32,Z32,AA32,AB32,AC32,AD32))</f>
        <v>473502.81</v>
      </c>
      <c r="AG32" s="288">
        <f t="shared" si="0"/>
        <v>1.7957030930984084E-2</v>
      </c>
      <c r="AH32" s="288">
        <f t="shared" si="1"/>
        <v>1.5065475943691198E-2</v>
      </c>
    </row>
    <row r="33" spans="1:34" ht="13" x14ac:dyDescent="0.3">
      <c r="A33" s="264">
        <v>45</v>
      </c>
      <c r="B33" t="s">
        <v>381</v>
      </c>
      <c r="C33" s="271">
        <v>49980.07</v>
      </c>
      <c r="D33" s="271">
        <v>50804.19</v>
      </c>
      <c r="E33" s="271">
        <v>58193.5</v>
      </c>
      <c r="F33" s="271">
        <v>50525.39</v>
      </c>
      <c r="G33" s="271">
        <v>53828</v>
      </c>
      <c r="H33" s="271">
        <v>51741.2</v>
      </c>
      <c r="I33" s="271">
        <v>51712.68</v>
      </c>
      <c r="J33" s="271">
        <v>50318.53</v>
      </c>
      <c r="K33" s="271">
        <v>46555.51</v>
      </c>
      <c r="L33" s="271">
        <v>46359.25</v>
      </c>
      <c r="M33" s="271">
        <v>46478.51</v>
      </c>
      <c r="N33" s="271">
        <v>53947.040000000001</v>
      </c>
      <c r="O33" s="272">
        <f>SUM(C33:CHOOSE(MONTH(MES_CIERRE),C33,D33,E33,F33,G33,H33,I33,J33,K33,L33,M33,N33))</f>
        <v>315072.35000000003</v>
      </c>
      <c r="Q33" s="264">
        <v>45</v>
      </c>
      <c r="R33" t="s">
        <v>381</v>
      </c>
      <c r="S33" s="271">
        <v>44586.6</v>
      </c>
      <c r="T33" s="271">
        <v>47398.39</v>
      </c>
      <c r="U33" s="271">
        <v>52650.400000000001</v>
      </c>
      <c r="V33" s="271">
        <v>46578.37</v>
      </c>
      <c r="W33" s="271">
        <v>49866.89</v>
      </c>
      <c r="X33" s="271">
        <v>48918.76</v>
      </c>
      <c r="Y33" s="271">
        <v>0</v>
      </c>
      <c r="Z33" s="271">
        <v>0</v>
      </c>
      <c r="AA33" s="271">
        <v>0</v>
      </c>
      <c r="AB33" s="271">
        <v>0</v>
      </c>
      <c r="AC33" s="271">
        <v>0</v>
      </c>
      <c r="AD33" s="271">
        <v>0</v>
      </c>
      <c r="AE33" s="272">
        <f>SUM(S33:CHOOSE(MONTH(MES_CIERRE),S33,T33,U33,V33,W33,X33,Y33,Z33,AA33,AB33,AC33,AD33))</f>
        <v>289999.40999999997</v>
      </c>
      <c r="AG33" s="288">
        <f t="shared" si="0"/>
        <v>-5.454917937736263E-2</v>
      </c>
      <c r="AH33" s="288">
        <f t="shared" si="1"/>
        <v>-7.9578357161458502E-2</v>
      </c>
    </row>
    <row r="34" spans="1:34" ht="13" x14ac:dyDescent="0.3">
      <c r="A34" s="264">
        <v>48</v>
      </c>
      <c r="B34" s="111" t="s">
        <v>382</v>
      </c>
      <c r="C34" s="265">
        <v>274039.76</v>
      </c>
      <c r="D34" s="265">
        <v>280090.07</v>
      </c>
      <c r="E34" s="265">
        <v>328039.12</v>
      </c>
      <c r="F34" s="265">
        <v>294459.94</v>
      </c>
      <c r="G34" s="265">
        <v>308786.28000000003</v>
      </c>
      <c r="H34" s="265">
        <v>294544.13</v>
      </c>
      <c r="I34" s="265">
        <v>295220.84999999998</v>
      </c>
      <c r="J34" s="265">
        <v>302592.5</v>
      </c>
      <c r="K34" s="265">
        <v>282314.52</v>
      </c>
      <c r="L34" s="265">
        <v>287555.61</v>
      </c>
      <c r="M34" s="265">
        <v>284496.13</v>
      </c>
      <c r="N34" s="265">
        <v>321272.25</v>
      </c>
      <c r="O34" s="265">
        <f>SUM(C34:CHOOSE(MONTH(MES_CIERRE),C34,D34,E34,F34,G34,H34,I34,J34,K34,L34,M34,N34))</f>
        <v>1779959.3000000003</v>
      </c>
      <c r="Q34" s="264">
        <v>48</v>
      </c>
      <c r="R34" s="111" t="s">
        <v>382</v>
      </c>
      <c r="S34" s="265">
        <v>272039.75</v>
      </c>
      <c r="T34" s="265">
        <v>289181.34999999998</v>
      </c>
      <c r="U34" s="265">
        <v>323148.78999999998</v>
      </c>
      <c r="V34" s="265">
        <v>298740.8</v>
      </c>
      <c r="W34" s="265">
        <v>306564.2</v>
      </c>
      <c r="X34" s="265">
        <v>290988.33</v>
      </c>
      <c r="Y34" s="265">
        <v>0</v>
      </c>
      <c r="Z34" s="265">
        <v>0</v>
      </c>
      <c r="AA34" s="265">
        <v>0</v>
      </c>
      <c r="AB34" s="265">
        <v>0</v>
      </c>
      <c r="AC34" s="265">
        <v>0</v>
      </c>
      <c r="AD34" s="265">
        <v>0</v>
      </c>
      <c r="AE34" s="265">
        <f>SUM(S34:CHOOSE(MONTH(MES_CIERRE),S34,T34,U34,V34,W34,X34,Y34,Z34,AA34,AB34,AC34,AD34))</f>
        <v>1780663.22</v>
      </c>
      <c r="AG34" s="288">
        <f t="shared" si="0"/>
        <v>-1.2072214781533716E-2</v>
      </c>
      <c r="AH34" s="288">
        <f t="shared" si="1"/>
        <v>3.954697166388538E-4</v>
      </c>
    </row>
    <row r="35" spans="1:34" ht="13" x14ac:dyDescent="0.3">
      <c r="A35" s="264">
        <v>49</v>
      </c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65"/>
      <c r="Q35" s="264">
        <v>49</v>
      </c>
      <c r="S35" s="213"/>
      <c r="T35" s="213"/>
      <c r="U35" s="213"/>
      <c r="V35" s="213"/>
      <c r="W35" s="213"/>
      <c r="X35" s="213"/>
      <c r="Y35" s="213"/>
      <c r="Z35" s="213"/>
      <c r="AA35" s="213"/>
      <c r="AB35" s="213"/>
      <c r="AC35" s="213"/>
      <c r="AD35" s="213"/>
      <c r="AE35" s="265"/>
      <c r="AG35" s="288" t="str">
        <f t="shared" si="0"/>
        <v/>
      </c>
      <c r="AH35" s="288" t="str">
        <f t="shared" si="1"/>
        <v/>
      </c>
    </row>
    <row r="36" spans="1:34" ht="13" x14ac:dyDescent="0.3">
      <c r="A36" s="264">
        <v>60</v>
      </c>
      <c r="B36" s="111" t="s">
        <v>383</v>
      </c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65"/>
      <c r="Q36" s="264">
        <v>60</v>
      </c>
      <c r="R36" s="111" t="s">
        <v>383</v>
      </c>
      <c r="S36" s="213"/>
      <c r="T36" s="213"/>
      <c r="U36" s="213"/>
      <c r="V36" s="213"/>
      <c r="W36" s="213"/>
      <c r="X36" s="213"/>
      <c r="Y36" s="213"/>
      <c r="Z36" s="213"/>
      <c r="AA36" s="213"/>
      <c r="AB36" s="213"/>
      <c r="AC36" s="213"/>
      <c r="AD36" s="213"/>
      <c r="AE36" s="265"/>
      <c r="AG36" s="288" t="str">
        <f t="shared" si="0"/>
        <v/>
      </c>
      <c r="AH36" s="288" t="str">
        <f t="shared" si="1"/>
        <v/>
      </c>
    </row>
    <row r="37" spans="1:34" ht="13" x14ac:dyDescent="0.3">
      <c r="A37" s="264">
        <v>61</v>
      </c>
      <c r="B37" t="s">
        <v>384</v>
      </c>
      <c r="C37" s="271">
        <v>70277.56</v>
      </c>
      <c r="D37" s="271">
        <v>69801.77</v>
      </c>
      <c r="E37" s="271">
        <v>87682.02</v>
      </c>
      <c r="F37" s="271">
        <v>80628.09</v>
      </c>
      <c r="G37" s="271">
        <v>81270.75</v>
      </c>
      <c r="H37" s="271">
        <v>82326.95</v>
      </c>
      <c r="I37" s="271">
        <v>84061.88</v>
      </c>
      <c r="J37" s="271">
        <v>81844.72</v>
      </c>
      <c r="K37" s="271">
        <v>75055.25</v>
      </c>
      <c r="L37" s="271">
        <v>76036.320000000007</v>
      </c>
      <c r="M37" s="271">
        <v>74919.02</v>
      </c>
      <c r="N37" s="271">
        <v>77971.05</v>
      </c>
      <c r="O37" s="272">
        <f>SUM(C37:CHOOSE(MONTH(MES_CIERRE),C37,D37,E37,F37,G37,H37,I37,J37,K37,L37,M37,N37))</f>
        <v>471987.14000000007</v>
      </c>
      <c r="Q37" s="264">
        <v>61</v>
      </c>
      <c r="R37" t="s">
        <v>384</v>
      </c>
      <c r="S37" s="271">
        <v>65903.86</v>
      </c>
      <c r="T37" s="271">
        <v>66930.03</v>
      </c>
      <c r="U37" s="271">
        <v>79359.509999999995</v>
      </c>
      <c r="V37" s="271">
        <v>70264.34</v>
      </c>
      <c r="W37" s="271">
        <v>71051.009999999995</v>
      </c>
      <c r="X37" s="271">
        <v>75291.56</v>
      </c>
      <c r="Y37" s="271">
        <v>0</v>
      </c>
      <c r="Z37" s="271">
        <v>0</v>
      </c>
      <c r="AA37" s="271">
        <v>0</v>
      </c>
      <c r="AB37" s="271">
        <v>0</v>
      </c>
      <c r="AC37" s="271">
        <v>0</v>
      </c>
      <c r="AD37" s="271">
        <v>0</v>
      </c>
      <c r="AE37" s="272">
        <f>SUM(S37:CHOOSE(MONTH(MES_CIERRE),S37,T37,U37,V37,W37,X37,Y37,Z37,AA37,AB37,AC37,AD37))</f>
        <v>428800.31</v>
      </c>
      <c r="AG37" s="288">
        <f t="shared" si="0"/>
        <v>-8.5456706461249921E-2</v>
      </c>
      <c r="AH37" s="288">
        <f t="shared" si="1"/>
        <v>-9.1500014174115143E-2</v>
      </c>
    </row>
    <row r="38" spans="1:34" ht="13" x14ac:dyDescent="0.3">
      <c r="A38" s="264">
        <v>62</v>
      </c>
      <c r="B38" t="s">
        <v>385</v>
      </c>
      <c r="C38" s="271">
        <v>56235.519999999997</v>
      </c>
      <c r="D38" s="271">
        <v>51353.66</v>
      </c>
      <c r="E38" s="271">
        <v>64248.59</v>
      </c>
      <c r="F38" s="271">
        <v>61704.45</v>
      </c>
      <c r="G38" s="271">
        <v>63596.63</v>
      </c>
      <c r="H38" s="271">
        <v>62877.63</v>
      </c>
      <c r="I38" s="271">
        <v>51768.27</v>
      </c>
      <c r="J38" s="271">
        <v>63355.94</v>
      </c>
      <c r="K38" s="271">
        <v>59068.97</v>
      </c>
      <c r="L38" s="271">
        <v>57989.55</v>
      </c>
      <c r="M38" s="271">
        <v>56100.99</v>
      </c>
      <c r="N38" s="271">
        <v>56298.5</v>
      </c>
      <c r="O38" s="272">
        <f>SUM(C38:CHOOSE(MONTH(MES_CIERRE),C38,D38,E38,F38,G38,H38,I38,J38,K38,L38,M38,N38))</f>
        <v>360016.48</v>
      </c>
      <c r="Q38" s="264">
        <v>62</v>
      </c>
      <c r="R38" t="s">
        <v>385</v>
      </c>
      <c r="S38" s="271">
        <v>53697.599999999999</v>
      </c>
      <c r="T38" s="271">
        <v>52443.81</v>
      </c>
      <c r="U38" s="271">
        <v>62309.99</v>
      </c>
      <c r="V38" s="271">
        <v>57214.27</v>
      </c>
      <c r="W38" s="271">
        <v>62998.720000000001</v>
      </c>
      <c r="X38" s="271">
        <v>62197.27</v>
      </c>
      <c r="Y38" s="271">
        <v>0</v>
      </c>
      <c r="Z38" s="271">
        <v>0</v>
      </c>
      <c r="AA38" s="271">
        <v>0</v>
      </c>
      <c r="AB38" s="271">
        <v>0</v>
      </c>
      <c r="AC38" s="271">
        <v>0</v>
      </c>
      <c r="AD38" s="271">
        <v>0</v>
      </c>
      <c r="AE38" s="272">
        <f>SUM(S38:CHOOSE(MONTH(MES_CIERRE),S38,T38,U38,V38,W38,X38,Y38,Z38,AA38,AB38,AC38,AD38))</f>
        <v>350861.66000000003</v>
      </c>
      <c r="AG38" s="288">
        <f t="shared" si="0"/>
        <v>-1.082038238400526E-2</v>
      </c>
      <c r="AH38" s="288">
        <f t="shared" si="1"/>
        <v>-2.5428891477412226E-2</v>
      </c>
    </row>
    <row r="39" spans="1:34" ht="13" x14ac:dyDescent="0.3">
      <c r="A39" s="264">
        <v>63</v>
      </c>
      <c r="B39" t="s">
        <v>386</v>
      </c>
      <c r="C39" s="271">
        <v>79798.759999999995</v>
      </c>
      <c r="D39" s="271">
        <v>77913.23</v>
      </c>
      <c r="E39" s="271">
        <v>92996.72</v>
      </c>
      <c r="F39" s="271">
        <v>82072.58</v>
      </c>
      <c r="G39" s="271">
        <v>83771.73</v>
      </c>
      <c r="H39" s="271">
        <v>86669.3</v>
      </c>
      <c r="I39" s="271">
        <v>87397.19</v>
      </c>
      <c r="J39" s="271">
        <v>84951.98</v>
      </c>
      <c r="K39" s="271">
        <v>80119.47</v>
      </c>
      <c r="L39" s="271">
        <v>82451.81</v>
      </c>
      <c r="M39" s="271">
        <v>70718</v>
      </c>
      <c r="N39" s="271">
        <v>80963.100000000006</v>
      </c>
      <c r="O39" s="272">
        <f>SUM(C39:CHOOSE(MONTH(MES_CIERRE),C39,D39,E39,F39,G39,H39,I39,J39,K39,L39,M39,N39))</f>
        <v>503222.31999999995</v>
      </c>
      <c r="Q39" s="264">
        <v>63</v>
      </c>
      <c r="R39" t="s">
        <v>386</v>
      </c>
      <c r="S39" s="271">
        <v>75483.91</v>
      </c>
      <c r="T39" s="271">
        <v>75005.05</v>
      </c>
      <c r="U39" s="271">
        <v>85269.69</v>
      </c>
      <c r="V39" s="271">
        <v>79912.12</v>
      </c>
      <c r="W39" s="271">
        <v>92548.03</v>
      </c>
      <c r="X39" s="271">
        <v>80333.440000000002</v>
      </c>
      <c r="Y39" s="271">
        <v>0</v>
      </c>
      <c r="Z39" s="271">
        <v>0</v>
      </c>
      <c r="AA39" s="271">
        <v>0</v>
      </c>
      <c r="AB39" s="271">
        <v>0</v>
      </c>
      <c r="AC39" s="271">
        <v>0</v>
      </c>
      <c r="AD39" s="271">
        <v>0</v>
      </c>
      <c r="AE39" s="272">
        <f>SUM(S39:CHOOSE(MONTH(MES_CIERRE),S39,T39,U39,V39,W39,X39,Y39,Z39,AA39,AB39,AC39,AD39))</f>
        <v>488552.24000000005</v>
      </c>
      <c r="AG39" s="288">
        <f t="shared" ref="AG39:AG69" si="2">IFERROR((CHOOSE(MONTH(MES_CIERRE),S39,T39,U39,V39,W39,X39,Y39,Z39,AA39,AB39,AC39,AD39)-CHOOSE(MONTH(MES_CIERRE),C39,D39,E39,F39,G39,H39,I39,J39,K39,L39,M39,N39))/CHOOSE(MONTH(MES_CIERRE),C39,D39,E39,F39,G39,H39,I39,J39,K39,L39,M39,N39),"")</f>
        <v>-7.3103855690538636E-2</v>
      </c>
      <c r="AH39" s="288">
        <f t="shared" si="1"/>
        <v>-2.9152284024285532E-2</v>
      </c>
    </row>
    <row r="40" spans="1:34" ht="13" x14ac:dyDescent="0.3">
      <c r="A40" s="264">
        <v>64</v>
      </c>
      <c r="B40" t="s">
        <v>387</v>
      </c>
      <c r="C40" s="271">
        <v>71788.56</v>
      </c>
      <c r="D40" s="271">
        <v>112683.77</v>
      </c>
      <c r="E40" s="271">
        <v>119578.83</v>
      </c>
      <c r="F40" s="271">
        <v>105688.25</v>
      </c>
      <c r="G40" s="271">
        <v>109570.09</v>
      </c>
      <c r="H40" s="271">
        <v>112215.28</v>
      </c>
      <c r="I40" s="271">
        <v>105184.51</v>
      </c>
      <c r="J40" s="271">
        <v>108491.19</v>
      </c>
      <c r="K40" s="271">
        <v>98910.26</v>
      </c>
      <c r="L40" s="271">
        <v>95492.52</v>
      </c>
      <c r="M40" s="271">
        <v>89282.45</v>
      </c>
      <c r="N40" s="271">
        <v>93938.75</v>
      </c>
      <c r="O40" s="272">
        <f>SUM(C40:CHOOSE(MONTH(MES_CIERRE),C40,D40,E40,F40,G40,H40,I40,J40,K40,L40,M40,N40))</f>
        <v>631524.78</v>
      </c>
      <c r="Q40" s="264">
        <v>64</v>
      </c>
      <c r="R40" t="s">
        <v>387</v>
      </c>
      <c r="S40" s="271">
        <v>87830.33</v>
      </c>
      <c r="T40" s="271">
        <v>89579.87</v>
      </c>
      <c r="U40" s="271">
        <v>103950.26</v>
      </c>
      <c r="V40" s="271">
        <v>98925.06</v>
      </c>
      <c r="W40" s="271">
        <v>101671.07</v>
      </c>
      <c r="X40" s="271">
        <v>95162.61</v>
      </c>
      <c r="Y40" s="271">
        <v>0</v>
      </c>
      <c r="Z40" s="271">
        <v>0</v>
      </c>
      <c r="AA40" s="271">
        <v>0</v>
      </c>
      <c r="AB40" s="271">
        <v>0</v>
      </c>
      <c r="AC40" s="271">
        <v>0</v>
      </c>
      <c r="AD40" s="271">
        <v>0</v>
      </c>
      <c r="AE40" s="272">
        <f>SUM(S40:CHOOSE(MONTH(MES_CIERRE),S40,T40,U40,V40,W40,X40,Y40,Z40,AA40,AB40,AC40,AD40))</f>
        <v>577119.20000000007</v>
      </c>
      <c r="AG40" s="288">
        <f t="shared" si="2"/>
        <v>-0.15196388584513623</v>
      </c>
      <c r="AH40" s="288">
        <f t="shared" si="1"/>
        <v>-8.6149556950085082E-2</v>
      </c>
    </row>
    <row r="41" spans="1:34" ht="13" x14ac:dyDescent="0.3">
      <c r="A41" s="264">
        <v>65</v>
      </c>
      <c r="B41" t="s">
        <v>388</v>
      </c>
      <c r="C41" s="271">
        <v>76996.59</v>
      </c>
      <c r="D41" s="271">
        <v>68404.91</v>
      </c>
      <c r="E41" s="271">
        <v>84537.47</v>
      </c>
      <c r="F41" s="271">
        <v>73171.75</v>
      </c>
      <c r="G41" s="271">
        <v>76816.52</v>
      </c>
      <c r="H41" s="271">
        <v>74650.78</v>
      </c>
      <c r="I41" s="271">
        <v>72309.33</v>
      </c>
      <c r="J41" s="271">
        <v>79389.539999999994</v>
      </c>
      <c r="K41" s="271">
        <v>72898.8</v>
      </c>
      <c r="L41" s="271">
        <v>71754.52</v>
      </c>
      <c r="M41" s="271">
        <v>72437.320000000007</v>
      </c>
      <c r="N41" s="271">
        <v>76662.259999999995</v>
      </c>
      <c r="O41" s="272">
        <f>SUM(C41:CHOOSE(MONTH(MES_CIERRE),C41,D41,E41,F41,G41,H41,I41,J41,K41,L41,M41,N41))</f>
        <v>454578.02</v>
      </c>
      <c r="Q41" s="264">
        <v>65</v>
      </c>
      <c r="R41" t="s">
        <v>388</v>
      </c>
      <c r="S41" s="271">
        <v>73419.53</v>
      </c>
      <c r="T41" s="271">
        <v>75928.479999999996</v>
      </c>
      <c r="U41" s="271">
        <v>73822.399999999994</v>
      </c>
      <c r="V41" s="271">
        <v>71874.52</v>
      </c>
      <c r="W41" s="271">
        <v>66687.08</v>
      </c>
      <c r="X41" s="271">
        <v>67278.58</v>
      </c>
      <c r="Y41" s="271">
        <v>0</v>
      </c>
      <c r="Z41" s="271">
        <v>0</v>
      </c>
      <c r="AA41" s="271">
        <v>0</v>
      </c>
      <c r="AB41" s="271">
        <v>0</v>
      </c>
      <c r="AC41" s="271">
        <v>0</v>
      </c>
      <c r="AD41" s="271">
        <v>0</v>
      </c>
      <c r="AE41" s="272">
        <f>SUM(S41:CHOOSE(MONTH(MES_CIERRE),S41,T41,U41,V41,W41,X41,Y41,Z41,AA41,AB41,AC41,AD41))</f>
        <v>429010.59</v>
      </c>
      <c r="AG41" s="288">
        <f t="shared" si="2"/>
        <v>-9.875583349564461E-2</v>
      </c>
      <c r="AH41" s="288">
        <f t="shared" si="1"/>
        <v>-5.6244316432193513E-2</v>
      </c>
    </row>
    <row r="42" spans="1:34" ht="13" x14ac:dyDescent="0.3">
      <c r="A42" s="264">
        <v>66</v>
      </c>
      <c r="B42" t="s">
        <v>389</v>
      </c>
      <c r="C42" s="271">
        <v>86492.4</v>
      </c>
      <c r="D42" s="271">
        <v>83128.820000000007</v>
      </c>
      <c r="E42" s="271">
        <v>101068.04</v>
      </c>
      <c r="F42" s="271">
        <v>93414.22</v>
      </c>
      <c r="G42" s="271">
        <v>100160.7</v>
      </c>
      <c r="H42" s="271">
        <v>98626.31</v>
      </c>
      <c r="I42" s="271">
        <v>96114</v>
      </c>
      <c r="J42" s="271">
        <v>103612.23</v>
      </c>
      <c r="K42" s="271">
        <v>99646.22</v>
      </c>
      <c r="L42" s="271">
        <v>101027.21</v>
      </c>
      <c r="M42" s="271">
        <v>98042.93</v>
      </c>
      <c r="N42" s="271">
        <v>103610.29</v>
      </c>
      <c r="O42" s="272">
        <f>SUM(C42:CHOOSE(MONTH(MES_CIERRE),C42,D42,E42,F42,G42,H42,I42,J42,K42,L42,M42,N42))</f>
        <v>562890.49</v>
      </c>
      <c r="Q42" s="264">
        <v>66</v>
      </c>
      <c r="R42" t="s">
        <v>389</v>
      </c>
      <c r="S42" s="271">
        <v>91072.08</v>
      </c>
      <c r="T42" s="271">
        <v>93063.08</v>
      </c>
      <c r="U42" s="271">
        <v>104459.27</v>
      </c>
      <c r="V42" s="271">
        <v>98914.39</v>
      </c>
      <c r="W42" s="271">
        <v>103904.96000000001</v>
      </c>
      <c r="X42" s="271">
        <v>110032.48</v>
      </c>
      <c r="Y42" s="271">
        <v>0</v>
      </c>
      <c r="Z42" s="271">
        <v>0</v>
      </c>
      <c r="AA42" s="271">
        <v>0</v>
      </c>
      <c r="AB42" s="271">
        <v>0</v>
      </c>
      <c r="AC42" s="271">
        <v>0</v>
      </c>
      <c r="AD42" s="271">
        <v>0</v>
      </c>
      <c r="AE42" s="272">
        <f>SUM(S42:CHOOSE(MONTH(MES_CIERRE),S42,T42,U42,V42,W42,X42,Y42,Z42,AA42,AB42,AC42,AD42))</f>
        <v>601446.26</v>
      </c>
      <c r="AG42" s="288">
        <f t="shared" si="2"/>
        <v>0.115650377673057</v>
      </c>
      <c r="AH42" s="288">
        <f t="shared" si="1"/>
        <v>6.8496040855122675E-2</v>
      </c>
    </row>
    <row r="43" spans="1:34" ht="13" x14ac:dyDescent="0.3">
      <c r="A43" s="264">
        <v>67</v>
      </c>
      <c r="B43" t="s">
        <v>390</v>
      </c>
      <c r="C43" s="271">
        <v>66119.02</v>
      </c>
      <c r="D43" s="271">
        <v>65242.53</v>
      </c>
      <c r="E43" s="271">
        <v>78046.039999999994</v>
      </c>
      <c r="F43" s="271">
        <v>72145.98</v>
      </c>
      <c r="G43" s="271">
        <v>72893.69</v>
      </c>
      <c r="H43" s="271">
        <v>67520.850000000006</v>
      </c>
      <c r="I43" s="271">
        <v>68904.91</v>
      </c>
      <c r="J43" s="271">
        <v>73308.63</v>
      </c>
      <c r="K43" s="271">
        <v>67264.740000000005</v>
      </c>
      <c r="L43" s="271">
        <v>63581.32</v>
      </c>
      <c r="M43" s="271">
        <v>61700.92</v>
      </c>
      <c r="N43" s="271">
        <v>63105.25</v>
      </c>
      <c r="O43" s="272">
        <f>SUM(C43:CHOOSE(MONTH(MES_CIERRE),C43,D43,E43,F43,G43,H43,I43,J43,K43,L43,M43,N43))</f>
        <v>421968.11</v>
      </c>
      <c r="Q43" s="264">
        <v>67</v>
      </c>
      <c r="R43" t="s">
        <v>390</v>
      </c>
      <c r="S43" s="271">
        <v>66509.84</v>
      </c>
      <c r="T43" s="271">
        <v>63349.3</v>
      </c>
      <c r="U43" s="271">
        <v>74018.539999999994</v>
      </c>
      <c r="V43" s="271">
        <v>67246.509999999995</v>
      </c>
      <c r="W43" s="271">
        <v>70796.03</v>
      </c>
      <c r="X43" s="271">
        <v>67135.600000000006</v>
      </c>
      <c r="Y43" s="271">
        <v>0</v>
      </c>
      <c r="Z43" s="271">
        <v>0</v>
      </c>
      <c r="AA43" s="271">
        <v>0</v>
      </c>
      <c r="AB43" s="271">
        <v>0</v>
      </c>
      <c r="AC43" s="271">
        <v>0</v>
      </c>
      <c r="AD43" s="271">
        <v>0</v>
      </c>
      <c r="AE43" s="272">
        <f>SUM(S43:CHOOSE(MONTH(MES_CIERRE),S43,T43,U43,V43,W43,X43,Y43,Z43,AA43,AB43,AC43,AD43))</f>
        <v>409055.81999999995</v>
      </c>
      <c r="AG43" s="288">
        <f t="shared" si="2"/>
        <v>-5.7056449970638691E-3</v>
      </c>
      <c r="AH43" s="288">
        <f t="shared" si="1"/>
        <v>-3.0600156016529396E-2</v>
      </c>
    </row>
    <row r="44" spans="1:34" ht="13" x14ac:dyDescent="0.3">
      <c r="A44" s="264">
        <v>68</v>
      </c>
      <c r="B44" t="s">
        <v>391</v>
      </c>
      <c r="C44" s="271">
        <v>67684.39</v>
      </c>
      <c r="D44" s="271">
        <v>63795.839999999997</v>
      </c>
      <c r="E44" s="271">
        <v>75850.81</v>
      </c>
      <c r="F44" s="271">
        <v>65613.69</v>
      </c>
      <c r="G44" s="271">
        <v>70861.25</v>
      </c>
      <c r="H44" s="271">
        <v>72532.89</v>
      </c>
      <c r="I44" s="271">
        <v>69228.41</v>
      </c>
      <c r="J44" s="271">
        <v>69382.399999999994</v>
      </c>
      <c r="K44" s="271">
        <v>64237.5</v>
      </c>
      <c r="L44" s="271">
        <v>67150.55</v>
      </c>
      <c r="M44" s="271">
        <v>66416.710000000006</v>
      </c>
      <c r="N44" s="271">
        <v>66518.11</v>
      </c>
      <c r="O44" s="272">
        <f>SUM(C44:CHOOSE(MONTH(MES_CIERRE),C44,D44,E44,F44,G44,H44,I44,J44,K44,L44,M44,N44))</f>
        <v>416338.87</v>
      </c>
      <c r="Q44" s="264">
        <v>68</v>
      </c>
      <c r="R44" t="s">
        <v>391</v>
      </c>
      <c r="S44" s="271">
        <v>65132.44</v>
      </c>
      <c r="T44" s="271">
        <v>65553.919999999998</v>
      </c>
      <c r="U44" s="271">
        <v>71857.5</v>
      </c>
      <c r="V44" s="271">
        <v>67093.399999999994</v>
      </c>
      <c r="W44" s="271">
        <v>67638.009999999995</v>
      </c>
      <c r="X44" s="271">
        <v>59841.23</v>
      </c>
      <c r="Y44" s="271">
        <v>0</v>
      </c>
      <c r="Z44" s="271">
        <v>0</v>
      </c>
      <c r="AA44" s="271">
        <v>0</v>
      </c>
      <c r="AB44" s="271">
        <v>0</v>
      </c>
      <c r="AC44" s="271">
        <v>0</v>
      </c>
      <c r="AD44" s="271">
        <v>0</v>
      </c>
      <c r="AE44" s="272">
        <f>SUM(S44:CHOOSE(MONTH(MES_CIERRE),S44,T44,U44,V44,W44,X44,Y44,Z44,AA44,AB44,AC44,AD44))</f>
        <v>397116.5</v>
      </c>
      <c r="AG44" s="288">
        <f t="shared" si="2"/>
        <v>-0.17497799963575139</v>
      </c>
      <c r="AH44" s="288">
        <f t="shared" si="1"/>
        <v>-4.6170010501301491E-2</v>
      </c>
    </row>
    <row r="45" spans="1:34" ht="13" x14ac:dyDescent="0.3">
      <c r="A45" s="264">
        <v>78</v>
      </c>
      <c r="B45" s="111" t="s">
        <v>392</v>
      </c>
      <c r="C45" s="265">
        <v>575392.80000000005</v>
      </c>
      <c r="D45" s="265">
        <v>592324.53</v>
      </c>
      <c r="E45" s="265">
        <v>704008.52</v>
      </c>
      <c r="F45" s="265">
        <v>634439.01</v>
      </c>
      <c r="G45" s="265">
        <v>658941.36</v>
      </c>
      <c r="H45" s="265">
        <v>657419.99</v>
      </c>
      <c r="I45" s="265">
        <v>634968.5</v>
      </c>
      <c r="J45" s="265">
        <v>664336.63</v>
      </c>
      <c r="K45" s="265">
        <v>617201.21</v>
      </c>
      <c r="L45" s="265">
        <v>615483.80000000005</v>
      </c>
      <c r="M45" s="265">
        <v>589618.34</v>
      </c>
      <c r="N45" s="265">
        <v>619067.31000000006</v>
      </c>
      <c r="O45" s="265">
        <f>SUM(C45:CHOOSE(MONTH(MES_CIERRE),C45,D45,E45,F45,G45,H45,I45,J45,K45,L45,M45,N45))</f>
        <v>3822526.21</v>
      </c>
      <c r="Q45" s="264">
        <v>78</v>
      </c>
      <c r="R45" s="111" t="s">
        <v>392</v>
      </c>
      <c r="S45" s="265">
        <v>579049.59</v>
      </c>
      <c r="T45" s="265">
        <v>581853.54</v>
      </c>
      <c r="U45" s="265">
        <v>655047.16</v>
      </c>
      <c r="V45" s="265">
        <v>611444.61</v>
      </c>
      <c r="W45" s="265">
        <v>637294.91</v>
      </c>
      <c r="X45" s="265">
        <v>617272.77</v>
      </c>
      <c r="Y45" s="265">
        <v>0</v>
      </c>
      <c r="Z45" s="265">
        <v>0</v>
      </c>
      <c r="AA45" s="265">
        <v>0</v>
      </c>
      <c r="AB45" s="265">
        <v>0</v>
      </c>
      <c r="AC45" s="265">
        <v>0</v>
      </c>
      <c r="AD45" s="265">
        <v>0</v>
      </c>
      <c r="AE45" s="265">
        <f>SUM(S45:CHOOSE(MONTH(MES_CIERRE),S45,T45,U45,V45,W45,X45,Y45,Z45,AA45,AB45,AC45,AD45))</f>
        <v>3681962.58</v>
      </c>
      <c r="AG45" s="288">
        <f t="shared" si="2"/>
        <v>-6.1067841882933883E-2</v>
      </c>
      <c r="AH45" s="288">
        <f t="shared" si="1"/>
        <v>-3.6772443739502808E-2</v>
      </c>
    </row>
    <row r="46" spans="1:34" ht="13" x14ac:dyDescent="0.3">
      <c r="A46" s="264">
        <v>79</v>
      </c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65"/>
      <c r="Q46" s="264">
        <v>79</v>
      </c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65"/>
      <c r="AG46" s="288" t="str">
        <f t="shared" si="2"/>
        <v/>
      </c>
      <c r="AH46" s="288" t="str">
        <f t="shared" si="1"/>
        <v/>
      </c>
    </row>
    <row r="47" spans="1:34" ht="13" x14ac:dyDescent="0.3">
      <c r="A47" s="264">
        <v>80</v>
      </c>
      <c r="B47" s="111" t="s">
        <v>393</v>
      </c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65"/>
      <c r="Q47" s="264">
        <v>80</v>
      </c>
      <c r="R47" s="111" t="s">
        <v>393</v>
      </c>
      <c r="S47" s="213"/>
      <c r="T47" s="213"/>
      <c r="U47" s="213"/>
      <c r="V47" s="213"/>
      <c r="W47" s="213"/>
      <c r="X47" s="213"/>
      <c r="Y47" s="213"/>
      <c r="Z47" s="213"/>
      <c r="AA47" s="213"/>
      <c r="AB47" s="213"/>
      <c r="AC47" s="213"/>
      <c r="AD47" s="213"/>
      <c r="AE47" s="265"/>
      <c r="AG47" s="288" t="str">
        <f t="shared" si="2"/>
        <v/>
      </c>
      <c r="AH47" s="288" t="str">
        <f t="shared" si="1"/>
        <v/>
      </c>
    </row>
    <row r="48" spans="1:34" ht="13" x14ac:dyDescent="0.3">
      <c r="A48" s="264">
        <v>81</v>
      </c>
      <c r="B48" t="s">
        <v>394</v>
      </c>
      <c r="C48" s="271">
        <v>51592.08</v>
      </c>
      <c r="D48" s="271">
        <v>51359.49</v>
      </c>
      <c r="E48" s="271">
        <v>54646.86</v>
      </c>
      <c r="F48" s="271">
        <v>51130.99</v>
      </c>
      <c r="G48" s="271">
        <v>52431.87</v>
      </c>
      <c r="H48" s="271">
        <v>52609.97</v>
      </c>
      <c r="I48" s="271">
        <v>53054.99</v>
      </c>
      <c r="J48" s="271">
        <v>50608.959999999999</v>
      </c>
      <c r="K48" s="271">
        <v>56641.02</v>
      </c>
      <c r="L48" s="271">
        <v>51702.33</v>
      </c>
      <c r="M48" s="271">
        <v>49893.24</v>
      </c>
      <c r="N48" s="271">
        <v>51491.44</v>
      </c>
      <c r="O48" s="272">
        <f>SUM(C48:CHOOSE(MONTH(MES_CIERRE),C48,D48,E48,F48,G48,H48,I48,J48,K48,L48,M48,N48))</f>
        <v>313771.26</v>
      </c>
      <c r="Q48" s="264">
        <v>81</v>
      </c>
      <c r="R48" t="s">
        <v>394</v>
      </c>
      <c r="S48" s="271">
        <v>48906.82</v>
      </c>
      <c r="T48" s="271">
        <v>54823</v>
      </c>
      <c r="U48" s="271">
        <v>52562.64</v>
      </c>
      <c r="V48" s="271">
        <v>48607.19</v>
      </c>
      <c r="W48" s="271">
        <v>49471.24</v>
      </c>
      <c r="X48" s="271">
        <v>43847.51</v>
      </c>
      <c r="Y48" s="271">
        <v>0</v>
      </c>
      <c r="Z48" s="271">
        <v>0</v>
      </c>
      <c r="AA48" s="271">
        <v>0</v>
      </c>
      <c r="AB48" s="271">
        <v>0</v>
      </c>
      <c r="AC48" s="271">
        <v>0</v>
      </c>
      <c r="AD48" s="271">
        <v>0</v>
      </c>
      <c r="AE48" s="272">
        <f>SUM(S48:CHOOSE(MONTH(MES_CIERRE),S48,T48,U48,V48,W48,X48,Y48,Z48,AA48,AB48,AC48,AD48))</f>
        <v>298218.40000000002</v>
      </c>
      <c r="AG48" s="288">
        <f t="shared" si="2"/>
        <v>-0.16655512253665986</v>
      </c>
      <c r="AH48" s="288">
        <f t="shared" si="1"/>
        <v>-4.956750978403817E-2</v>
      </c>
    </row>
    <row r="49" spans="1:34" ht="13" x14ac:dyDescent="0.3">
      <c r="A49" s="264">
        <v>82</v>
      </c>
      <c r="B49" t="s">
        <v>395</v>
      </c>
      <c r="C49" s="271">
        <v>62777.01</v>
      </c>
      <c r="D49" s="271">
        <v>61129.07</v>
      </c>
      <c r="E49" s="271">
        <v>67254.17</v>
      </c>
      <c r="F49" s="271">
        <v>63151.46</v>
      </c>
      <c r="G49" s="271">
        <v>65915.44</v>
      </c>
      <c r="H49" s="271">
        <v>67707.33</v>
      </c>
      <c r="I49" s="271">
        <v>61807.59</v>
      </c>
      <c r="J49" s="271">
        <v>59313.22</v>
      </c>
      <c r="K49" s="271">
        <v>67842.19</v>
      </c>
      <c r="L49" s="271">
        <v>67144.5</v>
      </c>
      <c r="M49" s="271">
        <v>64479.99</v>
      </c>
      <c r="N49" s="271">
        <v>70677.149999999994</v>
      </c>
      <c r="O49" s="272">
        <f>SUM(C49:CHOOSE(MONTH(MES_CIERRE),C49,D49,E49,F49,G49,H49,I49,J49,K49,L49,M49,N49))</f>
        <v>387934.48000000004</v>
      </c>
      <c r="Q49" s="264">
        <v>82</v>
      </c>
      <c r="R49" t="s">
        <v>395</v>
      </c>
      <c r="S49" s="271">
        <v>58938.85</v>
      </c>
      <c r="T49" s="271">
        <v>60748.160000000003</v>
      </c>
      <c r="U49" s="271">
        <v>71397.149999999994</v>
      </c>
      <c r="V49" s="271">
        <v>61802.75</v>
      </c>
      <c r="W49" s="271">
        <v>68383.59</v>
      </c>
      <c r="X49" s="271">
        <v>55613.919999999998</v>
      </c>
      <c r="Y49" s="271">
        <v>0</v>
      </c>
      <c r="Z49" s="271">
        <v>0</v>
      </c>
      <c r="AA49" s="271">
        <v>0</v>
      </c>
      <c r="AB49" s="271">
        <v>0</v>
      </c>
      <c r="AC49" s="271">
        <v>0</v>
      </c>
      <c r="AD49" s="271">
        <v>0</v>
      </c>
      <c r="AE49" s="272">
        <f>SUM(S49:CHOOSE(MONTH(MES_CIERRE),S49,T49,U49,V49,W49,X49,Y49,Z49,AA49,AB49,AC49,AD49))</f>
        <v>376884.42</v>
      </c>
      <c r="AG49" s="288">
        <f t="shared" si="2"/>
        <v>-0.17861300984693981</v>
      </c>
      <c r="AH49" s="288">
        <f t="shared" si="1"/>
        <v>-2.8484346119478875E-2</v>
      </c>
    </row>
    <row r="50" spans="1:34" ht="13" x14ac:dyDescent="0.3">
      <c r="A50" s="264">
        <v>83</v>
      </c>
      <c r="B50" t="s">
        <v>396</v>
      </c>
      <c r="C50" s="271">
        <v>48539.33</v>
      </c>
      <c r="D50" s="271">
        <v>41425.29</v>
      </c>
      <c r="E50" s="271">
        <v>49824.84</v>
      </c>
      <c r="F50" s="271">
        <v>44526.62</v>
      </c>
      <c r="G50" s="271">
        <v>43630.63</v>
      </c>
      <c r="H50" s="271">
        <v>46127.08</v>
      </c>
      <c r="I50" s="271">
        <v>38241.08</v>
      </c>
      <c r="J50" s="271">
        <v>40107.5</v>
      </c>
      <c r="K50" s="271">
        <v>39395.49</v>
      </c>
      <c r="L50" s="271">
        <v>44336.77</v>
      </c>
      <c r="M50" s="271">
        <v>41869.599999999999</v>
      </c>
      <c r="N50" s="271">
        <v>43072.800000000003</v>
      </c>
      <c r="O50" s="272">
        <f>SUM(C50:CHOOSE(MONTH(MES_CIERRE),C50,D50,E50,F50,G50,H50,I50,J50,K50,L50,M50,N50))</f>
        <v>274073.78999999998</v>
      </c>
      <c r="Q50" s="264">
        <v>83</v>
      </c>
      <c r="R50" t="s">
        <v>396</v>
      </c>
      <c r="S50" s="271">
        <v>37349.629999999997</v>
      </c>
      <c r="T50" s="271">
        <v>39164.65</v>
      </c>
      <c r="U50" s="271">
        <v>44677.55</v>
      </c>
      <c r="V50" s="271">
        <v>40827.94</v>
      </c>
      <c r="W50" s="271">
        <v>42748.72</v>
      </c>
      <c r="X50" s="271">
        <v>40771.4</v>
      </c>
      <c r="Y50" s="271">
        <v>0</v>
      </c>
      <c r="Z50" s="271">
        <v>0</v>
      </c>
      <c r="AA50" s="271">
        <v>0</v>
      </c>
      <c r="AB50" s="271">
        <v>0</v>
      </c>
      <c r="AC50" s="271">
        <v>0</v>
      </c>
      <c r="AD50" s="271">
        <v>0</v>
      </c>
      <c r="AE50" s="272">
        <f>SUM(S50:CHOOSE(MONTH(MES_CIERRE),S50,T50,U50,V50,W50,X50,Y50,Z50,AA50,AB50,AC50,AD50))</f>
        <v>245539.89</v>
      </c>
      <c r="AG50" s="288">
        <f t="shared" si="2"/>
        <v>-0.11610706769212359</v>
      </c>
      <c r="AH50" s="288">
        <f t="shared" si="1"/>
        <v>-0.10411028358457759</v>
      </c>
    </row>
    <row r="51" spans="1:34" ht="13" x14ac:dyDescent="0.3">
      <c r="A51" s="264">
        <v>84</v>
      </c>
      <c r="B51" t="s">
        <v>397</v>
      </c>
      <c r="C51" s="271">
        <v>41881.86</v>
      </c>
      <c r="D51" s="271">
        <v>36570.080000000002</v>
      </c>
      <c r="E51" s="271">
        <v>42445.29</v>
      </c>
      <c r="F51" s="271">
        <v>37267.25</v>
      </c>
      <c r="G51" s="271">
        <v>38444.86</v>
      </c>
      <c r="H51" s="271">
        <v>40665.129999999997</v>
      </c>
      <c r="I51" s="271">
        <v>36104.74</v>
      </c>
      <c r="J51" s="271">
        <v>35806.43</v>
      </c>
      <c r="K51" s="271">
        <v>39620.18</v>
      </c>
      <c r="L51" s="271">
        <v>41251.07</v>
      </c>
      <c r="M51" s="271">
        <v>35378.43</v>
      </c>
      <c r="N51" s="271">
        <v>41476.910000000003</v>
      </c>
      <c r="O51" s="272">
        <f>SUM(C51:CHOOSE(MONTH(MES_CIERRE),C51,D51,E51,F51,G51,H51,I51,J51,K51,L51,M51,N51))</f>
        <v>237274.47000000003</v>
      </c>
      <c r="Q51" s="264">
        <v>84</v>
      </c>
      <c r="R51" t="s">
        <v>397</v>
      </c>
      <c r="S51" s="271">
        <v>34487.33</v>
      </c>
      <c r="T51" s="271">
        <v>38536.26</v>
      </c>
      <c r="U51" s="271">
        <v>44245.919999999998</v>
      </c>
      <c r="V51" s="271">
        <v>34004.160000000003</v>
      </c>
      <c r="W51" s="271">
        <v>37902.07</v>
      </c>
      <c r="X51" s="271">
        <v>36732.99</v>
      </c>
      <c r="Y51" s="271">
        <v>0</v>
      </c>
      <c r="Z51" s="271">
        <v>0</v>
      </c>
      <c r="AA51" s="271">
        <v>0</v>
      </c>
      <c r="AB51" s="271">
        <v>0</v>
      </c>
      <c r="AC51" s="271">
        <v>0</v>
      </c>
      <c r="AD51" s="271">
        <v>0</v>
      </c>
      <c r="AE51" s="272">
        <f>SUM(S51:CHOOSE(MONTH(MES_CIERRE),S51,T51,U51,V51,W51,X51,Y51,Z51,AA51,AB51,AC51,AD51))</f>
        <v>225908.72999999998</v>
      </c>
      <c r="AG51" s="288">
        <f t="shared" si="2"/>
        <v>-9.6695621039450744E-2</v>
      </c>
      <c r="AH51" s="288">
        <f t="shared" si="1"/>
        <v>-4.7901234380589061E-2</v>
      </c>
    </row>
    <row r="52" spans="1:34" ht="13" x14ac:dyDescent="0.3">
      <c r="A52" s="264">
        <v>85</v>
      </c>
      <c r="B52" t="s">
        <v>398</v>
      </c>
      <c r="C52" s="271">
        <v>45467.31</v>
      </c>
      <c r="D52" s="271">
        <v>41364.06</v>
      </c>
      <c r="E52" s="271">
        <v>49561.55</v>
      </c>
      <c r="F52" s="271">
        <v>44547.77</v>
      </c>
      <c r="G52" s="271">
        <v>47352.69</v>
      </c>
      <c r="H52" s="271">
        <v>44971.53</v>
      </c>
      <c r="I52" s="271">
        <v>43591.24</v>
      </c>
      <c r="J52" s="271">
        <v>40641.21</v>
      </c>
      <c r="K52" s="271">
        <v>40381.699999999997</v>
      </c>
      <c r="L52" s="271">
        <v>41072.65</v>
      </c>
      <c r="M52" s="271">
        <v>38681.300000000003</v>
      </c>
      <c r="N52" s="271">
        <v>44258.2</v>
      </c>
      <c r="O52" s="272">
        <f>SUM(C52:CHOOSE(MONTH(MES_CIERRE),C52,D52,E52,F52,G52,H52,I52,J52,K52,L52,M52,N52))</f>
        <v>273264.90999999997</v>
      </c>
      <c r="Q52" s="264">
        <v>85</v>
      </c>
      <c r="R52" t="s">
        <v>398</v>
      </c>
      <c r="S52" s="271">
        <v>39486.559999999998</v>
      </c>
      <c r="T52" s="271">
        <v>42207.02</v>
      </c>
      <c r="U52" s="271">
        <v>49749.5</v>
      </c>
      <c r="V52" s="271">
        <v>41510.300000000003</v>
      </c>
      <c r="W52" s="271">
        <v>46190.53</v>
      </c>
      <c r="X52" s="271">
        <v>42236.24</v>
      </c>
      <c r="Y52" s="271">
        <v>0</v>
      </c>
      <c r="Z52" s="271">
        <v>0</v>
      </c>
      <c r="AA52" s="271">
        <v>0</v>
      </c>
      <c r="AB52" s="271">
        <v>0</v>
      </c>
      <c r="AC52" s="271">
        <v>0</v>
      </c>
      <c r="AD52" s="271">
        <v>0</v>
      </c>
      <c r="AE52" s="272">
        <f>SUM(S52:CHOOSE(MONTH(MES_CIERRE),S52,T52,U52,V52,W52,X52,Y52,Z52,AA52,AB52,AC52,AD52))</f>
        <v>261380.15</v>
      </c>
      <c r="AG52" s="288">
        <f t="shared" si="2"/>
        <v>-6.0822702718809012E-2</v>
      </c>
      <c r="AH52" s="288">
        <f t="shared" si="1"/>
        <v>-4.3491716517865327E-2</v>
      </c>
    </row>
    <row r="53" spans="1:34" ht="13" x14ac:dyDescent="0.3">
      <c r="A53" s="264">
        <v>88</v>
      </c>
      <c r="B53" s="111" t="s">
        <v>399</v>
      </c>
      <c r="C53" s="265">
        <v>250257.59</v>
      </c>
      <c r="D53" s="265">
        <v>231847.99</v>
      </c>
      <c r="E53" s="265">
        <v>263732.71000000002</v>
      </c>
      <c r="F53" s="265">
        <v>240624.09</v>
      </c>
      <c r="G53" s="265">
        <v>247775.49</v>
      </c>
      <c r="H53" s="265">
        <v>252081.04</v>
      </c>
      <c r="I53" s="265">
        <v>232799.64</v>
      </c>
      <c r="J53" s="265">
        <v>226477.32</v>
      </c>
      <c r="K53" s="265">
        <v>243880.58</v>
      </c>
      <c r="L53" s="265">
        <v>245507.32</v>
      </c>
      <c r="M53" s="265">
        <v>230302.56</v>
      </c>
      <c r="N53" s="265">
        <v>250976.5</v>
      </c>
      <c r="O53" s="265">
        <f>SUM(C53:CHOOSE(MONTH(MES_CIERRE),C53,D53,E53,F53,G53,H53,I53,J53,K53,L53,M53,N53))</f>
        <v>1486318.9100000001</v>
      </c>
      <c r="Q53" s="264">
        <v>88</v>
      </c>
      <c r="R53" s="111" t="s">
        <v>399</v>
      </c>
      <c r="S53" s="265">
        <v>219169.19</v>
      </c>
      <c r="T53" s="265">
        <v>235479.09</v>
      </c>
      <c r="U53" s="265">
        <v>262632.76</v>
      </c>
      <c r="V53" s="265">
        <v>226752.34</v>
      </c>
      <c r="W53" s="265">
        <v>244696.15</v>
      </c>
      <c r="X53" s="265">
        <v>219202.06</v>
      </c>
      <c r="Y53" s="265">
        <v>0</v>
      </c>
      <c r="Z53" s="265">
        <v>0</v>
      </c>
      <c r="AA53" s="265">
        <v>0</v>
      </c>
      <c r="AB53" s="265">
        <v>0</v>
      </c>
      <c r="AC53" s="265">
        <v>0</v>
      </c>
      <c r="AD53" s="265">
        <v>0</v>
      </c>
      <c r="AE53" s="265">
        <f>SUM(S53:CHOOSE(MONTH(MES_CIERRE),S53,T53,U53,V53,W53,X53,Y53,Z53,AA53,AB53,AC53,AD53))</f>
        <v>1407931.59</v>
      </c>
      <c r="AG53" s="288">
        <f t="shared" si="2"/>
        <v>-0.13043019816167059</v>
      </c>
      <c r="AH53" s="288">
        <f t="shared" si="1"/>
        <v>-5.2739233466389833E-2</v>
      </c>
    </row>
    <row r="54" spans="1:34" ht="13" x14ac:dyDescent="0.3">
      <c r="A54" s="264">
        <v>89</v>
      </c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65"/>
      <c r="Q54" s="264">
        <v>89</v>
      </c>
      <c r="S54" s="213"/>
      <c r="T54" s="213"/>
      <c r="U54" s="213"/>
      <c r="V54" s="213"/>
      <c r="W54" s="213"/>
      <c r="X54" s="213"/>
      <c r="Y54" s="213"/>
      <c r="Z54" s="213"/>
      <c r="AA54" s="213"/>
      <c r="AB54" s="213"/>
      <c r="AC54" s="213"/>
      <c r="AD54" s="213"/>
      <c r="AE54" s="265"/>
      <c r="AG54" s="288" t="str">
        <f t="shared" si="2"/>
        <v/>
      </c>
      <c r="AH54" s="288" t="str">
        <f t="shared" si="1"/>
        <v/>
      </c>
    </row>
    <row r="55" spans="1:34" ht="13" x14ac:dyDescent="0.3">
      <c r="A55" s="264">
        <v>100</v>
      </c>
      <c r="B55" s="111" t="s">
        <v>400</v>
      </c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3"/>
      <c r="O55" s="265"/>
      <c r="Q55" s="264">
        <v>100</v>
      </c>
      <c r="R55" s="111" t="s">
        <v>400</v>
      </c>
      <c r="S55" s="213"/>
      <c r="T55" s="213"/>
      <c r="U55" s="213"/>
      <c r="V55" s="213"/>
      <c r="W55" s="213"/>
      <c r="X55" s="213"/>
      <c r="Y55" s="213"/>
      <c r="Z55" s="213"/>
      <c r="AA55" s="213"/>
      <c r="AB55" s="213"/>
      <c r="AC55" s="213"/>
      <c r="AD55" s="213"/>
      <c r="AE55" s="265"/>
      <c r="AG55" s="288" t="str">
        <f t="shared" si="2"/>
        <v/>
      </c>
      <c r="AH55" s="288" t="str">
        <f t="shared" si="1"/>
        <v/>
      </c>
    </row>
    <row r="56" spans="1:34" ht="13" x14ac:dyDescent="0.3">
      <c r="A56" s="264">
        <v>101</v>
      </c>
      <c r="B56" t="s">
        <v>401</v>
      </c>
      <c r="C56" s="271">
        <v>54927.56</v>
      </c>
      <c r="D56" s="271">
        <v>57915.01</v>
      </c>
      <c r="E56" s="271">
        <v>64876.74</v>
      </c>
      <c r="F56" s="271">
        <v>60145.89</v>
      </c>
      <c r="G56" s="271">
        <v>59493.65</v>
      </c>
      <c r="H56" s="271">
        <v>58397.11</v>
      </c>
      <c r="I56" s="271">
        <v>57758.94</v>
      </c>
      <c r="J56" s="271">
        <v>58729.73</v>
      </c>
      <c r="K56" s="271">
        <v>58188.67</v>
      </c>
      <c r="L56" s="271">
        <v>57243.34</v>
      </c>
      <c r="M56" s="271">
        <v>57577.26</v>
      </c>
      <c r="N56" s="271">
        <v>63566.89</v>
      </c>
      <c r="O56" s="272">
        <f>SUM(C56:CHOOSE(MONTH(MES_CIERRE),C56,D56,E56,F56,G56,H56,I56,J56,K56,L56,M56,N56))</f>
        <v>355755.96</v>
      </c>
      <c r="Q56" s="264">
        <v>101</v>
      </c>
      <c r="R56" t="s">
        <v>401</v>
      </c>
      <c r="S56" s="271">
        <v>54465.1</v>
      </c>
      <c r="T56" s="271">
        <v>56399.4</v>
      </c>
      <c r="U56" s="271">
        <v>62053.39</v>
      </c>
      <c r="V56" s="271">
        <v>54742.42</v>
      </c>
      <c r="W56" s="271">
        <v>60977.42</v>
      </c>
      <c r="X56" s="271">
        <v>55944.480000000003</v>
      </c>
      <c r="Y56" s="271">
        <v>0</v>
      </c>
      <c r="Z56" s="271">
        <v>0</v>
      </c>
      <c r="AA56" s="271">
        <v>0</v>
      </c>
      <c r="AB56" s="271">
        <v>0</v>
      </c>
      <c r="AC56" s="271">
        <v>0</v>
      </c>
      <c r="AD56" s="271">
        <v>0</v>
      </c>
      <c r="AE56" s="272">
        <f>SUM(S56:CHOOSE(MONTH(MES_CIERRE),S56,T56,U56,V56,W56,X56,Y56,Z56,AA56,AB56,AC56,AD56))</f>
        <v>344582.20999999996</v>
      </c>
      <c r="AG56" s="288">
        <f t="shared" si="2"/>
        <v>-4.19991674245523E-2</v>
      </c>
      <c r="AH56" s="288">
        <f t="shared" si="1"/>
        <v>-3.1408468884119488E-2</v>
      </c>
    </row>
    <row r="57" spans="1:34" ht="13" x14ac:dyDescent="0.3">
      <c r="A57" s="264">
        <v>102</v>
      </c>
      <c r="B57" t="s">
        <v>402</v>
      </c>
      <c r="C57" s="271">
        <v>58764.92</v>
      </c>
      <c r="D57" s="271">
        <v>59362.25</v>
      </c>
      <c r="E57" s="271">
        <v>67365.62</v>
      </c>
      <c r="F57" s="271">
        <v>59910.6</v>
      </c>
      <c r="G57" s="271">
        <v>60142.11</v>
      </c>
      <c r="H57" s="271">
        <v>57982.55</v>
      </c>
      <c r="I57" s="271">
        <v>56996.69</v>
      </c>
      <c r="J57" s="271">
        <v>55155.59</v>
      </c>
      <c r="K57" s="271">
        <v>57158</v>
      </c>
      <c r="L57" s="271">
        <v>54114.16</v>
      </c>
      <c r="M57" s="271">
        <v>48309.07</v>
      </c>
      <c r="N57" s="271">
        <v>51161.9</v>
      </c>
      <c r="O57" s="272">
        <f>SUM(C57:CHOOSE(MONTH(MES_CIERRE),C57,D57,E57,F57,G57,H57,I57,J57,K57,L57,M57,N57))</f>
        <v>363528.05</v>
      </c>
      <c r="Q57" s="264">
        <v>102</v>
      </c>
      <c r="R57" t="s">
        <v>402</v>
      </c>
      <c r="S57" s="271">
        <v>42566.28</v>
      </c>
      <c r="T57" s="271">
        <v>52115.12</v>
      </c>
      <c r="U57" s="271">
        <v>60792.38</v>
      </c>
      <c r="V57" s="271">
        <v>50647.83</v>
      </c>
      <c r="W57" s="271">
        <v>60040.42</v>
      </c>
      <c r="X57" s="271">
        <v>54666.38</v>
      </c>
      <c r="Y57" s="271">
        <v>0</v>
      </c>
      <c r="Z57" s="271">
        <v>0</v>
      </c>
      <c r="AA57" s="271">
        <v>0</v>
      </c>
      <c r="AB57" s="271">
        <v>0</v>
      </c>
      <c r="AC57" s="271">
        <v>0</v>
      </c>
      <c r="AD57" s="271">
        <v>0</v>
      </c>
      <c r="AE57" s="272">
        <f>SUM(S57:CHOOSE(MONTH(MES_CIERRE),S57,T57,U57,V57,W57,X57,Y57,Z57,AA57,AB57,AC57,AD57))</f>
        <v>320828.40999999997</v>
      </c>
      <c r="AG57" s="288">
        <f t="shared" si="2"/>
        <v>-5.7192551897079474E-2</v>
      </c>
      <c r="AH57" s="288">
        <f t="shared" si="1"/>
        <v>-0.11745899663038387</v>
      </c>
    </row>
    <row r="58" spans="1:34" ht="13" x14ac:dyDescent="0.3">
      <c r="A58" s="264">
        <v>103</v>
      </c>
      <c r="B58" t="s">
        <v>403</v>
      </c>
      <c r="C58" s="271">
        <v>86822.7</v>
      </c>
      <c r="D58" s="271">
        <v>83637.509999999995</v>
      </c>
      <c r="E58" s="271">
        <v>92813.52</v>
      </c>
      <c r="F58" s="271">
        <v>85765.58</v>
      </c>
      <c r="G58" s="271">
        <v>94824.86</v>
      </c>
      <c r="H58" s="271">
        <v>87376.3</v>
      </c>
      <c r="I58" s="271">
        <v>81133.08</v>
      </c>
      <c r="J58" s="271">
        <v>86719.45</v>
      </c>
      <c r="K58" s="271">
        <v>92023.54</v>
      </c>
      <c r="L58" s="271">
        <v>86804.72</v>
      </c>
      <c r="M58" s="271">
        <v>83379.56</v>
      </c>
      <c r="N58" s="271">
        <v>89527.87</v>
      </c>
      <c r="O58" s="272">
        <f>SUM(C58:CHOOSE(MONTH(MES_CIERRE),C58,D58,E58,F58,G58,H58,I58,J58,K58,L58,M58,N58))</f>
        <v>531240.47</v>
      </c>
      <c r="Q58" s="264">
        <v>103</v>
      </c>
      <c r="R58" t="s">
        <v>403</v>
      </c>
      <c r="S58" s="271">
        <v>76646.460000000006</v>
      </c>
      <c r="T58" s="271">
        <v>81298.28</v>
      </c>
      <c r="U58" s="271">
        <v>90042.880000000005</v>
      </c>
      <c r="V58" s="271">
        <v>76921.25</v>
      </c>
      <c r="W58" s="271">
        <v>88743.57</v>
      </c>
      <c r="X58" s="271">
        <v>75798.2</v>
      </c>
      <c r="Y58" s="271">
        <v>0</v>
      </c>
      <c r="Z58" s="271">
        <v>0</v>
      </c>
      <c r="AA58" s="271">
        <v>0</v>
      </c>
      <c r="AB58" s="271">
        <v>0</v>
      </c>
      <c r="AC58" s="271">
        <v>0</v>
      </c>
      <c r="AD58" s="271">
        <v>0</v>
      </c>
      <c r="AE58" s="272">
        <f>SUM(S58:CHOOSE(MONTH(MES_CIERRE),S58,T58,U58,V58,W58,X58,Y58,Z58,AA58,AB58,AC58,AD58))</f>
        <v>489450.64</v>
      </c>
      <c r="AG58" s="288">
        <f t="shared" si="2"/>
        <v>-0.13250847197695492</v>
      </c>
      <c r="AH58" s="288">
        <f t="shared" si="1"/>
        <v>-7.8664620562510904E-2</v>
      </c>
    </row>
    <row r="59" spans="1:34" ht="13" x14ac:dyDescent="0.3">
      <c r="A59" s="264">
        <v>104</v>
      </c>
      <c r="B59" t="s">
        <v>404</v>
      </c>
      <c r="C59" s="271">
        <v>63606.13</v>
      </c>
      <c r="D59" s="271">
        <v>65803.570000000007</v>
      </c>
      <c r="E59" s="271">
        <v>81278.899999999994</v>
      </c>
      <c r="F59" s="271">
        <v>67240.59</v>
      </c>
      <c r="G59" s="271">
        <v>72552.19</v>
      </c>
      <c r="H59" s="271">
        <v>75991.929999999993</v>
      </c>
      <c r="I59" s="271">
        <v>70796.36</v>
      </c>
      <c r="J59" s="271">
        <v>65763.83</v>
      </c>
      <c r="K59" s="271">
        <v>66987.100000000006</v>
      </c>
      <c r="L59" s="271">
        <v>61094.45</v>
      </c>
      <c r="M59" s="271">
        <v>58658.62</v>
      </c>
      <c r="N59" s="271">
        <v>63896.92</v>
      </c>
      <c r="O59" s="272">
        <f>SUM(C59:CHOOSE(MONTH(MES_CIERRE),C59,D59,E59,F59,G59,H59,I59,J59,K59,L59,M59,N59))</f>
        <v>426473.31</v>
      </c>
      <c r="Q59" s="264">
        <v>104</v>
      </c>
      <c r="R59" t="s">
        <v>404</v>
      </c>
      <c r="S59" s="271">
        <v>52644.53</v>
      </c>
      <c r="T59" s="271">
        <v>58079.83</v>
      </c>
      <c r="U59" s="271">
        <v>72382.87</v>
      </c>
      <c r="V59" s="271">
        <v>61982.48</v>
      </c>
      <c r="W59" s="271">
        <v>73192.92</v>
      </c>
      <c r="X59" s="271">
        <v>67100.97</v>
      </c>
      <c r="Y59" s="271">
        <v>0</v>
      </c>
      <c r="Z59" s="271">
        <v>0</v>
      </c>
      <c r="AA59" s="271">
        <v>0</v>
      </c>
      <c r="AB59" s="271">
        <v>0</v>
      </c>
      <c r="AC59" s="271">
        <v>0</v>
      </c>
      <c r="AD59" s="271">
        <v>0</v>
      </c>
      <c r="AE59" s="272">
        <f>SUM(S59:CHOOSE(MONTH(MES_CIERRE),S59,T59,U59,V59,W59,X59,Y59,Z59,AA59,AB59,AC59,AD59))</f>
        <v>385383.6</v>
      </c>
      <c r="AG59" s="288">
        <f t="shared" si="2"/>
        <v>-0.11699873920822899</v>
      </c>
      <c r="AH59" s="288">
        <f t="shared" si="1"/>
        <v>-9.6347670619762862E-2</v>
      </c>
    </row>
    <row r="60" spans="1:34" ht="13" x14ac:dyDescent="0.3">
      <c r="A60" s="264">
        <v>105</v>
      </c>
      <c r="B60" t="s">
        <v>405</v>
      </c>
      <c r="C60" s="271">
        <v>51144.39</v>
      </c>
      <c r="D60" s="271">
        <v>48386.99</v>
      </c>
      <c r="E60" s="271">
        <v>54533.39</v>
      </c>
      <c r="F60" s="271">
        <v>49001.26</v>
      </c>
      <c r="G60" s="271">
        <v>51293.279999999999</v>
      </c>
      <c r="H60" s="271">
        <v>49090.84</v>
      </c>
      <c r="I60" s="271">
        <v>47708.24</v>
      </c>
      <c r="J60" s="271">
        <v>48905.23</v>
      </c>
      <c r="K60" s="271">
        <v>46187.68</v>
      </c>
      <c r="L60" s="271">
        <v>47741.59</v>
      </c>
      <c r="M60" s="271">
        <v>48329.7</v>
      </c>
      <c r="N60" s="271">
        <v>45015.43</v>
      </c>
      <c r="O60" s="272">
        <f>SUM(C60:CHOOSE(MONTH(MES_CIERRE),C60,D60,E60,F60,G60,H60,I60,J60,K60,L60,M60,N60))</f>
        <v>303450.15000000002</v>
      </c>
      <c r="Q60" s="264">
        <v>105</v>
      </c>
      <c r="R60" t="s">
        <v>405</v>
      </c>
      <c r="S60" s="271">
        <v>41879.980000000003</v>
      </c>
      <c r="T60" s="271">
        <v>42178.17</v>
      </c>
      <c r="U60" s="271">
        <v>52549.77</v>
      </c>
      <c r="V60" s="271">
        <v>47649.48</v>
      </c>
      <c r="W60" s="271">
        <v>49214.69</v>
      </c>
      <c r="X60" s="271">
        <v>48905.22</v>
      </c>
      <c r="Y60" s="271">
        <v>0</v>
      </c>
      <c r="Z60" s="271">
        <v>0</v>
      </c>
      <c r="AA60" s="271">
        <v>0</v>
      </c>
      <c r="AB60" s="271">
        <v>0</v>
      </c>
      <c r="AC60" s="271">
        <v>0</v>
      </c>
      <c r="AD60" s="271">
        <v>0</v>
      </c>
      <c r="AE60" s="272">
        <f>SUM(S60:CHOOSE(MONTH(MES_CIERRE),S60,T60,U60,V60,W60,X60,Y60,Z60,AA60,AB60,AC60,AD60))</f>
        <v>282377.31</v>
      </c>
      <c r="AG60" s="288">
        <f t="shared" si="2"/>
        <v>-3.7811534697714554E-3</v>
      </c>
      <c r="AH60" s="288">
        <f t="shared" si="1"/>
        <v>-6.9444157467050266E-2</v>
      </c>
    </row>
    <row r="61" spans="1:34" ht="13" x14ac:dyDescent="0.3">
      <c r="A61" s="264">
        <v>108</v>
      </c>
      <c r="B61" s="111" t="s">
        <v>406</v>
      </c>
      <c r="C61" s="265">
        <v>315265.7</v>
      </c>
      <c r="D61" s="265">
        <v>315105.33</v>
      </c>
      <c r="E61" s="265">
        <v>360868.17</v>
      </c>
      <c r="F61" s="265">
        <v>322063.92</v>
      </c>
      <c r="G61" s="265">
        <v>338306.09</v>
      </c>
      <c r="H61" s="265">
        <v>328838.73</v>
      </c>
      <c r="I61" s="265">
        <v>314393.31</v>
      </c>
      <c r="J61" s="265">
        <v>315273.83</v>
      </c>
      <c r="K61" s="265">
        <v>320544.99</v>
      </c>
      <c r="L61" s="265">
        <v>306998.26</v>
      </c>
      <c r="M61" s="265">
        <v>296254.21000000002</v>
      </c>
      <c r="N61" s="265">
        <v>313169.01</v>
      </c>
      <c r="O61" s="265">
        <f>SUM(C61:CHOOSE(MONTH(MES_CIERRE),C61,D61,E61,F61,G61,H61,I61,J61,K61,L61,M61,N61))</f>
        <v>1980447.94</v>
      </c>
      <c r="Q61" s="264">
        <v>108</v>
      </c>
      <c r="R61" s="111" t="s">
        <v>406</v>
      </c>
      <c r="S61" s="265">
        <v>268202.34999999998</v>
      </c>
      <c r="T61" s="265">
        <v>290070.8</v>
      </c>
      <c r="U61" s="265">
        <v>337821.29</v>
      </c>
      <c r="V61" s="265">
        <v>291943.46000000002</v>
      </c>
      <c r="W61" s="265">
        <v>332169.02</v>
      </c>
      <c r="X61" s="265">
        <v>302415.25</v>
      </c>
      <c r="Y61" s="265">
        <v>0</v>
      </c>
      <c r="Z61" s="265">
        <v>0</v>
      </c>
      <c r="AA61" s="265">
        <v>0</v>
      </c>
      <c r="AB61" s="265">
        <v>0</v>
      </c>
      <c r="AC61" s="265">
        <v>0</v>
      </c>
      <c r="AD61" s="265">
        <v>0</v>
      </c>
      <c r="AE61" s="265">
        <f>SUM(S61:CHOOSE(MONTH(MES_CIERRE),S61,T61,U61,V61,W61,X61,Y61,Z61,AA61,AB61,AC61,AD61))</f>
        <v>1822622.17</v>
      </c>
      <c r="AG61" s="288">
        <f t="shared" si="2"/>
        <v>-8.0353916948894627E-2</v>
      </c>
      <c r="AH61" s="288">
        <f t="shared" si="1"/>
        <v>-7.9691955952146884E-2</v>
      </c>
    </row>
    <row r="62" spans="1:34" ht="13" x14ac:dyDescent="0.3">
      <c r="A62" s="264">
        <v>196</v>
      </c>
      <c r="C62" s="213"/>
      <c r="D62" s="213"/>
      <c r="E62" s="213"/>
      <c r="F62" s="213"/>
      <c r="G62" s="213"/>
      <c r="H62" s="213"/>
      <c r="I62" s="213"/>
      <c r="J62" s="213"/>
      <c r="K62" s="213"/>
      <c r="L62" s="213"/>
      <c r="M62" s="213"/>
      <c r="N62" s="213"/>
      <c r="O62" s="265"/>
      <c r="Q62" s="264">
        <v>196</v>
      </c>
      <c r="S62" s="213"/>
      <c r="T62" s="213"/>
      <c r="U62" s="213"/>
      <c r="V62" s="213"/>
      <c r="W62" s="213"/>
      <c r="X62" s="213"/>
      <c r="Y62" s="213"/>
      <c r="Z62" s="213"/>
      <c r="AA62" s="213"/>
      <c r="AB62" s="213"/>
      <c r="AC62" s="213"/>
      <c r="AD62" s="213"/>
      <c r="AE62" s="265"/>
      <c r="AG62" s="288" t="str">
        <f t="shared" si="2"/>
        <v/>
      </c>
      <c r="AH62" s="288" t="str">
        <f t="shared" si="1"/>
        <v/>
      </c>
    </row>
    <row r="63" spans="1:34" ht="13" x14ac:dyDescent="0.3">
      <c r="A63" s="264">
        <v>197</v>
      </c>
      <c r="C63" s="213"/>
      <c r="D63" s="213"/>
      <c r="E63" s="213"/>
      <c r="F63" s="213"/>
      <c r="G63" s="213"/>
      <c r="H63" s="213"/>
      <c r="I63" s="213"/>
      <c r="J63" s="213"/>
      <c r="K63" s="213"/>
      <c r="L63" s="213"/>
      <c r="M63" s="213"/>
      <c r="N63" s="213"/>
      <c r="O63" s="265"/>
      <c r="Q63" s="264">
        <v>197</v>
      </c>
      <c r="S63" s="213"/>
      <c r="T63" s="213"/>
      <c r="U63" s="213"/>
      <c r="V63" s="213"/>
      <c r="W63" s="213"/>
      <c r="X63" s="213"/>
      <c r="Y63" s="213"/>
      <c r="Z63" s="213"/>
      <c r="AA63" s="213"/>
      <c r="AB63" s="213"/>
      <c r="AC63" s="213"/>
      <c r="AD63" s="213"/>
      <c r="AE63" s="265"/>
      <c r="AG63" s="288" t="str">
        <f t="shared" si="2"/>
        <v/>
      </c>
      <c r="AH63" s="288" t="str">
        <f t="shared" si="1"/>
        <v/>
      </c>
    </row>
    <row r="64" spans="1:34" ht="13" x14ac:dyDescent="0.3">
      <c r="A64" s="264">
        <v>198</v>
      </c>
      <c r="B64" s="111" t="s">
        <v>407</v>
      </c>
      <c r="C64" s="272">
        <v>3060040.49</v>
      </c>
      <c r="D64" s="272">
        <v>3011373.79</v>
      </c>
      <c r="E64" s="272">
        <v>3630805.09</v>
      </c>
      <c r="F64" s="272">
        <v>3236173.69</v>
      </c>
      <c r="G64" s="272">
        <v>3471225.19</v>
      </c>
      <c r="H64" s="272">
        <v>3365584.31</v>
      </c>
      <c r="I64" s="272">
        <v>3335501.64</v>
      </c>
      <c r="J64" s="272">
        <v>3393836.09</v>
      </c>
      <c r="K64" s="272">
        <v>3124326.12</v>
      </c>
      <c r="L64" s="272">
        <v>3224103.43</v>
      </c>
      <c r="M64" s="272">
        <v>3081859.23</v>
      </c>
      <c r="N64" s="272">
        <v>3290764.74</v>
      </c>
      <c r="O64" s="272">
        <f>SUM(C64:CHOOSE(MONTH(MES_CIERRE),C64,D64,E64,F64,G64,H64,I64,J64,K64,L64,M64,N64))</f>
        <v>19775202.559999999</v>
      </c>
      <c r="Q64" s="264">
        <v>198</v>
      </c>
      <c r="R64" s="111" t="s">
        <v>407</v>
      </c>
      <c r="S64" s="272">
        <v>3089096.61</v>
      </c>
      <c r="T64" s="272">
        <v>3093463.41</v>
      </c>
      <c r="U64" s="272">
        <v>3464015.55</v>
      </c>
      <c r="V64" s="272">
        <v>2291020.85</v>
      </c>
      <c r="W64" s="272">
        <v>1520724.28</v>
      </c>
      <c r="X64" s="272">
        <v>1429878.41</v>
      </c>
      <c r="Y64" s="272">
        <v>0</v>
      </c>
      <c r="Z64" s="272">
        <v>0</v>
      </c>
      <c r="AA64" s="272">
        <v>0</v>
      </c>
      <c r="AB64" s="272">
        <v>0</v>
      </c>
      <c r="AC64" s="272">
        <v>0</v>
      </c>
      <c r="AD64" s="272">
        <v>0</v>
      </c>
      <c r="AE64" s="272">
        <f>SUM(S64:CHOOSE(MONTH(MES_CIERRE),S64,T64,U64,V64,W64,X64,Y64,Z64,AA64,AB64,AC64,AD64))</f>
        <v>14888199.109999999</v>
      </c>
      <c r="AG64" s="288">
        <f t="shared" si="2"/>
        <v>-0.5751470537370077</v>
      </c>
      <c r="AH64" s="288">
        <f t="shared" si="1"/>
        <v>-0.24712785799145814</v>
      </c>
    </row>
    <row r="65" spans="1:34" ht="13" x14ac:dyDescent="0.3">
      <c r="A65" s="264">
        <v>199</v>
      </c>
      <c r="C65" s="213"/>
      <c r="D65" s="213"/>
      <c r="E65" s="213"/>
      <c r="F65" s="213"/>
      <c r="G65" s="213"/>
      <c r="H65" s="213"/>
      <c r="I65" s="213"/>
      <c r="J65" s="213"/>
      <c r="K65" s="213"/>
      <c r="L65" s="213"/>
      <c r="M65" s="213"/>
      <c r="N65" s="213"/>
      <c r="O65" s="265"/>
      <c r="Q65" s="264">
        <v>199</v>
      </c>
      <c r="S65" s="213"/>
      <c r="T65" s="213"/>
      <c r="U65" s="213"/>
      <c r="V65" s="213"/>
      <c r="W65" s="213"/>
      <c r="X65" s="213"/>
      <c r="Y65" s="213"/>
      <c r="Z65" s="213"/>
      <c r="AA65" s="213"/>
      <c r="AB65" s="213"/>
      <c r="AC65" s="213"/>
      <c r="AD65" s="213"/>
      <c r="AE65" s="265"/>
      <c r="AG65" s="288" t="str">
        <f t="shared" si="2"/>
        <v/>
      </c>
      <c r="AH65" s="288" t="str">
        <f t="shared" si="1"/>
        <v/>
      </c>
    </row>
    <row r="66" spans="1:34" ht="13" x14ac:dyDescent="0.3">
      <c r="A66" s="264">
        <v>200</v>
      </c>
      <c r="B66" s="111" t="s">
        <v>408</v>
      </c>
      <c r="C66" s="213"/>
      <c r="D66" s="213"/>
      <c r="E66" s="213"/>
      <c r="F66" s="213"/>
      <c r="G66" s="213"/>
      <c r="H66" s="213"/>
      <c r="I66" s="213"/>
      <c r="J66" s="213"/>
      <c r="K66" s="213"/>
      <c r="L66" s="213"/>
      <c r="M66" s="213"/>
      <c r="N66" s="213"/>
      <c r="O66" s="265"/>
      <c r="Q66" s="264">
        <v>200</v>
      </c>
      <c r="R66" s="111" t="s">
        <v>408</v>
      </c>
      <c r="S66" s="213"/>
      <c r="T66" s="213"/>
      <c r="U66" s="213"/>
      <c r="V66" s="213"/>
      <c r="W66" s="213"/>
      <c r="X66" s="213"/>
      <c r="Y66" s="213"/>
      <c r="Z66" s="213"/>
      <c r="AA66" s="213"/>
      <c r="AB66" s="213"/>
      <c r="AC66" s="213"/>
      <c r="AD66" s="213"/>
      <c r="AE66" s="265"/>
      <c r="AG66" s="288" t="str">
        <f t="shared" si="2"/>
        <v/>
      </c>
      <c r="AH66" s="288" t="str">
        <f t="shared" si="1"/>
        <v/>
      </c>
    </row>
    <row r="67" spans="1:34" ht="13" x14ac:dyDescent="0.3">
      <c r="A67" s="264">
        <v>201</v>
      </c>
      <c r="B67" s="111" t="s">
        <v>408</v>
      </c>
      <c r="C67" s="272">
        <v>118317.89</v>
      </c>
      <c r="D67" s="272">
        <v>117300.37</v>
      </c>
      <c r="E67" s="272">
        <v>125389.86</v>
      </c>
      <c r="F67" s="272">
        <v>120907.85</v>
      </c>
      <c r="G67" s="272">
        <v>122983.85</v>
      </c>
      <c r="H67" s="272">
        <v>117958.89</v>
      </c>
      <c r="I67" s="272">
        <v>118103.05</v>
      </c>
      <c r="J67" s="272">
        <v>118916.2</v>
      </c>
      <c r="K67" s="272">
        <v>115994.03</v>
      </c>
      <c r="L67" s="272">
        <v>117947.45</v>
      </c>
      <c r="M67" s="272">
        <v>116265.32</v>
      </c>
      <c r="N67" s="272">
        <v>116840.94</v>
      </c>
      <c r="O67" s="272">
        <f>SUM(C67:CHOOSE(MONTH(MES_CIERRE),C67,D67,E67,F67,G67,H67,I67,J67,K67,L67,M67,N67))</f>
        <v>722858.71</v>
      </c>
      <c r="Q67" s="264">
        <v>201</v>
      </c>
      <c r="R67" s="111" t="s">
        <v>408</v>
      </c>
      <c r="S67" s="272">
        <v>117024.4</v>
      </c>
      <c r="T67" s="272">
        <v>117778.58</v>
      </c>
      <c r="U67" s="272">
        <v>120761.78</v>
      </c>
      <c r="V67" s="272">
        <v>106953.61</v>
      </c>
      <c r="W67" s="272">
        <v>130238.74</v>
      </c>
      <c r="X67" s="272">
        <v>130238.75</v>
      </c>
      <c r="Y67" s="272">
        <v>0</v>
      </c>
      <c r="Z67" s="272">
        <v>0</v>
      </c>
      <c r="AA67" s="272">
        <v>0</v>
      </c>
      <c r="AB67" s="272">
        <v>0</v>
      </c>
      <c r="AC67" s="272">
        <v>0</v>
      </c>
      <c r="AD67" s="272">
        <v>0</v>
      </c>
      <c r="AE67" s="272">
        <f>SUM(S67:CHOOSE(MONTH(MES_CIERRE),S67,T67,U67,V67,W67,X67,Y67,Z67,AA67,AB67,AC67,AD67))</f>
        <v>722995.86</v>
      </c>
      <c r="AG67" s="288">
        <f t="shared" si="2"/>
        <v>0.1041028785537063</v>
      </c>
      <c r="AH67" s="288">
        <f t="shared" si="1"/>
        <v>1.8973279024337038E-4</v>
      </c>
    </row>
    <row r="68" spans="1:34" ht="13" x14ac:dyDescent="0.3">
      <c r="A68" s="264">
        <v>297</v>
      </c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65"/>
      <c r="Q68" s="264">
        <v>297</v>
      </c>
      <c r="S68" s="213"/>
      <c r="T68" s="213"/>
      <c r="U68" s="213"/>
      <c r="V68" s="213"/>
      <c r="W68" s="213"/>
      <c r="X68" s="213"/>
      <c r="Y68" s="213"/>
      <c r="Z68" s="213"/>
      <c r="AA68" s="213"/>
      <c r="AB68" s="213"/>
      <c r="AC68" s="213"/>
      <c r="AD68" s="213"/>
      <c r="AE68" s="265"/>
      <c r="AG68" s="288" t="str">
        <f t="shared" si="2"/>
        <v/>
      </c>
      <c r="AH68" s="288" t="str">
        <f t="shared" si="1"/>
        <v/>
      </c>
    </row>
    <row r="69" spans="1:34" ht="13" x14ac:dyDescent="0.3">
      <c r="A69" s="264">
        <v>298</v>
      </c>
      <c r="B69" s="111" t="s">
        <v>409</v>
      </c>
      <c r="C69" s="272">
        <v>3178358.38</v>
      </c>
      <c r="D69" s="272">
        <v>3128674.16</v>
      </c>
      <c r="E69" s="272">
        <v>3756194.95</v>
      </c>
      <c r="F69" s="272">
        <v>3357081.54</v>
      </c>
      <c r="G69" s="272">
        <v>3594209.04</v>
      </c>
      <c r="H69" s="272">
        <v>3483543.2</v>
      </c>
      <c r="I69" s="272">
        <v>3453604.69</v>
      </c>
      <c r="J69" s="272">
        <v>3512752.29</v>
      </c>
      <c r="K69" s="272">
        <v>3240320.15</v>
      </c>
      <c r="L69" s="272">
        <v>3342050.88</v>
      </c>
      <c r="M69" s="272">
        <v>3198124.55</v>
      </c>
      <c r="N69" s="272">
        <v>3407605.68</v>
      </c>
      <c r="O69" s="272">
        <f>SUM(C69:CHOOSE(MONTH(MES_CIERRE),C69,D69,E69,F69,G69,H69,I69,J69,K69,L69,M69,N69))</f>
        <v>20498061.27</v>
      </c>
      <c r="Q69" s="264">
        <v>298</v>
      </c>
      <c r="R69" s="111" t="s">
        <v>409</v>
      </c>
      <c r="S69" s="272">
        <v>3206121.01</v>
      </c>
      <c r="T69" s="272">
        <v>3211241.99</v>
      </c>
      <c r="U69" s="272">
        <v>3584777.33</v>
      </c>
      <c r="V69" s="272">
        <v>2397974.46</v>
      </c>
      <c r="W69" s="272">
        <v>1650963.02</v>
      </c>
      <c r="X69" s="272">
        <v>1560117.16</v>
      </c>
      <c r="Y69" s="272">
        <v>0</v>
      </c>
      <c r="Z69" s="272">
        <v>0</v>
      </c>
      <c r="AA69" s="272">
        <v>0</v>
      </c>
      <c r="AB69" s="272">
        <v>0</v>
      </c>
      <c r="AC69" s="272">
        <v>0</v>
      </c>
      <c r="AD69" s="272">
        <v>0</v>
      </c>
      <c r="AE69" s="272">
        <f>SUM(S69:CHOOSE(MONTH(MES_CIERRE),S69,T69,U69,V69,W69,X69,Y69,Z69,AA69,AB69,AC69,AD69))</f>
        <v>15611194.969999999</v>
      </c>
      <c r="AG69" s="288">
        <f t="shared" si="2"/>
        <v>-0.55214645823826736</v>
      </c>
      <c r="AH69" s="288">
        <f t="shared" si="1"/>
        <v>-0.23840626855536767</v>
      </c>
    </row>
    <row r="70" spans="1:34" ht="13" x14ac:dyDescent="0.3">
      <c r="O70" s="111"/>
      <c r="AE70" s="265"/>
    </row>
    <row r="71" spans="1:34" ht="13" x14ac:dyDescent="0.3">
      <c r="O71" s="111"/>
      <c r="AE71" s="265"/>
    </row>
    <row r="72" spans="1:34" ht="13" x14ac:dyDescent="0.3">
      <c r="O72" s="111"/>
      <c r="AE72" s="265"/>
    </row>
    <row r="73" spans="1:34" ht="13" x14ac:dyDescent="0.3">
      <c r="O73" s="111"/>
      <c r="AE73" s="265"/>
    </row>
    <row r="74" spans="1:34" ht="13" x14ac:dyDescent="0.3">
      <c r="O74" s="111"/>
      <c r="AE74" s="265"/>
    </row>
    <row r="75" spans="1:34" ht="13" x14ac:dyDescent="0.3">
      <c r="O75" s="111"/>
      <c r="AE75" s="265"/>
    </row>
    <row r="76" spans="1:34" ht="13" x14ac:dyDescent="0.3">
      <c r="O76" s="111"/>
      <c r="AE76" s="265"/>
    </row>
    <row r="77" spans="1:34" ht="13" x14ac:dyDescent="0.3">
      <c r="O77" s="111"/>
      <c r="AE77" s="265"/>
    </row>
    <row r="78" spans="1:34" ht="13" x14ac:dyDescent="0.3">
      <c r="O78" s="111"/>
      <c r="AE78" s="265"/>
    </row>
    <row r="79" spans="1:34" ht="13" x14ac:dyDescent="0.3">
      <c r="O79" s="111"/>
      <c r="AE79" s="265"/>
    </row>
    <row r="80" spans="1:34" ht="13" x14ac:dyDescent="0.3">
      <c r="O80" s="111"/>
      <c r="AE80" s="265"/>
    </row>
    <row r="81" spans="15:31" ht="13" x14ac:dyDescent="0.3">
      <c r="O81" s="111"/>
      <c r="AE81" s="265"/>
    </row>
    <row r="82" spans="15:31" ht="13" x14ac:dyDescent="0.3">
      <c r="O82" s="111"/>
      <c r="AE82" s="265"/>
    </row>
    <row r="83" spans="15:31" ht="13" x14ac:dyDescent="0.3">
      <c r="O83" s="111"/>
      <c r="AE83" s="2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113</vt:i4>
      </vt:variant>
    </vt:vector>
  </HeadingPairs>
  <TitlesOfParts>
    <vt:vector size="132" baseType="lpstr">
      <vt:lpstr>Inicio</vt:lpstr>
      <vt:lpstr>BDER</vt:lpstr>
      <vt:lpstr>BDFE</vt:lpstr>
      <vt:lpstr>BDLT</vt:lpstr>
      <vt:lpstr>BDBG</vt:lpstr>
      <vt:lpstr>BDPP</vt:lpstr>
      <vt:lpstr>BG</vt:lpstr>
      <vt:lpstr>CBG</vt:lpstr>
      <vt:lpstr>ER</vt:lpstr>
      <vt:lpstr>FE</vt:lpstr>
      <vt:lpstr>Fed (2)</vt:lpstr>
      <vt:lpstr>Cost</vt:lpstr>
      <vt:lpstr>Tendencias</vt:lpstr>
      <vt:lpstr>ER 2017</vt:lpstr>
      <vt:lpstr>ER Act</vt:lpstr>
      <vt:lpstr>ER Ppto</vt:lpstr>
      <vt:lpstr>ER AA</vt:lpstr>
      <vt:lpstr>Trimestre</vt:lpstr>
      <vt:lpstr>Ventas</vt:lpstr>
      <vt:lpstr>AlimEU_802_599</vt:lpstr>
      <vt:lpstr>AlimEU_802_600</vt:lpstr>
      <vt:lpstr>AlimEU_802_601</vt:lpstr>
      <vt:lpstr>AlimEU_802_605</vt:lpstr>
      <vt:lpstr>AlimEU_802_610</vt:lpstr>
      <vt:lpstr>AlimEU_804_600</vt:lpstr>
      <vt:lpstr>AlimEU_804_601</vt:lpstr>
      <vt:lpstr>AlimEU_804_605</vt:lpstr>
      <vt:lpstr>AlimEU_804_610</vt:lpstr>
      <vt:lpstr>AlimEU_805_600</vt:lpstr>
      <vt:lpstr>AlimEU_805_601</vt:lpstr>
      <vt:lpstr>AlimEU_805_605</vt:lpstr>
      <vt:lpstr>AlimEU_805_610</vt:lpstr>
      <vt:lpstr>AlimEU_807_600</vt:lpstr>
      <vt:lpstr>AlimEU_807_601</vt:lpstr>
      <vt:lpstr>AlimEU_807_605</vt:lpstr>
      <vt:lpstr>AlimEU_807_610</vt:lpstr>
      <vt:lpstr>AlimEU_811_600</vt:lpstr>
      <vt:lpstr>AlimEU_811_601</vt:lpstr>
      <vt:lpstr>AlimEU_811_605</vt:lpstr>
      <vt:lpstr>AlimEU_811_610</vt:lpstr>
      <vt:lpstr>AlimEU_813_600</vt:lpstr>
      <vt:lpstr>AlimEU_813_601</vt:lpstr>
      <vt:lpstr>AlimEU_813_605</vt:lpstr>
      <vt:lpstr>AlimEU_813_610</vt:lpstr>
      <vt:lpstr>BDBG!Área_de_impresión</vt:lpstr>
      <vt:lpstr>BDER!Área_de_impresión</vt:lpstr>
      <vt:lpstr>BDFE!Área_de_impresión</vt:lpstr>
      <vt:lpstr>Cost!Área_de_impresión</vt:lpstr>
      <vt:lpstr>ER!Área_de_impresión</vt:lpstr>
      <vt:lpstr>'Fed (2)'!Área_de_impresión</vt:lpstr>
      <vt:lpstr>Tendencias!Área_de_impresión</vt:lpstr>
      <vt:lpstr>BG_Div</vt:lpstr>
      <vt:lpstr>BG_X_Emp</vt:lpstr>
      <vt:lpstr>Costo_Div_Rango</vt:lpstr>
      <vt:lpstr>DIF_BG_ACT</vt:lpstr>
      <vt:lpstr>DIF_ER_ACT</vt:lpstr>
      <vt:lpstr>DIF_FE_ACT</vt:lpstr>
      <vt:lpstr>ER_A_Div</vt:lpstr>
      <vt:lpstr>ER_A_PDC</vt:lpstr>
      <vt:lpstr>ER_A_PDS</vt:lpstr>
      <vt:lpstr>ER_A_PZG</vt:lpstr>
      <vt:lpstr>ER_A_PZS</vt:lpstr>
      <vt:lpstr>ER_A_RE</vt:lpstr>
      <vt:lpstr>ER_A_SW</vt:lpstr>
      <vt:lpstr>ER_EMPR_M_P</vt:lpstr>
      <vt:lpstr>ER_M_Div</vt:lpstr>
      <vt:lpstr>ER_M_P_CHS</vt:lpstr>
      <vt:lpstr>ER_M_P_DIV</vt:lpstr>
      <vt:lpstr>ER_M_P_PDC</vt:lpstr>
      <vt:lpstr>ER_M_P_PDS</vt:lpstr>
      <vt:lpstr>ER_M_P_PJS</vt:lpstr>
      <vt:lpstr>ER_M_P_PZD</vt:lpstr>
      <vt:lpstr>ER_M_P_PZG</vt:lpstr>
      <vt:lpstr>ER_M_P_RE</vt:lpstr>
      <vt:lpstr>ER_M_P_SW</vt:lpstr>
      <vt:lpstr>ER_M_PDC</vt:lpstr>
      <vt:lpstr>ER_M_PDS</vt:lpstr>
      <vt:lpstr>ER_M_PZG</vt:lpstr>
      <vt:lpstr>ER_M_PZS</vt:lpstr>
      <vt:lpstr>ER_M_RE</vt:lpstr>
      <vt:lpstr>ER_M_SW</vt:lpstr>
      <vt:lpstr>ER_T_CHS</vt:lpstr>
      <vt:lpstr>ER_T_DIV</vt:lpstr>
      <vt:lpstr>ER_T_P_CHS</vt:lpstr>
      <vt:lpstr>ER_T_P_DIV</vt:lpstr>
      <vt:lpstr>ER_T_P_PDC</vt:lpstr>
      <vt:lpstr>ER_T_P_PDS</vt:lpstr>
      <vt:lpstr>ER_T_P_PJS</vt:lpstr>
      <vt:lpstr>ER_T_P_PZG</vt:lpstr>
      <vt:lpstr>ER_T_P_PZS</vt:lpstr>
      <vt:lpstr>ER_T_P_RE</vt:lpstr>
      <vt:lpstr>ER_T_P_SW</vt:lpstr>
      <vt:lpstr>ER_T_PDC</vt:lpstr>
      <vt:lpstr>ER_T_PDS</vt:lpstr>
      <vt:lpstr>ER_T_PJS</vt:lpstr>
      <vt:lpstr>ER_T_PZG</vt:lpstr>
      <vt:lpstr>ER_T_PZS</vt:lpstr>
      <vt:lpstr>ER_T_RE</vt:lpstr>
      <vt:lpstr>ER_T_SW</vt:lpstr>
      <vt:lpstr>ER_X_EMP_A</vt:lpstr>
      <vt:lpstr>ER_X_EMP_M</vt:lpstr>
      <vt:lpstr>ER_X_EMP_M_P</vt:lpstr>
      <vt:lpstr>ER_X_EMP_T</vt:lpstr>
      <vt:lpstr>ER_X_EMP_T_P</vt:lpstr>
      <vt:lpstr>ER_X_EMPR_T</vt:lpstr>
      <vt:lpstr>ER_X_EMPR_T_P</vt:lpstr>
      <vt:lpstr>Fecha_ProyeccionT</vt:lpstr>
      <vt:lpstr>Fecha_Trimestre</vt:lpstr>
      <vt:lpstr>Formulas_Tendencias</vt:lpstr>
      <vt:lpstr>Gasto_Div_Rango</vt:lpstr>
      <vt:lpstr>Inicio_Compañia</vt:lpstr>
      <vt:lpstr>Inicio_Diferencias</vt:lpstr>
      <vt:lpstr>Inicio_Reporte</vt:lpstr>
      <vt:lpstr>L_Reportes_Ejecutivos</vt:lpstr>
      <vt:lpstr>Lista_Empresas_Reportes</vt:lpstr>
      <vt:lpstr>Lista_ER_AA_Empresas</vt:lpstr>
      <vt:lpstr>'ER AA'!Lista_ER_Mes_Empresas</vt:lpstr>
      <vt:lpstr>Lista_ER_Mes_Empresas</vt:lpstr>
      <vt:lpstr>Lista_ER_Ppto_Empresas</vt:lpstr>
      <vt:lpstr>Lista_hojas</vt:lpstr>
      <vt:lpstr>Lista_Tendencias</vt:lpstr>
      <vt:lpstr>MES_CIERRE</vt:lpstr>
      <vt:lpstr>msginfo</vt:lpstr>
      <vt:lpstr>Presentacion</vt:lpstr>
      <vt:lpstr>T_A_Div</vt:lpstr>
      <vt:lpstr>T_A_PDC</vt:lpstr>
      <vt:lpstr>T_A_PDS</vt:lpstr>
      <vt:lpstr>T_A_PZG</vt:lpstr>
      <vt:lpstr>T_A_PZS</vt:lpstr>
      <vt:lpstr>T_A_RE</vt:lpstr>
      <vt:lpstr>T_A_SW</vt:lpstr>
      <vt:lpstr>BG!Títulos_a_imprimir</vt:lpstr>
    </vt:vector>
  </TitlesOfParts>
  <Company>GRUPO ALFRI LODER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 Jesus Alarcon</dc:creator>
  <cp:lastModifiedBy>Juan</cp:lastModifiedBy>
  <cp:lastPrinted>2019-07-12T13:43:39Z</cp:lastPrinted>
  <dcterms:created xsi:type="dcterms:W3CDTF">2004-02-13T18:33:59Z</dcterms:created>
  <dcterms:modified xsi:type="dcterms:W3CDTF">2019-07-30T23:55:11Z</dcterms:modified>
</cp:coreProperties>
</file>