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orrego\Desktop\"/>
    </mc:Choice>
  </mc:AlternateContent>
  <xr:revisionPtr revIDLastSave="0" documentId="13_ncr:1_{CAF72552-D250-48FE-904F-777D808302A3}" xr6:coauthVersionLast="45" xr6:coauthVersionMax="45" xr10:uidLastSave="{00000000-0000-0000-0000-000000000000}"/>
  <bookViews>
    <workbookView xWindow="-110" yWindow="-110" windowWidth="19420" windowHeight="10420" tabRatio="710" xr2:uid="{00000000-000D-0000-FFFF-FFFF00000000}"/>
  </bookViews>
  <sheets>
    <sheet name="Cargo" sheetId="16" r:id="rId1"/>
    <sheet name="Resumen" sheetId="23" r:id="rId2"/>
    <sheet name="DO" sheetId="24" r:id="rId3"/>
    <sheet name="Combos" sheetId="22" state="hidden" r:id="rId4"/>
  </sheets>
  <definedNames>
    <definedName name="_xlnm._FilterDatabase" localSheetId="0" hidden="1">Cargo!$A$14:$N$14</definedName>
    <definedName name="Seguimiento">Combos!$H$2:$H$3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6" l="1"/>
  <c r="I16" i="16" s="1"/>
  <c r="H17" i="16"/>
  <c r="I17" i="16" s="1"/>
  <c r="H18" i="16"/>
  <c r="I18" i="16" s="1"/>
  <c r="H19" i="16"/>
  <c r="I19" i="16" s="1"/>
  <c r="H20" i="16"/>
  <c r="I20" i="16" s="1"/>
  <c r="H21" i="16"/>
  <c r="I21" i="16" s="1"/>
  <c r="H22" i="16"/>
  <c r="I22" i="16" s="1"/>
  <c r="H23" i="16"/>
  <c r="I23" i="16" s="1"/>
  <c r="H24" i="16"/>
  <c r="I24" i="16" s="1"/>
  <c r="H25" i="16"/>
  <c r="I25" i="16" s="1"/>
  <c r="H26" i="16"/>
  <c r="I26" i="16" s="1"/>
  <c r="H27" i="16"/>
  <c r="I27" i="16" s="1"/>
  <c r="H28" i="16"/>
  <c r="I28" i="16" s="1"/>
  <c r="H29" i="16"/>
  <c r="I29" i="16" s="1"/>
  <c r="H30" i="16"/>
  <c r="I30" i="16" s="1"/>
  <c r="H31" i="16"/>
  <c r="I31" i="16"/>
  <c r="H32" i="16"/>
  <c r="I32" i="16"/>
  <c r="H33" i="16"/>
  <c r="I33" i="16" s="1"/>
  <c r="H34" i="16"/>
  <c r="I34" i="16" s="1"/>
  <c r="H35" i="16"/>
  <c r="I35" i="16" s="1"/>
  <c r="H36" i="16"/>
  <c r="I36" i="16" s="1"/>
  <c r="H37" i="16"/>
  <c r="I37" i="16" s="1"/>
  <c r="H38" i="16"/>
  <c r="I38" i="16" s="1"/>
  <c r="H39" i="16"/>
  <c r="I39" i="16" s="1"/>
  <c r="H40" i="16"/>
  <c r="I40" i="16" s="1"/>
  <c r="H41" i="16"/>
  <c r="I41" i="16" s="1"/>
  <c r="H42" i="16"/>
  <c r="I42" i="16" s="1"/>
  <c r="H15" i="16" l="1"/>
  <c r="I15" i="16" s="1"/>
  <c r="J3" i="23" l="1"/>
  <c r="L3" i="23" s="1"/>
  <c r="M3" i="23" l="1"/>
  <c r="K3" i="23"/>
  <c r="R12" i="23"/>
  <c r="R11" i="23"/>
  <c r="R14" i="23" l="1"/>
  <c r="S11" i="23" s="1"/>
  <c r="S12" i="23" l="1"/>
  <c r="J12" i="23"/>
  <c r="J13" i="23"/>
  <c r="J14" i="23"/>
  <c r="J15" i="23"/>
  <c r="J16" i="23"/>
  <c r="J17" i="23"/>
  <c r="J18" i="23"/>
  <c r="J19" i="23"/>
  <c r="J11" i="23"/>
  <c r="C12" i="23"/>
  <c r="C13" i="23"/>
  <c r="C14" i="23"/>
  <c r="C11" i="23"/>
  <c r="J21" i="23" l="1"/>
  <c r="K18" i="23" s="1"/>
  <c r="C16" i="23"/>
  <c r="D12" i="23" s="1"/>
  <c r="B7" i="22"/>
  <c r="D11" i="23" l="1"/>
  <c r="K16" i="23"/>
  <c r="K13" i="23"/>
  <c r="K15" i="23"/>
  <c r="K17" i="23"/>
  <c r="K19" i="23"/>
  <c r="K11" i="23"/>
  <c r="K14" i="23"/>
  <c r="K12" i="23"/>
  <c r="D13" i="23"/>
  <c r="D14" i="23"/>
  <c r="G9" i="16"/>
  <c r="F9" i="16" s="1"/>
  <c r="G8" i="16"/>
  <c r="F8" i="16" s="1"/>
  <c r="G7" i="16"/>
  <c r="F7" i="16" s="1"/>
  <c r="G6" i="16"/>
  <c r="F6" i="16" s="1"/>
  <c r="G5" i="16"/>
  <c r="F5" i="16" s="1"/>
  <c r="G4" i="16"/>
  <c r="H4" i="16" s="1"/>
  <c r="I44" i="16" l="1"/>
  <c r="F10" i="16"/>
  <c r="J4" i="23" s="1"/>
  <c r="J37" i="16" l="1"/>
  <c r="J29" i="16"/>
  <c r="J24" i="16"/>
  <c r="J20" i="16"/>
  <c r="J28" i="16"/>
  <c r="J36" i="16"/>
  <c r="J21" i="16"/>
  <c r="J32" i="16"/>
  <c r="J40" i="16"/>
  <c r="J31" i="16"/>
  <c r="J25" i="16"/>
  <c r="J26" i="16"/>
  <c r="J34" i="16"/>
  <c r="J33" i="16"/>
  <c r="J38" i="16"/>
  <c r="J17" i="16"/>
  <c r="J30" i="16"/>
  <c r="J18" i="16"/>
  <c r="J16" i="16"/>
  <c r="J39" i="16"/>
  <c r="J35" i="16"/>
  <c r="J27" i="16"/>
  <c r="J42" i="16"/>
  <c r="J23" i="16"/>
  <c r="J22" i="16"/>
  <c r="J19" i="16"/>
  <c r="J41" i="16"/>
  <c r="J15" i="16"/>
  <c r="M4" i="23"/>
  <c r="K4" i="23"/>
  <c r="L4" i="23"/>
  <c r="F11" i="16"/>
  <c r="G10" i="16"/>
  <c r="H10" i="16" s="1"/>
  <c r="I45" i="16"/>
  <c r="J5" i="23" l="1"/>
  <c r="F5" i="23"/>
  <c r="F6" i="23" l="1"/>
  <c r="J6" i="23"/>
  <c r="L5" i="23"/>
  <c r="K5" i="23"/>
  <c r="M5" i="23"/>
  <c r="K6" i="23" l="1"/>
  <c r="L6" i="23"/>
  <c r="M6" i="23"/>
</calcChain>
</file>

<file path=xl/sharedStrings.xml><?xml version="1.0" encoding="utf-8"?>
<sst xmlns="http://schemas.openxmlformats.org/spreadsheetml/2006/main" count="235" uniqueCount="129">
  <si>
    <t>Horas Reales Trabajar</t>
  </si>
  <si>
    <t>Área</t>
  </si>
  <si>
    <t>Horas día</t>
  </si>
  <si>
    <t xml:space="preserve">Horas mes </t>
  </si>
  <si>
    <t>Dias año</t>
  </si>
  <si>
    <t>Horas de Trabajo</t>
  </si>
  <si>
    <t>Fecha</t>
  </si>
  <si>
    <t>% Ausentismo</t>
  </si>
  <si>
    <t>% Fatiga</t>
  </si>
  <si>
    <t>Cargo</t>
  </si>
  <si>
    <t>% Vacaciones</t>
  </si>
  <si>
    <t>% Capacitación</t>
  </si>
  <si>
    <t>Proceso</t>
  </si>
  <si>
    <t>% Otros</t>
  </si>
  <si>
    <t>Reales</t>
  </si>
  <si>
    <t>Porcentaje real</t>
  </si>
  <si>
    <t>No.</t>
  </si>
  <si>
    <t>Actividad</t>
  </si>
  <si>
    <t>Ciclo PHVA</t>
  </si>
  <si>
    <t>Frecuencia</t>
  </si>
  <si>
    <t>Veces</t>
  </si>
  <si>
    <t>Tiempo por actividad</t>
  </si>
  <si>
    <t>Volumen Mes</t>
  </si>
  <si>
    <t>Minutos Mes</t>
  </si>
  <si>
    <t>%</t>
  </si>
  <si>
    <t>Cliente</t>
  </si>
  <si>
    <t>Creación/Captura de Valor</t>
  </si>
  <si>
    <t>Observación</t>
  </si>
  <si>
    <t>Total minutos mes</t>
  </si>
  <si>
    <t>Total horas mes</t>
  </si>
  <si>
    <t>Sem 1</t>
  </si>
  <si>
    <t>Sem 2</t>
  </si>
  <si>
    <t>Sem 3</t>
  </si>
  <si>
    <t>Sem 4</t>
  </si>
  <si>
    <t>Horas Contratadas</t>
  </si>
  <si>
    <t>Horas Posibles</t>
  </si>
  <si>
    <t>Horas Requeridas</t>
  </si>
  <si>
    <t>Tiempo Disponible x persona</t>
  </si>
  <si>
    <t>Planear</t>
  </si>
  <si>
    <t>Diario</t>
  </si>
  <si>
    <t>Hacer</t>
  </si>
  <si>
    <t>Semanal</t>
  </si>
  <si>
    <t>Verificar</t>
  </si>
  <si>
    <t>Campaña</t>
  </si>
  <si>
    <t>Ajustar</t>
  </si>
  <si>
    <t>Quincenal</t>
  </si>
  <si>
    <t>Mensual</t>
  </si>
  <si>
    <t>Bimestral</t>
  </si>
  <si>
    <t>Trimestral</t>
  </si>
  <si>
    <t>Semestral</t>
  </si>
  <si>
    <t>Anual</t>
  </si>
  <si>
    <t>PHVA</t>
  </si>
  <si>
    <t>Creación y Captura de Valor</t>
  </si>
  <si>
    <t>Creación de valor</t>
  </si>
  <si>
    <t>Captura de valor</t>
  </si>
  <si>
    <t>Total</t>
  </si>
  <si>
    <t>Personas</t>
  </si>
  <si>
    <t>Real</t>
  </si>
  <si>
    <t>Dimensionadas:</t>
  </si>
  <si>
    <t>Equivalentes</t>
  </si>
  <si>
    <t>Estresado</t>
  </si>
  <si>
    <t>REALIZADO POR</t>
  </si>
  <si>
    <t>Seguimiento</t>
  </si>
  <si>
    <t>Si</t>
  </si>
  <si>
    <t>No</t>
  </si>
  <si>
    <t>Concepto final DO&amp;S</t>
  </si>
  <si>
    <t>Profesional Analitica Digital Sr</t>
  </si>
  <si>
    <t xml:space="preserve">ESTIMAR </t>
  </si>
  <si>
    <t xml:space="preserve">Propuesta Rolling Forecast Mes a Mes </t>
  </si>
  <si>
    <t>Reunión validación supuestos rolling forecast (marketing y merchandising)</t>
  </si>
  <si>
    <t>Consolidación y validación de la Información (acuerdos)</t>
  </si>
  <si>
    <t xml:space="preserve">Presentación Supuestos y Rolling Gerencia </t>
  </si>
  <si>
    <t xml:space="preserve">Proyección de NPU, UPR, Visitas, Conversión Dia a Dia  y reunión </t>
  </si>
  <si>
    <t xml:space="preserve">Proyección Eventos Especiales y reunión </t>
  </si>
  <si>
    <t xml:space="preserve">Definición de supuestos rolling Gasto </t>
  </si>
  <si>
    <t>Consolidación de la información de los supuestos</t>
  </si>
  <si>
    <t xml:space="preserve">Proyección de gasto de CECO gerencia </t>
  </si>
  <si>
    <t xml:space="preserve">Reunión de validación de P&amp;G rolling </t>
  </si>
  <si>
    <t>MONITOREAR</t>
  </si>
  <si>
    <t>Informe Diario Comercial/Producto (Actualización y Envío)</t>
  </si>
  <si>
    <t>Preparar Presentación Daily</t>
  </si>
  <si>
    <t xml:space="preserve">Reunión Daily </t>
  </si>
  <si>
    <t>Tubo de pedidos y PY Venta Pedida/Venta Efectiva</t>
  </si>
  <si>
    <t>Preparación del comité primario</t>
  </si>
  <si>
    <t>Seguimiento hora a hora de los eventos</t>
  </si>
  <si>
    <t xml:space="preserve">PY landing rolling </t>
  </si>
  <si>
    <t xml:space="preserve">Comité Primario </t>
  </si>
  <si>
    <t xml:space="preserve">Comité abastecimiento y operación </t>
  </si>
  <si>
    <t>Sin Nombre</t>
  </si>
  <si>
    <t>Proyección de Ventas financiera</t>
  </si>
  <si>
    <t>Seguimiento Gasto marketing</t>
  </si>
  <si>
    <t>Meetings para seguimiento del proyecto de BI Unificado</t>
  </si>
  <si>
    <t xml:space="preserve">Ecommerce Repotenciado </t>
  </si>
  <si>
    <t xml:space="preserve">Reunión semanal </t>
  </si>
  <si>
    <t>Actividades relacionadas</t>
  </si>
  <si>
    <t xml:space="preserve">Revisión de P&amp;G Canal Digital </t>
  </si>
  <si>
    <t>Novedades</t>
  </si>
  <si>
    <t xml:space="preserve">Seguimiento y relación </t>
  </si>
  <si>
    <t>PayU</t>
  </si>
  <si>
    <t>PLANEACIÓN ESTRATÉGICA</t>
  </si>
  <si>
    <t>Construcción y análisis de la historia y el comportamiento de las estrategias</t>
  </si>
  <si>
    <t>Negocio Digital</t>
  </si>
  <si>
    <t>En Octubre se hace la construcción del Rolling 0 (Presupuesto del siguiente año)</t>
  </si>
  <si>
    <t>Analítica, Marketing, Merchandising</t>
  </si>
  <si>
    <t>Se contrasta la proyección estadística con la proyección basada en supuestos de las áreas de marketing y merchandising y se definen los supuestos reales y el dato</t>
  </si>
  <si>
    <t>Consolido la propuesta parcial, se hace después de la validación de supuestos estadísticos y comerciales y se llega a la proyección de KPI´s, que será presentada a la gerencia</t>
  </si>
  <si>
    <t xml:space="preserve">En esta reunión se presentan lso supuestos con los que se construye la proyección de los KPI´s y se valida el número para después enviar el rolling al área financiera y se convierte en nuestra nueva meta mes a mes </t>
  </si>
  <si>
    <t>Esta proyección se hace a nivel de día y se basa en las estrategias comerciales detalladas en el planning, en su comportamiento histórico si lo hay y/o los supuestos de las estrategias. Adicional hay una reunión donde me siento con el equipo de merchandising y Marketing a validar esas proyecciones diarias</t>
  </si>
  <si>
    <t xml:space="preserve">Se proyecta el comportamiento día a día de los eventos comerciales, como BLackFriday, Cyberlunes, Aniversario, Hotsale, etc. Esta actividad se hace trimestral y se sensibiliza en el rolling dependiendo del día a día </t>
  </si>
  <si>
    <t>nos reunimos inicialmente a definir los supuestos con marketing digital, se toma una decisión de 2 horas para esta definición</t>
  </si>
  <si>
    <t>Analítica, Marketing,Financiera</t>
  </si>
  <si>
    <t>analitica, financiera</t>
  </si>
  <si>
    <t xml:space="preserve">Esta proyección abarca la agencia de analítica que nos apoya y las comisiones de recaudo </t>
  </si>
  <si>
    <t>Negocio Digital, financiera</t>
  </si>
  <si>
    <t xml:space="preserve">Para actualizar este informe, debo actualizar 3 fuentes de información, Hybris Order, Analytics, información producto, esta actualización me toma aprox 25 min, y después debo poner a actualizar el power BI que tarda aprox 50 min </t>
  </si>
  <si>
    <t>para la presentación del daily actualmente estoy invirtiendo 30 minutos, el deber ser es invertir mínimo 60 minutos</t>
  </si>
  <si>
    <t xml:space="preserve">Negocio Digital </t>
  </si>
  <si>
    <t>Reunión diaria para mirar cómo se estan comportando las estrategias comerciales vigentes y tomar acción para las futuras</t>
  </si>
  <si>
    <t>Logística</t>
  </si>
  <si>
    <t>Este informe se actualiza dos veces al día generalmente</t>
  </si>
  <si>
    <t>Seguimiento 3 veces al día de eventos comerciales importantes</t>
  </si>
  <si>
    <t xml:space="preserve">Reunión de comité digital </t>
  </si>
  <si>
    <t>Marketing, Gerencia</t>
  </si>
  <si>
    <t>Informe de seguimiento de la contribución del gasto de marketing a la venta (Adquisición)</t>
  </si>
  <si>
    <t>Financiera</t>
  </si>
  <si>
    <t>Se envía a financiera la proyección de las ventas (se hace todos los lunes ó el primer día de la semana)</t>
  </si>
  <si>
    <t>Requerimientos de información de las áreas que no son actividades definidas pero son entregables frecuentes con objetivos diferentes</t>
  </si>
  <si>
    <t xml:space="preserve">Requerimientos y actividades relacionadas con la información que son solicitadas por las diferentes áreas </t>
  </si>
  <si>
    <t>Atender y acnalizar todas las novedades que se presenten con PayU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</si>
</sst>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* #,##0.00\ _€_-;\-* #,##0.00\ _€_-;_-* &quot;-&quot;??\ _€_-;_-@_-"/>
    <numFmt numFmtId="165" formatCode="0.0"/>
    <numFmt numFmtId="166" formatCode="_-* #,##0.00_-;\-* #,##0.00_-;_-* &quot;-&quot;_-;_-@_-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44B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32">
    <xf numFmtId="0" fontId="0" fillId="0" borderId="0" xfId="0"/>
    <xf numFmtId="0" fontId="5" fillId="0" borderId="0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10" fontId="3" fillId="0" borderId="0" xfId="3" applyNumberFormat="1" applyFont="1" applyFill="1" applyBorder="1" applyAlignment="1" applyProtection="1">
      <alignment horizontal="center" vertical="center"/>
    </xf>
    <xf numFmtId="4" fontId="3" fillId="0" borderId="0" xfId="1" applyNumberFormat="1" applyFont="1" applyFill="1" applyBorder="1" applyAlignment="1" applyProtection="1">
      <alignment horizontal="center" vertical="center"/>
    </xf>
    <xf numFmtId="9" fontId="5" fillId="2" borderId="1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10" fontId="3" fillId="0" borderId="1" xfId="3" applyNumberFormat="1" applyFont="1" applyFill="1" applyBorder="1" applyAlignment="1" applyProtection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0" xfId="2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5" fillId="2" borderId="1" xfId="1" applyNumberFormat="1" applyFont="1" applyFill="1" applyBorder="1" applyAlignment="1" applyProtection="1">
      <alignment horizontal="center" vertical="center" wrapText="1"/>
    </xf>
    <xf numFmtId="0" fontId="4" fillId="0" borderId="0" xfId="2" applyAlignment="1">
      <alignment horizontal="left" vertical="center"/>
    </xf>
    <xf numFmtId="0" fontId="4" fillId="0" borderId="0" xfId="2" applyNumberFormat="1" applyAlignment="1">
      <alignment vertical="center" wrapText="1"/>
    </xf>
    <xf numFmtId="0" fontId="4" fillId="0" borderId="0" xfId="2" applyAlignment="1">
      <alignment vertical="center"/>
    </xf>
    <xf numFmtId="0" fontId="5" fillId="0" borderId="0" xfId="2" applyFont="1" applyAlignment="1">
      <alignment vertical="center"/>
    </xf>
    <xf numFmtId="0" fontId="3" fillId="0" borderId="0" xfId="1" applyFont="1" applyBorder="1" applyAlignment="1" applyProtection="1">
      <alignment vertical="center"/>
    </xf>
    <xf numFmtId="2" fontId="3" fillId="0" borderId="1" xfId="1" applyNumberFormat="1" applyFont="1" applyFill="1" applyBorder="1" applyAlignment="1" applyProtection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0" fontId="4" fillId="0" borderId="0" xfId="2" applyFill="1" applyAlignment="1">
      <alignment vertical="center"/>
    </xf>
    <xf numFmtId="0" fontId="5" fillId="0" borderId="0" xfId="1" applyFont="1" applyFill="1" applyBorder="1" applyAlignment="1" applyProtection="1">
      <alignment horizontal="right" vertical="center"/>
    </xf>
    <xf numFmtId="0" fontId="3" fillId="0" borderId="0" xfId="2" applyFont="1" applyFill="1" applyAlignment="1">
      <alignment vertical="center"/>
    </xf>
    <xf numFmtId="0" fontId="3" fillId="0" borderId="0" xfId="1" applyFont="1" applyFill="1" applyAlignment="1">
      <alignment horizontal="left" vertical="center"/>
    </xf>
    <xf numFmtId="0" fontId="3" fillId="0" borderId="0" xfId="1" applyNumberFormat="1" applyFont="1" applyAlignment="1">
      <alignment horizontal="center" vertical="center" wrapText="1"/>
    </xf>
    <xf numFmtId="0" fontId="3" fillId="0" borderId="0" xfId="1" applyNumberFormat="1" applyFont="1" applyFill="1" applyAlignment="1" applyProtection="1">
      <alignment vertical="center" wrapText="1"/>
    </xf>
    <xf numFmtId="0" fontId="3" fillId="0" borderId="0" xfId="1" applyFont="1" applyFill="1" applyAlignment="1" applyProtection="1">
      <alignment vertical="center"/>
    </xf>
    <xf numFmtId="0" fontId="3" fillId="0" borderId="0" xfId="1" applyFont="1" applyAlignment="1">
      <alignment horizontal="left" vertical="center"/>
    </xf>
    <xf numFmtId="0" fontId="3" fillId="0" borderId="0" xfId="1" applyFont="1" applyFill="1" applyBorder="1" applyAlignment="1" applyProtection="1">
      <alignment vertical="center"/>
    </xf>
    <xf numFmtId="0" fontId="4" fillId="0" borderId="0" xfId="2" applyBorder="1" applyAlignment="1">
      <alignment horizontal="left" vertical="center"/>
    </xf>
    <xf numFmtId="0" fontId="1" fillId="0" borderId="0" xfId="2" applyNumberFormat="1" applyFont="1" applyBorder="1" applyAlignment="1">
      <alignment vertical="center" wrapText="1"/>
    </xf>
    <xf numFmtId="0" fontId="4" fillId="0" borderId="0" xfId="2" applyBorder="1" applyAlignment="1">
      <alignment vertical="center"/>
    </xf>
    <xf numFmtId="0" fontId="5" fillId="0" borderId="0" xfId="1" applyFont="1" applyAlignment="1" applyProtection="1">
      <alignment horizontal="right" vertical="center"/>
    </xf>
    <xf numFmtId="0" fontId="3" fillId="0" borderId="0" xfId="1" applyFont="1" applyAlignment="1" applyProtection="1">
      <alignment horizontal="left" vertical="center"/>
    </xf>
    <xf numFmtId="0" fontId="3" fillId="0" borderId="0" xfId="1" applyNumberFormat="1" applyFont="1" applyAlignment="1" applyProtection="1">
      <alignment horizontal="center" vertical="center" wrapText="1"/>
    </xf>
    <xf numFmtId="0" fontId="3" fillId="0" borderId="0" xfId="1" applyFont="1" applyAlignment="1" applyProtection="1">
      <alignment vertical="center"/>
    </xf>
    <xf numFmtId="164" fontId="3" fillId="0" borderId="0" xfId="9" applyFont="1" applyAlignment="1">
      <alignment horizontal="center" vertical="center"/>
    </xf>
    <xf numFmtId="165" fontId="6" fillId="0" borderId="0" xfId="1" applyNumberFormat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1" applyFont="1" applyAlignment="1">
      <alignment vertical="center"/>
    </xf>
    <xf numFmtId="0" fontId="6" fillId="0" borderId="0" xfId="1" applyNumberFormat="1" applyFont="1" applyFill="1" applyAlignment="1" applyProtection="1">
      <alignment vertical="center" wrapText="1"/>
    </xf>
    <xf numFmtId="0" fontId="3" fillId="0" borderId="0" xfId="1" applyNumberFormat="1" applyFont="1" applyAlignment="1" applyProtection="1">
      <alignment vertical="center" wrapText="1"/>
    </xf>
    <xf numFmtId="0" fontId="4" fillId="0" borderId="0" xfId="2" applyFill="1" applyBorder="1" applyAlignment="1">
      <alignment vertical="center"/>
    </xf>
    <xf numFmtId="2" fontId="3" fillId="3" borderId="0" xfId="1" applyNumberFormat="1" applyFont="1" applyFill="1" applyBorder="1" applyAlignment="1" applyProtection="1">
      <alignment horizontal="center" vertical="center"/>
    </xf>
    <xf numFmtId="2" fontId="10" fillId="3" borderId="1" xfId="1" applyNumberFormat="1" applyFont="1" applyFill="1" applyBorder="1" applyAlignment="1" applyProtection="1">
      <alignment horizontal="center" vertical="center" wrapText="1"/>
    </xf>
    <xf numFmtId="0" fontId="3" fillId="3" borderId="0" xfId="1" applyFont="1" applyFill="1" applyAlignment="1" applyProtection="1">
      <alignment vertical="center"/>
    </xf>
    <xf numFmtId="0" fontId="10" fillId="3" borderId="0" xfId="1" applyFont="1" applyFill="1" applyAlignment="1">
      <alignment horizontal="center" vertical="center"/>
    </xf>
    <xf numFmtId="0" fontId="10" fillId="3" borderId="1" xfId="1" applyNumberFormat="1" applyFont="1" applyFill="1" applyBorder="1" applyAlignment="1" applyProtection="1">
      <alignment horizontal="center" vertical="center" wrapText="1"/>
    </xf>
    <xf numFmtId="0" fontId="10" fillId="3" borderId="1" xfId="1" applyFont="1" applyFill="1" applyBorder="1" applyAlignment="1" applyProtection="1">
      <alignment vertical="center"/>
    </xf>
    <xf numFmtId="1" fontId="10" fillId="3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/>
    <xf numFmtId="1" fontId="0" fillId="0" borderId="0" xfId="0" applyNumberFormat="1"/>
    <xf numFmtId="165" fontId="0" fillId="0" borderId="0" xfId="0" applyNumberFormat="1"/>
    <xf numFmtId="0" fontId="3" fillId="0" borderId="0" xfId="1" applyFont="1" applyFill="1" applyBorder="1" applyAlignment="1">
      <alignment horizontal="right" vertical="center"/>
    </xf>
    <xf numFmtId="0" fontId="2" fillId="0" borderId="0" xfId="2" applyFont="1" applyBorder="1" applyAlignment="1">
      <alignment vertical="center"/>
    </xf>
    <xf numFmtId="0" fontId="4" fillId="0" borderId="0" xfId="2" applyNumberFormat="1" applyBorder="1" applyAlignment="1">
      <alignment vertical="center" wrapText="1"/>
    </xf>
    <xf numFmtId="0" fontId="10" fillId="3" borderId="1" xfId="2" applyFont="1" applyFill="1" applyBorder="1" applyAlignment="1">
      <alignment horizontal="left" vertical="center"/>
    </xf>
    <xf numFmtId="164" fontId="3" fillId="0" borderId="1" xfId="9" applyFont="1" applyFill="1" applyBorder="1" applyAlignment="1" applyProtection="1">
      <alignment horizontal="right" vertical="center" wrapText="1"/>
    </xf>
    <xf numFmtId="2" fontId="3" fillId="0" borderId="1" xfId="1" applyNumberFormat="1" applyFont="1" applyFill="1" applyBorder="1" applyAlignment="1" applyProtection="1">
      <alignment horizontal="right" vertical="center" wrapText="1"/>
    </xf>
    <xf numFmtId="9" fontId="8" fillId="0" borderId="1" xfId="3" applyFont="1" applyFill="1" applyBorder="1" applyAlignment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</xf>
    <xf numFmtId="0" fontId="5" fillId="0" borderId="0" xfId="1" applyFont="1" applyBorder="1" applyAlignment="1" applyProtection="1">
      <alignment horizontal="left" vertical="center"/>
    </xf>
    <xf numFmtId="9" fontId="5" fillId="2" borderId="1" xfId="1" applyNumberFormat="1" applyFont="1" applyFill="1" applyBorder="1" applyAlignment="1" applyProtection="1">
      <alignment horizontal="center" vertical="center" wrapText="1"/>
    </xf>
    <xf numFmtId="0" fontId="0" fillId="3" borderId="0" xfId="0" applyFill="1"/>
    <xf numFmtId="0" fontId="3" fillId="3" borderId="0" xfId="1" applyFont="1" applyFill="1" applyBorder="1" applyAlignment="1">
      <alignment horizontal="right" vertical="center"/>
    </xf>
    <xf numFmtId="0" fontId="7" fillId="3" borderId="1" xfId="1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vertical="center"/>
    </xf>
    <xf numFmtId="165" fontId="3" fillId="3" borderId="1" xfId="1" applyNumberFormat="1" applyFont="1" applyFill="1" applyBorder="1" applyAlignment="1" applyProtection="1">
      <alignment horizontal="center" vertical="center"/>
    </xf>
    <xf numFmtId="165" fontId="6" fillId="3" borderId="1" xfId="1" applyNumberFormat="1" applyFont="1" applyFill="1" applyBorder="1" applyAlignment="1" applyProtection="1">
      <alignment horizontal="center" vertical="center"/>
    </xf>
    <xf numFmtId="0" fontId="11" fillId="3" borderId="0" xfId="0" applyFont="1" applyFill="1"/>
    <xf numFmtId="9" fontId="8" fillId="0" borderId="0" xfId="3" applyFont="1" applyFill="1" applyBorder="1" applyAlignment="1">
      <alignment horizontal="center" vertical="center"/>
    </xf>
    <xf numFmtId="0" fontId="3" fillId="0" borderId="0" xfId="1" applyFont="1" applyAlignment="1" applyProtection="1">
      <alignment horizontal="right" vertical="center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/>
    </xf>
    <xf numFmtId="9" fontId="5" fillId="5" borderId="1" xfId="1" applyNumberFormat="1" applyFont="1" applyFill="1" applyBorder="1" applyAlignment="1" applyProtection="1">
      <alignment horizontal="center" vertical="center" wrapText="1"/>
    </xf>
    <xf numFmtId="2" fontId="3" fillId="6" borderId="1" xfId="7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 applyProtection="1">
      <alignment horizontal="right" vertical="center"/>
    </xf>
    <xf numFmtId="0" fontId="5" fillId="3" borderId="0" xfId="1" applyFont="1" applyFill="1" applyBorder="1" applyAlignment="1" applyProtection="1">
      <alignment horizontal="right" vertical="center"/>
    </xf>
    <xf numFmtId="0" fontId="12" fillId="3" borderId="0" xfId="0" applyFont="1" applyFill="1" applyAlignment="1">
      <alignment horizontal="right"/>
    </xf>
    <xf numFmtId="166" fontId="3" fillId="2" borderId="1" xfId="10" applyNumberFormat="1" applyFont="1" applyFill="1" applyBorder="1" applyAlignment="1" applyProtection="1">
      <alignment horizontal="center" vertical="center"/>
    </xf>
    <xf numFmtId="165" fontId="6" fillId="3" borderId="0" xfId="1" applyNumberFormat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2" fontId="5" fillId="4" borderId="1" xfId="1" applyNumberFormat="1" applyFont="1" applyFill="1" applyBorder="1" applyAlignment="1" applyProtection="1">
      <alignment horizontal="center" vertical="center"/>
    </xf>
    <xf numFmtId="165" fontId="3" fillId="0" borderId="0" xfId="1" applyNumberFormat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4" fontId="3" fillId="2" borderId="1" xfId="1" applyNumberFormat="1" applyFont="1" applyFill="1" applyBorder="1" applyAlignment="1">
      <alignment horizontal="center" vertical="center"/>
    </xf>
    <xf numFmtId="2" fontId="6" fillId="0" borderId="1" xfId="1" applyNumberFormat="1" applyFont="1" applyBorder="1" applyAlignment="1">
      <alignment horizontal="left" vertical="center" wrapText="1"/>
    </xf>
    <xf numFmtId="0" fontId="1" fillId="0" borderId="0" xfId="7" applyFont="1" applyAlignment="1">
      <alignment horizontal="center"/>
    </xf>
    <xf numFmtId="1" fontId="6" fillId="0" borderId="1" xfId="1" applyNumberFormat="1" applyFont="1" applyBorder="1" applyAlignment="1">
      <alignment horizontal="center" vertical="center" wrapText="1"/>
    </xf>
    <xf numFmtId="0" fontId="5" fillId="0" borderId="0" xfId="1" applyFont="1" applyBorder="1" applyAlignment="1" applyProtection="1">
      <alignment horizontal="center" vertical="center"/>
    </xf>
    <xf numFmtId="0" fontId="11" fillId="3" borderId="1" xfId="0" applyFont="1" applyFill="1" applyBorder="1"/>
    <xf numFmtId="0" fontId="0" fillId="3" borderId="1" xfId="0" applyFill="1" applyBorder="1"/>
    <xf numFmtId="9" fontId="0" fillId="3" borderId="0" xfId="11" applyFont="1" applyFill="1"/>
    <xf numFmtId="0" fontId="11" fillId="3" borderId="0" xfId="0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11" fillId="3" borderId="4" xfId="0" applyFont="1" applyFill="1" applyBorder="1"/>
    <xf numFmtId="0" fontId="0" fillId="0" borderId="1" xfId="0" applyBorder="1"/>
    <xf numFmtId="9" fontId="0" fillId="3" borderId="1" xfId="11" applyFont="1" applyFill="1" applyBorder="1"/>
    <xf numFmtId="0" fontId="10" fillId="3" borderId="1" xfId="0" applyFont="1" applyFill="1" applyBorder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9" fontId="10" fillId="3" borderId="1" xfId="11" applyFont="1" applyFill="1" applyBorder="1" applyAlignment="1" applyProtection="1">
      <alignment horizontal="center" vertical="center"/>
    </xf>
    <xf numFmtId="165" fontId="3" fillId="0" borderId="0" xfId="1" applyNumberFormat="1" applyFont="1" applyFill="1" applyBorder="1" applyAlignment="1" applyProtection="1">
      <alignment horizontal="center"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Border="1" applyAlignment="1">
      <alignment horizontal="center"/>
    </xf>
    <xf numFmtId="1" fontId="13" fillId="3" borderId="0" xfId="1" applyNumberFormat="1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>
      <alignment horizontal="left"/>
    </xf>
    <xf numFmtId="1" fontId="13" fillId="3" borderId="1" xfId="7" applyNumberFormat="1" applyFont="1" applyFill="1" applyBorder="1" applyAlignment="1">
      <alignment horizontal="center"/>
    </xf>
    <xf numFmtId="165" fontId="6" fillId="3" borderId="0" xfId="1" applyNumberFormat="1" applyFont="1" applyFill="1" applyBorder="1" applyAlignment="1" applyProtection="1">
      <alignment vertical="center"/>
    </xf>
    <xf numFmtId="0" fontId="1" fillId="0" borderId="0" xfId="7" applyAlignment="1">
      <alignment horizontal="center"/>
    </xf>
    <xf numFmtId="2" fontId="3" fillId="3" borderId="1" xfId="1" applyNumberFormat="1" applyFont="1" applyFill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/>
    </xf>
    <xf numFmtId="165" fontId="3" fillId="0" borderId="0" xfId="1" applyNumberFormat="1" applyFont="1" applyFill="1" applyBorder="1" applyAlignment="1" applyProtection="1">
      <alignment horizontal="center" vertical="center"/>
    </xf>
    <xf numFmtId="165" fontId="6" fillId="3" borderId="6" xfId="1" applyNumberFormat="1" applyFont="1" applyFill="1" applyBorder="1" applyAlignment="1" applyProtection="1">
      <alignment horizontal="center" vertical="center"/>
    </xf>
    <xf numFmtId="165" fontId="6" fillId="3" borderId="7" xfId="1" applyNumberFormat="1" applyFont="1" applyFill="1" applyBorder="1" applyAlignment="1" applyProtection="1">
      <alignment horizontal="center" vertical="center"/>
    </xf>
    <xf numFmtId="165" fontId="6" fillId="3" borderId="5" xfId="1" applyNumberFormat="1" applyFont="1" applyFill="1" applyBorder="1" applyAlignment="1" applyProtection="1">
      <alignment horizontal="center" vertical="center"/>
    </xf>
    <xf numFmtId="1" fontId="10" fillId="7" borderId="1" xfId="1" applyNumberFormat="1" applyFont="1" applyFill="1" applyBorder="1" applyAlignment="1" applyProtection="1">
      <alignment horizontal="center" vertical="center" wrapText="1"/>
    </xf>
    <xf numFmtId="0" fontId="10" fillId="7" borderId="1" xfId="0" applyFont="1" applyFill="1" applyBorder="1" applyAlignment="1">
      <alignment horizontal="left" vertical="center" wrapText="1"/>
    </xf>
    <xf numFmtId="2" fontId="6" fillId="7" borderId="1" xfId="1" applyNumberFormat="1" applyFont="1" applyFill="1" applyBorder="1" applyAlignment="1">
      <alignment horizontal="left" vertical="center" wrapText="1"/>
    </xf>
    <xf numFmtId="0" fontId="10" fillId="7" borderId="1" xfId="2" applyFont="1" applyFill="1" applyBorder="1" applyAlignment="1">
      <alignment horizontal="left" vertical="center"/>
    </xf>
    <xf numFmtId="1" fontId="6" fillId="7" borderId="1" xfId="1" applyNumberFormat="1" applyFont="1" applyFill="1" applyBorder="1" applyAlignment="1">
      <alignment horizontal="center" vertical="center" wrapText="1"/>
    </xf>
    <xf numFmtId="2" fontId="10" fillId="7" borderId="1" xfId="1" applyNumberFormat="1" applyFont="1" applyFill="1" applyBorder="1" applyAlignment="1" applyProtection="1">
      <alignment horizontal="center" vertical="center" wrapText="1"/>
    </xf>
    <xf numFmtId="9" fontId="10" fillId="7" borderId="1" xfId="11" applyFont="1" applyFill="1" applyBorder="1" applyAlignment="1" applyProtection="1">
      <alignment horizontal="center" vertical="center"/>
    </xf>
    <xf numFmtId="0" fontId="10" fillId="7" borderId="1" xfId="1" applyNumberFormat="1" applyFont="1" applyFill="1" applyBorder="1" applyAlignment="1" applyProtection="1">
      <alignment horizontal="center" vertical="center" wrapText="1"/>
    </xf>
    <xf numFmtId="0" fontId="10" fillId="7" borderId="1" xfId="1" applyFont="1" applyFill="1" applyBorder="1" applyAlignment="1" applyProtection="1">
      <alignment vertical="center"/>
    </xf>
    <xf numFmtId="2" fontId="3" fillId="7" borderId="1" xfId="1" applyNumberFormat="1" applyFont="1" applyFill="1" applyBorder="1" applyAlignment="1" applyProtection="1">
      <alignment horizontal="center" vertical="center" wrapText="1"/>
    </xf>
  </cellXfs>
  <cellStyles count="12">
    <cellStyle name="Millares" xfId="9" builtinId="3"/>
    <cellStyle name="Millares [0]" xfId="10" builtinId="6"/>
    <cellStyle name="Millares [0] 2" xfId="4" xr:uid="{00000000-0005-0000-0000-000001000000}"/>
    <cellStyle name="Millares [0] 2 2" xfId="8" xr:uid="{00000000-0005-0000-0000-000002000000}"/>
    <cellStyle name="Millares [0] 2 3" xfId="6" xr:uid="{00000000-0005-0000-0000-000003000000}"/>
    <cellStyle name="Normal" xfId="0" builtinId="0"/>
    <cellStyle name="Normal 2" xfId="1" xr:uid="{00000000-0005-0000-0000-000005000000}"/>
    <cellStyle name="Normal 3" xfId="2" xr:uid="{00000000-0005-0000-0000-000006000000}"/>
    <cellStyle name="Normal 3 2" xfId="7" xr:uid="{00000000-0005-0000-0000-000007000000}"/>
    <cellStyle name="Normal 3 3" xfId="5" xr:uid="{00000000-0005-0000-0000-000008000000}"/>
    <cellStyle name="Porcentaje" xfId="11" builtinId="5"/>
    <cellStyle name="Porcentaje 2" xfId="3" xr:uid="{00000000-0005-0000-0000-000009000000}"/>
  </cellStyles>
  <dxfs count="0"/>
  <tableStyles count="0" defaultTableStyle="TableStyleMedium2" defaultPivotStyle="PivotStyleLight16"/>
  <colors>
    <mruColors>
      <color rgb="FFFF9933"/>
      <color rgb="FFFF9900"/>
      <color rgb="FFFF6600"/>
      <color rgb="FFFF94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Ciclo PHVA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Resumen!$C$10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Resumen!$B$11:$B$14</c:f>
              <c:strCache>
                <c:ptCount val="4"/>
                <c:pt idx="0">
                  <c:v>Ajustar</c:v>
                </c:pt>
                <c:pt idx="1">
                  <c:v>Verificar</c:v>
                </c:pt>
                <c:pt idx="2">
                  <c:v>Hacer</c:v>
                </c:pt>
                <c:pt idx="3">
                  <c:v>Planear</c:v>
                </c:pt>
              </c:strCache>
            </c:strRef>
          </c:cat>
          <c:val>
            <c:numRef>
              <c:f>Resumen!$D$11:$D$14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B-48F1-ADB4-B8FC3BD5F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5101295"/>
        <c:axId val="887450559"/>
      </c:barChart>
      <c:catAx>
        <c:axId val="71510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7450559"/>
        <c:crosses val="autoZero"/>
        <c:auto val="1"/>
        <c:lblAlgn val="ctr"/>
        <c:lblOffset val="100"/>
        <c:noMultiLvlLbl val="0"/>
      </c:catAx>
      <c:valAx>
        <c:axId val="88745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510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Resumen!$K$10</c:f>
              <c:strCache>
                <c:ptCount val="1"/>
                <c:pt idx="0">
                  <c:v>Veces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Resumen!$I$11:$I$19</c:f>
              <c:strCache>
                <c:ptCount val="9"/>
                <c:pt idx="0">
                  <c:v>Anual</c:v>
                </c:pt>
                <c:pt idx="1">
                  <c:v>Semestral</c:v>
                </c:pt>
                <c:pt idx="2">
                  <c:v>Trimestral</c:v>
                </c:pt>
                <c:pt idx="3">
                  <c:v>Bimestral</c:v>
                </c:pt>
                <c:pt idx="4">
                  <c:v>Mensual</c:v>
                </c:pt>
                <c:pt idx="5">
                  <c:v>Quincenal</c:v>
                </c:pt>
                <c:pt idx="6">
                  <c:v>Campaña</c:v>
                </c:pt>
                <c:pt idx="7">
                  <c:v>Semanal</c:v>
                </c:pt>
                <c:pt idx="8">
                  <c:v>Diario</c:v>
                </c:pt>
              </c:strCache>
            </c:strRef>
          </c:cat>
          <c:val>
            <c:numRef>
              <c:f>Resumen!$K$11:$K$19</c:f>
              <c:numCache>
                <c:formatCode>0%</c:formatCode>
                <c:ptCount val="9"/>
                <c:pt idx="0">
                  <c:v>3.5714285714285712E-2</c:v>
                </c:pt>
                <c:pt idx="1">
                  <c:v>0</c:v>
                </c:pt>
                <c:pt idx="2">
                  <c:v>0.32142857142857145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A-4CB9-9649-6DB5F01B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5136895"/>
        <c:axId val="875087967"/>
      </c:barChart>
      <c:catAx>
        <c:axId val="71513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5087967"/>
        <c:crosses val="autoZero"/>
        <c:auto val="1"/>
        <c:lblAlgn val="ctr"/>
        <c:lblOffset val="100"/>
        <c:noMultiLvlLbl val="0"/>
      </c:catAx>
      <c:valAx>
        <c:axId val="8750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51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Creación/Captura de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Resumen!$R$10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F-4D7E-84D4-6E2E314A45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FF-4D7E-84D4-6E2E314A45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Resumen!$Q$11:$Q$12</c:f>
              <c:strCache>
                <c:ptCount val="2"/>
                <c:pt idx="0">
                  <c:v>Creación de valor</c:v>
                </c:pt>
                <c:pt idx="1">
                  <c:v>Captura de valor</c:v>
                </c:pt>
              </c:strCache>
            </c:strRef>
          </c:cat>
          <c:val>
            <c:numRef>
              <c:f>Resumen!$S$11:$S$12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F-4D7E-84D4-6E2E314A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880432"/>
        <c:axId val="1690931520"/>
      </c:barChart>
      <c:catAx>
        <c:axId val="16548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0931520"/>
        <c:crosses val="autoZero"/>
        <c:auto val="1"/>
        <c:lblAlgn val="ctr"/>
        <c:lblOffset val="100"/>
        <c:noMultiLvlLbl val="0"/>
      </c:catAx>
      <c:valAx>
        <c:axId val="16909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488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1836963</xdr:colOff>
      <xdr:row>1</xdr:row>
      <xdr:rowOff>108857</xdr:rowOff>
    </xdr:from>
    <xdr:to>
      <xdr:col>12</xdr:col>
      <xdr:colOff>1774900</xdr:colOff>
      <xdr:row>6</xdr:row>
      <xdr:rowOff>149678</xdr:rowOff>
    </xdr:to>
    <xdr:pic>
      <xdr:nvPicPr>
        <xdr:cNvPr id="2" name="Imagen 1" descr="Línea Directa- Venta de ropa por catálogo para hombre y mujer">
          <a:extLst>
            <a:ext uri="{FF2B5EF4-FFF2-40B4-BE49-F238E27FC236}">
              <a16:creationId xmlns:a16="http://schemas.microsoft.com/office/drawing/2014/main" id="{57706759-8FA2-41CE-A66B-4700D63BAB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96" t="23106" r="23759" b="24263"/>
        <a:stretch/>
      </xdr:blipFill>
      <xdr:spPr bwMode="auto">
        <a:xfrm>
          <a:off x="15212784" y="285750"/>
          <a:ext cx="1938187" cy="993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303894</xdr:colOff>
      <xdr:row>8</xdr:row>
      <xdr:rowOff>166414</xdr:rowOff>
    </xdr:from>
    <xdr:to>
      <xdr:col>7</xdr:col>
      <xdr:colOff>476251</xdr:colOff>
      <xdr:row>23</xdr:row>
      <xdr:rowOff>177299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8EC734-7A49-45D1-B5A2-4AE0CF7D1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725714</xdr:colOff>
      <xdr:row>8</xdr:row>
      <xdr:rowOff>166006</xdr:rowOff>
    </xdr:from>
    <xdr:to>
      <xdr:col>14</xdr:col>
      <xdr:colOff>941161</xdr:colOff>
      <xdr:row>23</xdr:row>
      <xdr:rowOff>177706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5E9AC2-E38C-43BA-AC3C-60FA3344A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183695</xdr:colOff>
      <xdr:row>8</xdr:row>
      <xdr:rowOff>166006</xdr:rowOff>
    </xdr:from>
    <xdr:to>
      <xdr:col>22</xdr:col>
      <xdr:colOff>400895</xdr:colOff>
      <xdr:row>23</xdr:row>
      <xdr:rowOff>177706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228C52-3C82-4EEE-82FA-324D6839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693964</xdr:colOff>
      <xdr:row>1</xdr:row>
      <xdr:rowOff>27214</xdr:rowOff>
    </xdr:from>
    <xdr:to>
      <xdr:col>22</xdr:col>
      <xdr:colOff>346151</xdr:colOff>
      <xdr:row>6</xdr:row>
      <xdr:rowOff>68035</xdr:rowOff>
    </xdr:to>
    <xdr:pic>
      <xdr:nvPicPr>
        <xdr:cNvPr id="6" name="Imagen 5" descr="Línea Directa- Venta de ropa por catálogo para hombre y mujer">
          <a:extLst>
            <a:ext uri="{FF2B5EF4-FFF2-40B4-BE49-F238E27FC236}">
              <a16:creationId xmlns:a16="http://schemas.microsoft.com/office/drawing/2014/main" id="{1A298D9F-96B5-44C7-ADA9-2C01727A0F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96" t="23106" r="23759" b="24263"/>
        <a:stretch/>
      </xdr:blipFill>
      <xdr:spPr bwMode="auto">
        <a:xfrm>
          <a:off x="15240000" y="217714"/>
          <a:ext cx="1938187" cy="993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331623</xdr:colOff>
      <xdr:row>0</xdr:row>
      <xdr:rowOff>95968</xdr:rowOff>
    </xdr:from>
    <xdr:to>
      <xdr:col>13</xdr:col>
      <xdr:colOff>745810</xdr:colOff>
      <xdr:row>5</xdr:row>
      <xdr:rowOff>136789</xdr:rowOff>
    </xdr:to>
    <xdr:pic>
      <xdr:nvPicPr>
        <xdr:cNvPr id="2" name="Imagen 1" descr="Línea Directa- Venta de ropa por catálogo para hombre y mujer">
          <a:extLst>
            <a:ext uri="{FF2B5EF4-FFF2-40B4-BE49-F238E27FC236}">
              <a16:creationId xmlns:a16="http://schemas.microsoft.com/office/drawing/2014/main" id="{D0CE5709-1AE7-44B5-B8FE-474B8D7E91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96" t="23106" r="23759" b="24263"/>
        <a:stretch/>
      </xdr:blipFill>
      <xdr:spPr bwMode="auto">
        <a:xfrm>
          <a:off x="11506074" y="95968"/>
          <a:ext cx="1947480" cy="97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9"/>
  <sheetViews>
    <sheetView showGridLines="0" tabSelected="1" topLeftCell="B17" zoomScale="70" zoomScaleNormal="70" workbookViewId="0">
      <selection activeCell="C28" sqref="C28"/>
    </sheetView>
  </sheetViews>
  <sheetFormatPr baseColWidth="10" defaultColWidth="10.81640625" defaultRowHeight="12.5" x14ac:dyDescent="0.35"/>
  <cols>
    <col min="1" max="1" width="5.54296875" style="9" customWidth="1"/>
    <col min="2" max="2" width="63.54296875" style="15" customWidth="1"/>
    <col min="3" max="3" width="45.81640625" style="16" customWidth="1"/>
    <col min="4" max="4" width="17.54296875" style="9" bestFit="1" customWidth="1"/>
    <col min="5" max="5" width="21.1796875" style="9" bestFit="1" customWidth="1"/>
    <col min="6" max="6" width="8.7265625" style="9" customWidth="1"/>
    <col min="7" max="7" width="12.1796875" style="9" customWidth="1"/>
    <col min="8" max="8" width="11.1796875" style="17" customWidth="1"/>
    <col min="9" max="9" width="14.54296875" style="17" customWidth="1"/>
    <col min="10" max="10" width="8.81640625" style="17" customWidth="1"/>
    <col min="11" max="11" width="21.453125" style="16" customWidth="1"/>
    <col min="12" max="12" width="30" style="17" bestFit="1" customWidth="1"/>
    <col min="13" max="13" width="28" style="22" customWidth="1"/>
    <col min="14" max="14" width="30" style="17" customWidth="1"/>
    <col min="15" max="17" width="11" style="22" customWidth="1"/>
    <col min="18" max="16384" width="10.81640625" style="22"/>
  </cols>
  <sheetData>
    <row r="1" spans="1:19" ht="14" x14ac:dyDescent="0.35">
      <c r="D1" s="2"/>
      <c r="E1" s="2"/>
      <c r="F1" s="2"/>
      <c r="G1" s="2"/>
    </row>
    <row r="2" spans="1:19" ht="15.5" x14ac:dyDescent="0.35">
      <c r="A2"/>
      <c r="D2" s="2"/>
      <c r="E2" s="22"/>
      <c r="F2" s="117" t="s">
        <v>0</v>
      </c>
      <c r="G2" s="117"/>
      <c r="H2" s="117"/>
      <c r="I2" s="22"/>
      <c r="J2" s="57"/>
      <c r="K2" s="57"/>
    </row>
    <row r="3" spans="1:19" ht="13.5" customHeight="1" x14ac:dyDescent="0.35">
      <c r="A3" s="10"/>
      <c r="B3" s="95" t="s">
        <v>1</v>
      </c>
      <c r="C3" s="90"/>
      <c r="D3" s="2"/>
      <c r="E3" s="19"/>
      <c r="F3" s="79" t="s">
        <v>2</v>
      </c>
      <c r="G3" s="79" t="s">
        <v>3</v>
      </c>
      <c r="H3" s="79" t="s">
        <v>4</v>
      </c>
      <c r="J3" s="33"/>
      <c r="K3" s="58"/>
    </row>
    <row r="4" spans="1:19" ht="14" x14ac:dyDescent="0.25">
      <c r="B4" s="9"/>
      <c r="C4" s="93"/>
      <c r="D4" s="2"/>
      <c r="E4" s="66" t="s">
        <v>5</v>
      </c>
      <c r="F4" s="20">
        <v>9</v>
      </c>
      <c r="G4" s="20">
        <f>+F4*5*4.3</f>
        <v>193.5</v>
      </c>
      <c r="H4" s="21">
        <f>(G4*12)/9</f>
        <v>258</v>
      </c>
      <c r="J4" s="33"/>
      <c r="K4" s="58"/>
    </row>
    <row r="5" spans="1:19" ht="14" x14ac:dyDescent="0.35">
      <c r="B5" s="95" t="s">
        <v>6</v>
      </c>
      <c r="C5" s="91">
        <v>44095</v>
      </c>
      <c r="D5" s="2"/>
      <c r="E5" s="66" t="s">
        <v>7</v>
      </c>
      <c r="F5" s="7">
        <f>+(G5/4.3)/5</f>
        <v>1.937984496124031E-2</v>
      </c>
      <c r="G5" s="20">
        <f>+H5/12</f>
        <v>0.41666666666666669</v>
      </c>
      <c r="H5" s="85">
        <v>5</v>
      </c>
    </row>
    <row r="6" spans="1:19" ht="14" x14ac:dyDescent="0.25">
      <c r="B6" s="9"/>
      <c r="C6" s="115"/>
      <c r="E6" s="66" t="s">
        <v>8</v>
      </c>
      <c r="F6" s="7">
        <f>+(G6/4.3)/5</f>
        <v>1.937984496124031E-2</v>
      </c>
      <c r="G6" s="20">
        <f>+H6/12</f>
        <v>0.41666666666666669</v>
      </c>
      <c r="H6" s="85">
        <v>5</v>
      </c>
    </row>
    <row r="7" spans="1:19" ht="14" x14ac:dyDescent="0.35">
      <c r="B7" s="95" t="s">
        <v>9</v>
      </c>
      <c r="C7" s="90" t="s">
        <v>66</v>
      </c>
      <c r="E7" s="66" t="s">
        <v>10</v>
      </c>
      <c r="F7" s="7">
        <f>+(G7/4.3)/5</f>
        <v>5.8139534883720936E-2</v>
      </c>
      <c r="G7" s="20">
        <f>+H7/12</f>
        <v>1.25</v>
      </c>
      <c r="H7" s="85">
        <v>15</v>
      </c>
    </row>
    <row r="8" spans="1:19" ht="14" x14ac:dyDescent="0.25">
      <c r="B8" s="9"/>
      <c r="C8" s="93"/>
      <c r="E8" s="66" t="s">
        <v>11</v>
      </c>
      <c r="F8" s="7">
        <f>+(G8/4.3)/5</f>
        <v>3.1007751937984496E-2</v>
      </c>
      <c r="G8" s="20">
        <f>+H8/12</f>
        <v>0.66666666666666663</v>
      </c>
      <c r="H8" s="85">
        <v>8</v>
      </c>
    </row>
    <row r="9" spans="1:19" ht="14" x14ac:dyDescent="0.35">
      <c r="B9" s="95" t="s">
        <v>12</v>
      </c>
      <c r="C9" s="90"/>
      <c r="E9" s="66" t="s">
        <v>13</v>
      </c>
      <c r="F9" s="7">
        <f>+(G9/4.3)/5</f>
        <v>6.9767441860465115E-2</v>
      </c>
      <c r="G9" s="20">
        <f>+H9/12</f>
        <v>1.5</v>
      </c>
      <c r="H9" s="85">
        <v>18</v>
      </c>
    </row>
    <row r="10" spans="1:19" ht="14" x14ac:dyDescent="0.35">
      <c r="E10" s="64" t="s">
        <v>14</v>
      </c>
      <c r="F10" s="20">
        <f>F4-(F4*(SUM(F5:F9)))</f>
        <v>7.220930232558139</v>
      </c>
      <c r="G10" s="20">
        <f t="shared" ref="G10" si="0">+F10*5*4.3</f>
        <v>155.24999999999997</v>
      </c>
      <c r="H10" s="21">
        <f>(G10*12)/9</f>
        <v>206.99999999999994</v>
      </c>
      <c r="I10" s="18"/>
    </row>
    <row r="11" spans="1:19" ht="15.5" x14ac:dyDescent="0.35">
      <c r="E11" s="6" t="s">
        <v>15</v>
      </c>
      <c r="F11" s="62">
        <f>F10/F4</f>
        <v>0.80232558139534882</v>
      </c>
      <c r="G11" s="24"/>
      <c r="H11" s="24"/>
    </row>
    <row r="12" spans="1:19" ht="15.5" x14ac:dyDescent="0.35">
      <c r="E12" s="6"/>
      <c r="F12" s="75"/>
      <c r="G12" s="24"/>
      <c r="H12" s="24"/>
    </row>
    <row r="13" spans="1:19" s="11" customFormat="1" ht="14" x14ac:dyDescent="0.35">
      <c r="B13" s="25"/>
      <c r="C13" s="26"/>
      <c r="D13" s="8"/>
      <c r="E13" s="8"/>
      <c r="F13" s="8"/>
      <c r="G13" s="8"/>
      <c r="H13" s="8"/>
      <c r="I13" s="8"/>
      <c r="J13" s="8"/>
      <c r="K13" s="27"/>
      <c r="L13" s="28"/>
      <c r="M13" s="28"/>
      <c r="N13" s="28"/>
      <c r="O13" s="28"/>
      <c r="P13" s="28"/>
      <c r="Q13" s="28"/>
      <c r="R13" s="28"/>
      <c r="S13" s="28"/>
    </row>
    <row r="14" spans="1:19" s="11" customFormat="1" ht="49.5" customHeight="1" x14ac:dyDescent="0.35">
      <c r="A14" s="5" t="s">
        <v>16</v>
      </c>
      <c r="B14" s="5" t="s">
        <v>12</v>
      </c>
      <c r="C14" s="14" t="s">
        <v>17</v>
      </c>
      <c r="D14" s="67" t="s">
        <v>18</v>
      </c>
      <c r="E14" s="5" t="s">
        <v>19</v>
      </c>
      <c r="F14" s="5" t="s">
        <v>20</v>
      </c>
      <c r="G14" s="67" t="s">
        <v>21</v>
      </c>
      <c r="H14" s="77" t="s">
        <v>22</v>
      </c>
      <c r="I14" s="77" t="s">
        <v>23</v>
      </c>
      <c r="J14" s="78" t="s">
        <v>24</v>
      </c>
      <c r="K14" s="5" t="s">
        <v>25</v>
      </c>
      <c r="L14" s="67" t="s">
        <v>26</v>
      </c>
      <c r="M14" s="67" t="s">
        <v>27</v>
      </c>
      <c r="N14" s="79" t="s">
        <v>62</v>
      </c>
      <c r="O14" s="1"/>
      <c r="P14" s="28"/>
      <c r="Q14" s="28"/>
      <c r="R14" s="28"/>
      <c r="S14" s="28"/>
    </row>
    <row r="15" spans="1:19" s="49" customFormat="1" ht="56" x14ac:dyDescent="0.35">
      <c r="A15" s="52"/>
      <c r="B15" s="104" t="s">
        <v>67</v>
      </c>
      <c r="C15" s="92" t="s">
        <v>68</v>
      </c>
      <c r="D15" s="59" t="s">
        <v>38</v>
      </c>
      <c r="E15" s="59" t="s">
        <v>48</v>
      </c>
      <c r="F15" s="94">
        <v>1</v>
      </c>
      <c r="G15" s="94">
        <v>1800</v>
      </c>
      <c r="H15" s="47">
        <f>IFERROR(VLOOKUP(E15,Combos!$A$2:$B$10,2,FALSE)*F15,"")</f>
        <v>0.33333333333333331</v>
      </c>
      <c r="I15" s="47">
        <f>IFERROR(G15*H15,"")</f>
        <v>600</v>
      </c>
      <c r="J15" s="107">
        <f>IFERROR(I15/$I$44,"")</f>
        <v>4.7092064987049681E-2</v>
      </c>
      <c r="K15" s="50" t="s">
        <v>101</v>
      </c>
      <c r="L15" s="51"/>
      <c r="M15" s="116" t="s">
        <v>102</v>
      </c>
      <c r="N15" s="51"/>
      <c r="O15" s="46"/>
      <c r="P15" s="48"/>
      <c r="Q15" s="48"/>
      <c r="R15" s="48"/>
      <c r="S15" s="48"/>
    </row>
    <row r="16" spans="1:19" s="49" customFormat="1" ht="84" x14ac:dyDescent="0.35">
      <c r="A16" s="52"/>
      <c r="B16" s="104" t="s">
        <v>67</v>
      </c>
      <c r="C16" s="92" t="s">
        <v>69</v>
      </c>
      <c r="D16" s="59" t="s">
        <v>38</v>
      </c>
      <c r="E16" s="59" t="s">
        <v>48</v>
      </c>
      <c r="F16" s="94">
        <v>2</v>
      </c>
      <c r="G16" s="94">
        <v>240</v>
      </c>
      <c r="H16" s="47">
        <f>IFERROR(VLOOKUP(E16,Combos!$A$2:$B$10,2,FALSE)*F16,"")</f>
        <v>0.66666666666666663</v>
      </c>
      <c r="I16" s="47">
        <f t="shared" ref="I16:I42" si="1">IFERROR(G16*H16,"")</f>
        <v>160</v>
      </c>
      <c r="J16" s="107">
        <f t="shared" ref="J16:J42" si="2">IFERROR(I16/$I$44,"")</f>
        <v>1.2557883996546582E-2</v>
      </c>
      <c r="K16" s="50" t="s">
        <v>103</v>
      </c>
      <c r="L16" s="51"/>
      <c r="M16" s="116" t="s">
        <v>104</v>
      </c>
      <c r="N16" s="51"/>
      <c r="O16" s="46"/>
      <c r="P16" s="48"/>
      <c r="Q16" s="48"/>
      <c r="R16" s="48"/>
      <c r="S16" s="48"/>
    </row>
    <row r="17" spans="1:19" s="49" customFormat="1" ht="98" x14ac:dyDescent="0.35">
      <c r="A17" s="52"/>
      <c r="B17" s="104" t="s">
        <v>67</v>
      </c>
      <c r="C17" s="92" t="s">
        <v>70</v>
      </c>
      <c r="D17" s="59" t="s">
        <v>38</v>
      </c>
      <c r="E17" s="59" t="s">
        <v>48</v>
      </c>
      <c r="F17" s="94">
        <v>2</v>
      </c>
      <c r="G17" s="94">
        <v>240</v>
      </c>
      <c r="H17" s="47">
        <f>IFERROR(VLOOKUP(E17,Combos!$A$2:$B$10,2,FALSE)*F17,"")</f>
        <v>0.66666666666666663</v>
      </c>
      <c r="I17" s="47">
        <f t="shared" si="1"/>
        <v>160</v>
      </c>
      <c r="J17" s="107">
        <f t="shared" si="2"/>
        <v>1.2557883996546582E-2</v>
      </c>
      <c r="K17" s="50" t="s">
        <v>103</v>
      </c>
      <c r="L17" s="51"/>
      <c r="M17" s="116" t="s">
        <v>105</v>
      </c>
      <c r="N17" s="51"/>
      <c r="O17" s="46"/>
      <c r="P17" s="48"/>
      <c r="Q17" s="48"/>
      <c r="R17" s="48"/>
      <c r="S17" s="48"/>
    </row>
    <row r="18" spans="1:19" s="49" customFormat="1" ht="112" x14ac:dyDescent="0.35">
      <c r="A18" s="52"/>
      <c r="B18" s="104" t="s">
        <v>67</v>
      </c>
      <c r="C18" s="92" t="s">
        <v>71</v>
      </c>
      <c r="D18" s="59" t="s">
        <v>38</v>
      </c>
      <c r="E18" s="59" t="s">
        <v>48</v>
      </c>
      <c r="F18" s="94">
        <v>2</v>
      </c>
      <c r="G18" s="94">
        <v>240</v>
      </c>
      <c r="H18" s="47">
        <f>IFERROR(VLOOKUP(E18,Combos!$A$2:$B$10,2,FALSE)*F18,"")</f>
        <v>0.66666666666666663</v>
      </c>
      <c r="I18" s="47">
        <f t="shared" si="1"/>
        <v>160</v>
      </c>
      <c r="J18" s="107">
        <f t="shared" si="2"/>
        <v>1.2557883996546582E-2</v>
      </c>
      <c r="K18" s="50" t="s">
        <v>101</v>
      </c>
      <c r="L18" s="51"/>
      <c r="M18" s="116" t="s">
        <v>106</v>
      </c>
      <c r="N18" s="51"/>
      <c r="O18" s="46"/>
      <c r="P18" s="48"/>
      <c r="Q18" s="48"/>
      <c r="R18" s="48"/>
      <c r="S18" s="48"/>
    </row>
    <row r="19" spans="1:19" s="49" customFormat="1" ht="168" x14ac:dyDescent="0.35">
      <c r="A19" s="52"/>
      <c r="B19" s="104" t="s">
        <v>67</v>
      </c>
      <c r="C19" s="92" t="s">
        <v>72</v>
      </c>
      <c r="D19" s="59" t="s">
        <v>38</v>
      </c>
      <c r="E19" s="59" t="s">
        <v>46</v>
      </c>
      <c r="F19" s="94">
        <v>2</v>
      </c>
      <c r="G19" s="94">
        <v>360</v>
      </c>
      <c r="H19" s="47">
        <f>IFERROR(VLOOKUP(E19,Combos!$A$2:$B$10,2,FALSE)*F19,"")</f>
        <v>2</v>
      </c>
      <c r="I19" s="47">
        <f t="shared" si="1"/>
        <v>720</v>
      </c>
      <c r="J19" s="107">
        <f t="shared" si="2"/>
        <v>5.6510477984459621E-2</v>
      </c>
      <c r="K19" s="50" t="s">
        <v>101</v>
      </c>
      <c r="L19" s="51"/>
      <c r="M19" s="116" t="s">
        <v>107</v>
      </c>
      <c r="N19" s="51"/>
      <c r="O19" s="46"/>
      <c r="P19" s="48"/>
      <c r="Q19" s="48"/>
      <c r="R19" s="48"/>
      <c r="S19" s="48"/>
    </row>
    <row r="20" spans="1:19" s="49" customFormat="1" ht="126" x14ac:dyDescent="0.35">
      <c r="A20" s="52"/>
      <c r="B20" s="104" t="s">
        <v>67</v>
      </c>
      <c r="C20" s="92" t="s">
        <v>73</v>
      </c>
      <c r="D20" s="59" t="s">
        <v>38</v>
      </c>
      <c r="E20" s="59" t="s">
        <v>48</v>
      </c>
      <c r="F20" s="94">
        <v>1</v>
      </c>
      <c r="G20" s="94">
        <v>600</v>
      </c>
      <c r="H20" s="47">
        <f>IFERROR(VLOOKUP(E20,Combos!$A$2:$B$10,2,FALSE)*F20,"")</f>
        <v>0.33333333333333331</v>
      </c>
      <c r="I20" s="47">
        <f t="shared" si="1"/>
        <v>200</v>
      </c>
      <c r="J20" s="107">
        <f t="shared" si="2"/>
        <v>1.5697354995683227E-2</v>
      </c>
      <c r="K20" s="50" t="s">
        <v>101</v>
      </c>
      <c r="L20" s="51"/>
      <c r="M20" s="116" t="s">
        <v>108</v>
      </c>
      <c r="N20" s="51"/>
      <c r="O20" s="46"/>
      <c r="P20" s="48"/>
      <c r="Q20" s="48"/>
      <c r="R20" s="48"/>
      <c r="S20" s="48"/>
    </row>
    <row r="21" spans="1:19" s="49" customFormat="1" ht="70" x14ac:dyDescent="0.35">
      <c r="A21" s="52"/>
      <c r="B21" s="104" t="s">
        <v>67</v>
      </c>
      <c r="C21" s="92" t="s">
        <v>74</v>
      </c>
      <c r="D21" s="59" t="s">
        <v>38</v>
      </c>
      <c r="E21" s="59" t="s">
        <v>48</v>
      </c>
      <c r="F21" s="94">
        <v>1</v>
      </c>
      <c r="G21" s="94">
        <v>240</v>
      </c>
      <c r="H21" s="47">
        <f>IFERROR(VLOOKUP(E21,Combos!$A$2:$B$10,2,FALSE)*F21,"")</f>
        <v>0.33333333333333331</v>
      </c>
      <c r="I21" s="47">
        <f t="shared" si="1"/>
        <v>80</v>
      </c>
      <c r="J21" s="107">
        <f t="shared" si="2"/>
        <v>6.278941998273291E-3</v>
      </c>
      <c r="K21" s="50" t="s">
        <v>101</v>
      </c>
      <c r="L21" s="51"/>
      <c r="M21" s="116" t="s">
        <v>109</v>
      </c>
      <c r="N21" s="51"/>
      <c r="O21" s="46"/>
      <c r="P21" s="48"/>
      <c r="Q21" s="48"/>
      <c r="R21" s="48"/>
      <c r="S21" s="48"/>
    </row>
    <row r="22" spans="1:19" s="49" customFormat="1" ht="28" x14ac:dyDescent="0.35">
      <c r="A22" s="52"/>
      <c r="B22" s="104" t="s">
        <v>67</v>
      </c>
      <c r="C22" s="92" t="s">
        <v>75</v>
      </c>
      <c r="D22" s="59" t="s">
        <v>40</v>
      </c>
      <c r="E22" s="59" t="s">
        <v>48</v>
      </c>
      <c r="F22" s="94">
        <v>1</v>
      </c>
      <c r="G22" s="94">
        <v>120</v>
      </c>
      <c r="H22" s="47">
        <f>IFERROR(VLOOKUP(E22,Combos!$A$2:$B$10,2,FALSE)*F22,"")</f>
        <v>0.33333333333333331</v>
      </c>
      <c r="I22" s="47">
        <f t="shared" si="1"/>
        <v>40</v>
      </c>
      <c r="J22" s="107">
        <f t="shared" si="2"/>
        <v>3.1394709991366455E-3</v>
      </c>
      <c r="K22" s="50" t="s">
        <v>110</v>
      </c>
      <c r="L22" s="51"/>
      <c r="M22" s="116"/>
      <c r="N22" s="51"/>
      <c r="O22" s="46"/>
      <c r="P22" s="48"/>
      <c r="Q22" s="48"/>
      <c r="R22" s="48"/>
      <c r="S22" s="48"/>
    </row>
    <row r="23" spans="1:19" s="49" customFormat="1" ht="56" x14ac:dyDescent="0.35">
      <c r="A23" s="52"/>
      <c r="B23" s="104" t="s">
        <v>67</v>
      </c>
      <c r="C23" s="92" t="s">
        <v>76</v>
      </c>
      <c r="D23" s="59" t="s">
        <v>38</v>
      </c>
      <c r="E23" s="59" t="s">
        <v>48</v>
      </c>
      <c r="F23" s="94">
        <v>1</v>
      </c>
      <c r="G23" s="94">
        <v>120</v>
      </c>
      <c r="H23" s="47">
        <f>IFERROR(VLOOKUP(E23,Combos!$A$2:$B$10,2,FALSE)*F23,"")</f>
        <v>0.33333333333333331</v>
      </c>
      <c r="I23" s="47">
        <f t="shared" si="1"/>
        <v>40</v>
      </c>
      <c r="J23" s="107">
        <f t="shared" si="2"/>
        <v>3.1394709991366455E-3</v>
      </c>
      <c r="K23" s="50" t="s">
        <v>111</v>
      </c>
      <c r="L23" s="51"/>
      <c r="M23" s="116" t="s">
        <v>112</v>
      </c>
      <c r="N23" s="51"/>
      <c r="O23" s="46"/>
      <c r="P23" s="48"/>
      <c r="Q23" s="48"/>
      <c r="R23" s="48"/>
      <c r="S23" s="48"/>
    </row>
    <row r="24" spans="1:19" s="49" customFormat="1" ht="28" x14ac:dyDescent="0.35">
      <c r="A24" s="52"/>
      <c r="B24" s="104" t="s">
        <v>67</v>
      </c>
      <c r="C24" s="92" t="s">
        <v>77</v>
      </c>
      <c r="D24" s="59" t="s">
        <v>38</v>
      </c>
      <c r="E24" s="59" t="s">
        <v>48</v>
      </c>
      <c r="F24" s="94">
        <v>1</v>
      </c>
      <c r="G24" s="94">
        <v>120</v>
      </c>
      <c r="H24" s="47">
        <f>IFERROR(VLOOKUP(E24,Combos!$A$2:$B$10,2,FALSE)*F24,"")</f>
        <v>0.33333333333333331</v>
      </c>
      <c r="I24" s="47">
        <f t="shared" si="1"/>
        <v>40</v>
      </c>
      <c r="J24" s="107">
        <f t="shared" si="2"/>
        <v>3.1394709991366455E-3</v>
      </c>
      <c r="K24" s="50" t="s">
        <v>113</v>
      </c>
      <c r="L24" s="51"/>
      <c r="M24" s="116"/>
      <c r="N24" s="51"/>
      <c r="O24" s="46"/>
      <c r="P24" s="48"/>
      <c r="Q24" s="48"/>
      <c r="R24" s="48"/>
      <c r="S24" s="48"/>
    </row>
    <row r="25" spans="1:19" s="49" customFormat="1" ht="126" x14ac:dyDescent="0.35">
      <c r="A25" s="122"/>
      <c r="B25" s="123" t="s">
        <v>78</v>
      </c>
      <c r="C25" s="124" t="s">
        <v>79</v>
      </c>
      <c r="D25" s="125"/>
      <c r="E25" s="125" t="s">
        <v>39</v>
      </c>
      <c r="F25" s="126">
        <v>1</v>
      </c>
      <c r="G25" s="126">
        <v>120</v>
      </c>
      <c r="H25" s="127">
        <f>IFERROR(VLOOKUP(E25,Combos!$A$2:$B$10,2,FALSE)*F25,"")</f>
        <v>20</v>
      </c>
      <c r="I25" s="127">
        <f t="shared" si="1"/>
        <v>2400</v>
      </c>
      <c r="J25" s="128">
        <f t="shared" si="2"/>
        <v>0.18836825994819872</v>
      </c>
      <c r="K25" s="129" t="s">
        <v>101</v>
      </c>
      <c r="L25" s="130"/>
      <c r="M25" s="131" t="s">
        <v>114</v>
      </c>
      <c r="N25" s="51"/>
      <c r="O25" s="46"/>
      <c r="P25" s="48"/>
      <c r="Q25" s="48"/>
      <c r="R25" s="48"/>
      <c r="S25" s="48"/>
    </row>
    <row r="26" spans="1:19" s="49" customFormat="1" ht="56" x14ac:dyDescent="0.35">
      <c r="A26" s="52"/>
      <c r="B26" s="104" t="s">
        <v>78</v>
      </c>
      <c r="C26" s="92" t="s">
        <v>80</v>
      </c>
      <c r="D26" s="59"/>
      <c r="E26" s="59" t="s">
        <v>39</v>
      </c>
      <c r="F26" s="94">
        <v>1</v>
      </c>
      <c r="G26" s="94">
        <v>60</v>
      </c>
      <c r="H26" s="47">
        <f>IFERROR(VLOOKUP(E26,Combos!$A$2:$B$10,2,FALSE)*F26,"")</f>
        <v>20</v>
      </c>
      <c r="I26" s="47">
        <f t="shared" si="1"/>
        <v>1200</v>
      </c>
      <c r="J26" s="107">
        <f t="shared" si="2"/>
        <v>9.4184129974099362E-2</v>
      </c>
      <c r="K26" s="50" t="s">
        <v>101</v>
      </c>
      <c r="L26" s="51"/>
      <c r="M26" s="116" t="s">
        <v>115</v>
      </c>
      <c r="N26" s="51"/>
      <c r="O26" s="46"/>
      <c r="P26" s="48"/>
      <c r="Q26" s="48"/>
      <c r="R26" s="48"/>
      <c r="S26" s="48"/>
    </row>
    <row r="27" spans="1:19" s="49" customFormat="1" ht="70" x14ac:dyDescent="0.35">
      <c r="A27" s="52"/>
      <c r="B27" s="104" t="s">
        <v>78</v>
      </c>
      <c r="C27" s="92" t="s">
        <v>81</v>
      </c>
      <c r="D27" s="59" t="s">
        <v>40</v>
      </c>
      <c r="E27" s="59" t="s">
        <v>39</v>
      </c>
      <c r="F27" s="94">
        <v>1</v>
      </c>
      <c r="G27" s="94">
        <v>45</v>
      </c>
      <c r="H27" s="47">
        <f>IFERROR(VLOOKUP(E27,Combos!$A$2:$B$10,2,FALSE)*F27,"")</f>
        <v>20</v>
      </c>
      <c r="I27" s="47">
        <f t="shared" si="1"/>
        <v>900</v>
      </c>
      <c r="J27" s="107">
        <f t="shared" si="2"/>
        <v>7.0638097480574522E-2</v>
      </c>
      <c r="K27" s="50" t="s">
        <v>116</v>
      </c>
      <c r="L27" s="51"/>
      <c r="M27" s="116" t="s">
        <v>117</v>
      </c>
      <c r="N27" s="51"/>
      <c r="O27" s="46"/>
      <c r="P27" s="48"/>
      <c r="Q27" s="48"/>
      <c r="R27" s="48"/>
      <c r="S27" s="48"/>
    </row>
    <row r="28" spans="1:19" s="49" customFormat="1" ht="28" x14ac:dyDescent="0.35">
      <c r="A28" s="122"/>
      <c r="B28" s="123" t="s">
        <v>78</v>
      </c>
      <c r="C28" s="124" t="s">
        <v>82</v>
      </c>
      <c r="D28" s="125"/>
      <c r="E28" s="125" t="s">
        <v>39</v>
      </c>
      <c r="F28" s="126">
        <v>2</v>
      </c>
      <c r="G28" s="126">
        <v>30</v>
      </c>
      <c r="H28" s="127">
        <f>IFERROR(VLOOKUP(E28,Combos!$A$2:$B$10,2,FALSE)*F28,"")</f>
        <v>40</v>
      </c>
      <c r="I28" s="127">
        <f t="shared" si="1"/>
        <v>1200</v>
      </c>
      <c r="J28" s="128">
        <f t="shared" si="2"/>
        <v>9.4184129974099362E-2</v>
      </c>
      <c r="K28" s="129" t="s">
        <v>118</v>
      </c>
      <c r="L28" s="130"/>
      <c r="M28" s="131" t="s">
        <v>119</v>
      </c>
      <c r="N28" s="51"/>
      <c r="O28" s="46"/>
      <c r="P28" s="48"/>
      <c r="Q28" s="48"/>
      <c r="R28" s="48"/>
      <c r="S28" s="48"/>
    </row>
    <row r="29" spans="1:19" s="49" customFormat="1" ht="14" x14ac:dyDescent="0.35">
      <c r="A29" s="52"/>
      <c r="B29" s="104" t="s">
        <v>78</v>
      </c>
      <c r="C29" s="92" t="s">
        <v>83</v>
      </c>
      <c r="D29" s="59" t="s">
        <v>38</v>
      </c>
      <c r="E29" s="59" t="s">
        <v>41</v>
      </c>
      <c r="F29" s="94">
        <v>1</v>
      </c>
      <c r="G29" s="94">
        <v>90</v>
      </c>
      <c r="H29" s="47">
        <f>IFERROR(VLOOKUP(E29,Combos!$A$2:$B$10,2,FALSE)*F29,"")</f>
        <v>4.3</v>
      </c>
      <c r="I29" s="47">
        <f t="shared" si="1"/>
        <v>387</v>
      </c>
      <c r="J29" s="107">
        <f t="shared" si="2"/>
        <v>3.0374381916647045E-2</v>
      </c>
      <c r="K29" s="50"/>
      <c r="L29" s="51"/>
      <c r="M29" s="116"/>
      <c r="N29" s="51"/>
      <c r="O29" s="46"/>
      <c r="P29" s="48"/>
      <c r="Q29" s="48"/>
      <c r="R29" s="48"/>
      <c r="S29" s="48"/>
    </row>
    <row r="30" spans="1:19" s="49" customFormat="1" ht="42" x14ac:dyDescent="0.35">
      <c r="A30" s="122"/>
      <c r="B30" s="123" t="s">
        <v>78</v>
      </c>
      <c r="C30" s="124" t="s">
        <v>84</v>
      </c>
      <c r="D30" s="125"/>
      <c r="E30" s="125" t="s">
        <v>46</v>
      </c>
      <c r="F30" s="126">
        <v>3</v>
      </c>
      <c r="G30" s="126">
        <v>120</v>
      </c>
      <c r="H30" s="127">
        <f>IFERROR(VLOOKUP(E30,Combos!$A$2:$B$10,2,FALSE)*F30,"")</f>
        <v>3</v>
      </c>
      <c r="I30" s="127">
        <f t="shared" si="1"/>
        <v>360</v>
      </c>
      <c r="J30" s="128">
        <f t="shared" si="2"/>
        <v>2.8255238992229811E-2</v>
      </c>
      <c r="K30" s="129"/>
      <c r="L30" s="130"/>
      <c r="M30" s="131" t="s">
        <v>120</v>
      </c>
      <c r="N30" s="51"/>
      <c r="O30" s="46"/>
      <c r="P30" s="48"/>
      <c r="Q30" s="48"/>
      <c r="R30" s="48"/>
      <c r="S30" s="48"/>
    </row>
    <row r="31" spans="1:19" s="49" customFormat="1" ht="14" x14ac:dyDescent="0.35">
      <c r="A31" s="52"/>
      <c r="B31" s="104" t="s">
        <v>78</v>
      </c>
      <c r="C31" s="92" t="s">
        <v>85</v>
      </c>
      <c r="D31" s="59"/>
      <c r="E31" s="59" t="s">
        <v>46</v>
      </c>
      <c r="F31" s="94">
        <v>2</v>
      </c>
      <c r="G31" s="94">
        <v>90</v>
      </c>
      <c r="H31" s="47">
        <f>IFERROR(VLOOKUP(E31,Combos!$A$2:$B$10,2,FALSE)*F31,"")</f>
        <v>2</v>
      </c>
      <c r="I31" s="47">
        <f t="shared" si="1"/>
        <v>180</v>
      </c>
      <c r="J31" s="107">
        <f t="shared" si="2"/>
        <v>1.4127619496114905E-2</v>
      </c>
      <c r="K31" s="50"/>
      <c r="L31" s="51"/>
      <c r="M31" s="116"/>
      <c r="N31" s="51"/>
      <c r="O31" s="46"/>
      <c r="P31" s="48"/>
      <c r="Q31" s="48"/>
      <c r="R31" s="48"/>
      <c r="S31" s="48"/>
    </row>
    <row r="32" spans="1:19" s="49" customFormat="1" ht="14" x14ac:dyDescent="0.35">
      <c r="A32" s="52"/>
      <c r="B32" s="104" t="s">
        <v>78</v>
      </c>
      <c r="C32" s="92" t="s">
        <v>86</v>
      </c>
      <c r="D32" s="59" t="s">
        <v>38</v>
      </c>
      <c r="E32" s="59" t="s">
        <v>41</v>
      </c>
      <c r="F32" s="94">
        <v>1</v>
      </c>
      <c r="G32" s="94">
        <v>120</v>
      </c>
      <c r="H32" s="47">
        <f>IFERROR(VLOOKUP(E32,Combos!$A$2:$B$10,2,FALSE)*F32,"")</f>
        <v>4.3</v>
      </c>
      <c r="I32" s="47">
        <f t="shared" si="1"/>
        <v>516</v>
      </c>
      <c r="J32" s="107">
        <f t="shared" si="2"/>
        <v>4.0499175888862725E-2</v>
      </c>
      <c r="K32" s="50"/>
      <c r="L32" s="51"/>
      <c r="M32" s="116" t="s">
        <v>121</v>
      </c>
      <c r="N32" s="51"/>
      <c r="O32" s="46"/>
      <c r="P32" s="48"/>
      <c r="Q32" s="48"/>
      <c r="R32" s="48"/>
      <c r="S32" s="48"/>
    </row>
    <row r="33" spans="1:19" s="49" customFormat="1" ht="56" x14ac:dyDescent="0.35">
      <c r="A33" s="52"/>
      <c r="B33" s="104" t="s">
        <v>78</v>
      </c>
      <c r="C33" s="92" t="s">
        <v>87</v>
      </c>
      <c r="D33" s="59" t="s">
        <v>38</v>
      </c>
      <c r="E33" s="59" t="s">
        <v>41</v>
      </c>
      <c r="F33" s="94">
        <v>3</v>
      </c>
      <c r="G33" s="94">
        <v>30</v>
      </c>
      <c r="H33" s="47">
        <f>IFERROR(VLOOKUP(E33,Combos!$A$2:$B$10,2,FALSE)*F33,"")</f>
        <v>12.899999999999999</v>
      </c>
      <c r="I33" s="47">
        <f t="shared" si="1"/>
        <v>386.99999999999994</v>
      </c>
      <c r="J33" s="107">
        <f t="shared" si="2"/>
        <v>3.0374381916647042E-2</v>
      </c>
      <c r="K33" s="50" t="s">
        <v>122</v>
      </c>
      <c r="L33" s="51"/>
      <c r="M33" s="116" t="s">
        <v>123</v>
      </c>
      <c r="N33" s="51"/>
      <c r="O33" s="46"/>
      <c r="P33" s="48"/>
      <c r="Q33" s="48"/>
      <c r="R33" s="48"/>
      <c r="S33" s="48"/>
    </row>
    <row r="34" spans="1:19" s="49" customFormat="1" ht="56" x14ac:dyDescent="0.35">
      <c r="A34" s="52"/>
      <c r="B34" s="104" t="s">
        <v>88</v>
      </c>
      <c r="C34" s="92" t="s">
        <v>89</v>
      </c>
      <c r="D34" s="59"/>
      <c r="E34" s="59" t="s">
        <v>41</v>
      </c>
      <c r="F34" s="94">
        <v>1</v>
      </c>
      <c r="G34" s="94">
        <v>30</v>
      </c>
      <c r="H34" s="47">
        <f>IFERROR(VLOOKUP(E34,Combos!$A$2:$B$10,2,FALSE)*F34,"")</f>
        <v>4.3</v>
      </c>
      <c r="I34" s="47">
        <f t="shared" si="1"/>
        <v>129</v>
      </c>
      <c r="J34" s="107">
        <f t="shared" si="2"/>
        <v>1.0124793972215681E-2</v>
      </c>
      <c r="K34" s="50" t="s">
        <v>124</v>
      </c>
      <c r="L34" s="51"/>
      <c r="M34" s="116" t="s">
        <v>125</v>
      </c>
      <c r="N34" s="51"/>
      <c r="O34" s="46"/>
      <c r="P34" s="48"/>
      <c r="Q34" s="48"/>
      <c r="R34" s="48"/>
      <c r="S34" s="48"/>
    </row>
    <row r="35" spans="1:19" s="49" customFormat="1" ht="14" x14ac:dyDescent="0.35">
      <c r="A35" s="52"/>
      <c r="B35" s="104" t="s">
        <v>88</v>
      </c>
      <c r="C35" s="92" t="s">
        <v>90</v>
      </c>
      <c r="D35" s="59" t="s">
        <v>42</v>
      </c>
      <c r="E35" s="59" t="s">
        <v>46</v>
      </c>
      <c r="F35" s="94">
        <v>1</v>
      </c>
      <c r="G35" s="94">
        <v>120</v>
      </c>
      <c r="H35" s="47">
        <f>IFERROR(VLOOKUP(E35,Combos!$A$2:$B$10,2,FALSE)*F35,"")</f>
        <v>1</v>
      </c>
      <c r="I35" s="47">
        <f t="shared" si="1"/>
        <v>120</v>
      </c>
      <c r="J35" s="107">
        <f t="shared" si="2"/>
        <v>9.4184129974099369E-3</v>
      </c>
      <c r="K35" s="50"/>
      <c r="L35" s="51"/>
      <c r="M35" s="116"/>
      <c r="N35" s="51"/>
      <c r="O35" s="46"/>
      <c r="P35" s="48"/>
      <c r="Q35" s="48"/>
      <c r="R35" s="48"/>
      <c r="S35" s="48"/>
    </row>
    <row r="36" spans="1:19" s="49" customFormat="1" ht="28" x14ac:dyDescent="0.35">
      <c r="A36" s="52"/>
      <c r="B36" s="104" t="s">
        <v>88</v>
      </c>
      <c r="C36" s="92" t="s">
        <v>91</v>
      </c>
      <c r="D36" s="59" t="s">
        <v>40</v>
      </c>
      <c r="E36" s="59" t="s">
        <v>41</v>
      </c>
      <c r="F36" s="94">
        <v>1</v>
      </c>
      <c r="G36" s="94">
        <v>60</v>
      </c>
      <c r="H36" s="47">
        <f>IFERROR(VLOOKUP(E36,Combos!$A$2:$B$10,2,FALSE)*F36,"")</f>
        <v>4.3</v>
      </c>
      <c r="I36" s="47">
        <f t="shared" si="1"/>
        <v>258</v>
      </c>
      <c r="J36" s="107">
        <f t="shared" si="2"/>
        <v>2.0249587944431362E-2</v>
      </c>
      <c r="K36" s="50"/>
      <c r="L36" s="51"/>
      <c r="M36" s="116"/>
      <c r="N36" s="51"/>
      <c r="O36" s="46"/>
      <c r="P36" s="48"/>
      <c r="Q36" s="48"/>
      <c r="R36" s="48"/>
      <c r="S36" s="48"/>
    </row>
    <row r="37" spans="1:19" s="49" customFormat="1" ht="14" x14ac:dyDescent="0.35">
      <c r="A37" s="52"/>
      <c r="B37" s="104" t="s">
        <v>92</v>
      </c>
      <c r="C37" s="92" t="s">
        <v>93</v>
      </c>
      <c r="D37" s="59" t="s">
        <v>38</v>
      </c>
      <c r="E37" s="59" t="s">
        <v>41</v>
      </c>
      <c r="F37" s="94">
        <v>1</v>
      </c>
      <c r="G37" s="94">
        <v>120</v>
      </c>
      <c r="H37" s="47">
        <f>IFERROR(VLOOKUP(E37,Combos!$A$2:$B$10,2,FALSE)*F37,"")</f>
        <v>4.3</v>
      </c>
      <c r="I37" s="47">
        <f t="shared" si="1"/>
        <v>516</v>
      </c>
      <c r="J37" s="107">
        <f t="shared" si="2"/>
        <v>4.0499175888862725E-2</v>
      </c>
      <c r="K37" s="50"/>
      <c r="L37" s="51"/>
      <c r="M37" s="116"/>
      <c r="N37" s="51"/>
      <c r="O37" s="46"/>
      <c r="P37" s="48"/>
      <c r="Q37" s="48"/>
      <c r="R37" s="48"/>
      <c r="S37" s="48"/>
    </row>
    <row r="38" spans="1:19" s="49" customFormat="1" ht="14" x14ac:dyDescent="0.35">
      <c r="A38" s="52"/>
      <c r="B38" s="104" t="s">
        <v>92</v>
      </c>
      <c r="C38" s="92" t="s">
        <v>94</v>
      </c>
      <c r="D38" s="59" t="s">
        <v>38</v>
      </c>
      <c r="E38" s="59" t="s">
        <v>46</v>
      </c>
      <c r="F38" s="94">
        <v>2</v>
      </c>
      <c r="G38" s="94">
        <v>120</v>
      </c>
      <c r="H38" s="47">
        <f>IFERROR(VLOOKUP(E38,Combos!$A$2:$B$10,2,FALSE)*F38,"")</f>
        <v>2</v>
      </c>
      <c r="I38" s="47">
        <f t="shared" si="1"/>
        <v>240</v>
      </c>
      <c r="J38" s="107">
        <f t="shared" si="2"/>
        <v>1.8836825994819874E-2</v>
      </c>
      <c r="K38" s="50"/>
      <c r="L38" s="51"/>
      <c r="M38" s="116"/>
      <c r="N38" s="51"/>
      <c r="O38" s="46"/>
      <c r="P38" s="48"/>
      <c r="Q38" s="48"/>
      <c r="R38" s="48"/>
      <c r="S38" s="48"/>
    </row>
    <row r="39" spans="1:19" s="49" customFormat="1" ht="84" x14ac:dyDescent="0.35">
      <c r="A39" s="52"/>
      <c r="B39" s="104" t="s">
        <v>88</v>
      </c>
      <c r="C39" s="92" t="s">
        <v>95</v>
      </c>
      <c r="D39" s="59"/>
      <c r="E39" s="59" t="s">
        <v>46</v>
      </c>
      <c r="F39" s="94">
        <v>1</v>
      </c>
      <c r="G39" s="94">
        <v>60</v>
      </c>
      <c r="H39" s="47">
        <f>IFERROR(VLOOKUP(E39,Combos!$A$2:$B$10,2,FALSE)*F39,"")</f>
        <v>1</v>
      </c>
      <c r="I39" s="47">
        <f t="shared" si="1"/>
        <v>60</v>
      </c>
      <c r="J39" s="107">
        <f t="shared" si="2"/>
        <v>4.7092064987049684E-3</v>
      </c>
      <c r="K39" s="50" t="s">
        <v>101</v>
      </c>
      <c r="L39" s="51"/>
      <c r="M39" s="116" t="s">
        <v>126</v>
      </c>
      <c r="N39" s="51"/>
      <c r="O39" s="46"/>
      <c r="P39" s="48"/>
      <c r="Q39" s="48"/>
      <c r="R39" s="48"/>
      <c r="S39" s="48"/>
    </row>
    <row r="40" spans="1:19" s="49" customFormat="1" ht="70" x14ac:dyDescent="0.35">
      <c r="A40" s="52"/>
      <c r="B40" s="104" t="s">
        <v>88</v>
      </c>
      <c r="C40" s="92" t="s">
        <v>96</v>
      </c>
      <c r="D40" s="59"/>
      <c r="E40" s="59" t="s">
        <v>41</v>
      </c>
      <c r="F40" s="94">
        <v>3</v>
      </c>
      <c r="G40" s="94">
        <v>120</v>
      </c>
      <c r="H40" s="47">
        <f>IFERROR(VLOOKUP(E40,Combos!$A$2:$B$10,2,FALSE)*F40,"")</f>
        <v>12.899999999999999</v>
      </c>
      <c r="I40" s="47">
        <f t="shared" si="1"/>
        <v>1547.9999999999998</v>
      </c>
      <c r="J40" s="107">
        <f t="shared" si="2"/>
        <v>0.12149752766658817</v>
      </c>
      <c r="K40" s="50"/>
      <c r="L40" s="51"/>
      <c r="M40" s="116" t="s">
        <v>127</v>
      </c>
      <c r="N40" s="51"/>
      <c r="O40" s="46"/>
      <c r="P40" s="48"/>
      <c r="Q40" s="48"/>
      <c r="R40" s="48"/>
      <c r="S40" s="48"/>
    </row>
    <row r="41" spans="1:19" s="49" customFormat="1" ht="42" x14ac:dyDescent="0.35">
      <c r="A41" s="52"/>
      <c r="B41" s="104" t="s">
        <v>97</v>
      </c>
      <c r="C41" s="92" t="s">
        <v>98</v>
      </c>
      <c r="D41" s="59" t="s">
        <v>42</v>
      </c>
      <c r="E41" s="59" t="s">
        <v>46</v>
      </c>
      <c r="F41" s="94">
        <v>1</v>
      </c>
      <c r="G41" s="94">
        <v>120</v>
      </c>
      <c r="H41" s="47">
        <f>IFERROR(VLOOKUP(E41,Combos!$A$2:$B$10,2,FALSE)*F41,"")</f>
        <v>1</v>
      </c>
      <c r="I41" s="47">
        <f t="shared" si="1"/>
        <v>120</v>
      </c>
      <c r="J41" s="107">
        <f t="shared" si="2"/>
        <v>9.4184129974099369E-3</v>
      </c>
      <c r="K41" s="50"/>
      <c r="L41" s="51"/>
      <c r="M41" s="116" t="s">
        <v>128</v>
      </c>
      <c r="N41" s="51"/>
      <c r="O41" s="46"/>
      <c r="P41" s="48"/>
      <c r="Q41" s="48"/>
      <c r="R41" s="48"/>
      <c r="S41" s="48"/>
    </row>
    <row r="42" spans="1:19" s="49" customFormat="1" ht="28" x14ac:dyDescent="0.35">
      <c r="A42" s="52"/>
      <c r="B42" s="104" t="s">
        <v>99</v>
      </c>
      <c r="C42" s="92" t="s">
        <v>100</v>
      </c>
      <c r="D42" s="59" t="s">
        <v>38</v>
      </c>
      <c r="E42" s="59" t="s">
        <v>50</v>
      </c>
      <c r="F42" s="94">
        <v>1</v>
      </c>
      <c r="G42" s="94">
        <v>240</v>
      </c>
      <c r="H42" s="47">
        <f>IFERROR(VLOOKUP(E42,Combos!$A$2:$B$10,2,FALSE)*F42,"")</f>
        <v>8.3333333333333329E-2</v>
      </c>
      <c r="I42" s="47">
        <f t="shared" si="1"/>
        <v>20</v>
      </c>
      <c r="J42" s="107">
        <f t="shared" si="2"/>
        <v>1.5697354995683227E-3</v>
      </c>
      <c r="K42" s="50"/>
      <c r="L42" s="51"/>
      <c r="M42" s="116"/>
      <c r="N42" s="51"/>
      <c r="O42" s="46"/>
      <c r="P42" s="48"/>
      <c r="Q42" s="48"/>
      <c r="R42" s="48"/>
      <c r="S42" s="48"/>
    </row>
    <row r="43" spans="1:19" ht="28.75" customHeight="1" x14ac:dyDescent="0.35">
      <c r="A43" s="12"/>
      <c r="B43" s="31"/>
      <c r="C43" s="32"/>
      <c r="D43" s="12"/>
      <c r="E43" s="12"/>
      <c r="F43" s="12"/>
      <c r="G43" s="12"/>
      <c r="H43" s="33"/>
      <c r="I43" s="33"/>
      <c r="J43" s="33"/>
    </row>
    <row r="44" spans="1:19" s="11" customFormat="1" ht="14" x14ac:dyDescent="0.3">
      <c r="A44" s="8"/>
      <c r="B44" s="105" t="s">
        <v>61</v>
      </c>
      <c r="H44" s="34" t="s">
        <v>28</v>
      </c>
      <c r="I44" s="60">
        <f>SUM(I15:I42)</f>
        <v>12741</v>
      </c>
      <c r="J44" s="3"/>
      <c r="R44" s="28"/>
      <c r="S44" s="28"/>
    </row>
    <row r="45" spans="1:19" s="11" customFormat="1" ht="14" x14ac:dyDescent="0.3">
      <c r="A45" s="13"/>
      <c r="B45" s="106"/>
      <c r="H45" s="34" t="s">
        <v>29</v>
      </c>
      <c r="I45" s="61">
        <f>I44/60</f>
        <v>212.35</v>
      </c>
      <c r="J45" s="3"/>
      <c r="R45" s="28"/>
      <c r="S45" s="28"/>
    </row>
    <row r="46" spans="1:19" s="11" customFormat="1" ht="14" x14ac:dyDescent="0.3">
      <c r="A46" s="13"/>
      <c r="B46" s="106"/>
      <c r="H46" s="76"/>
      <c r="I46" s="4"/>
      <c r="J46" s="3"/>
      <c r="K46" s="56"/>
      <c r="L46" s="63"/>
      <c r="M46" s="63"/>
      <c r="N46" s="63"/>
      <c r="O46" s="63"/>
      <c r="P46" s="63"/>
      <c r="R46" s="28"/>
      <c r="S46" s="28"/>
    </row>
    <row r="47" spans="1:19" s="11" customFormat="1" ht="14.15" customHeight="1" x14ac:dyDescent="0.35">
      <c r="A47" s="8"/>
      <c r="J47" s="8"/>
      <c r="K47" s="64"/>
      <c r="L47" s="89"/>
      <c r="M47" s="89"/>
      <c r="N47" s="108"/>
      <c r="O47" s="89"/>
      <c r="P47" s="89"/>
      <c r="R47" s="28"/>
      <c r="S47" s="28"/>
    </row>
    <row r="48" spans="1:19" s="11" customFormat="1" ht="14.25" customHeight="1" x14ac:dyDescent="0.35">
      <c r="A48" s="8"/>
      <c r="J48" s="38"/>
      <c r="K48" s="65"/>
      <c r="L48" s="39"/>
      <c r="M48" s="39"/>
      <c r="N48" s="39"/>
      <c r="O48" s="39"/>
      <c r="P48" s="39"/>
      <c r="R48" s="28"/>
      <c r="S48" s="28"/>
    </row>
    <row r="49" spans="1:19" s="11" customFormat="1" ht="14" x14ac:dyDescent="0.35">
      <c r="A49" s="8"/>
      <c r="B49" s="29"/>
      <c r="C49" s="26"/>
      <c r="D49" s="8"/>
      <c r="E49" s="8"/>
      <c r="F49" s="8"/>
      <c r="G49" s="8"/>
      <c r="H49" s="39"/>
      <c r="I49" s="118"/>
      <c r="J49" s="118"/>
      <c r="K49" s="41"/>
      <c r="L49" s="8"/>
      <c r="N49" s="8"/>
      <c r="R49" s="28"/>
      <c r="S49" s="28"/>
    </row>
    <row r="50" spans="1:19" s="11" customFormat="1" ht="14" x14ac:dyDescent="0.35">
      <c r="A50" s="8"/>
      <c r="B50" s="29"/>
      <c r="C50" s="26"/>
      <c r="D50" s="8"/>
      <c r="E50" s="8"/>
      <c r="F50" s="8"/>
      <c r="G50" s="8"/>
      <c r="H50" s="8"/>
      <c r="I50" s="8"/>
      <c r="J50" s="42"/>
      <c r="K50" s="26"/>
      <c r="L50" s="8"/>
      <c r="N50" s="8"/>
      <c r="R50" s="28"/>
      <c r="S50" s="28"/>
    </row>
    <row r="51" spans="1:19" s="11" customFormat="1" ht="14" x14ac:dyDescent="0.35">
      <c r="A51" s="13"/>
      <c r="B51" s="35"/>
      <c r="C51" s="36"/>
      <c r="D51" s="13"/>
      <c r="E51" s="13"/>
      <c r="F51" s="13"/>
      <c r="G51" s="13"/>
      <c r="H51" s="8"/>
      <c r="I51" s="8"/>
      <c r="J51" s="42"/>
      <c r="K51" s="26"/>
      <c r="L51" s="8"/>
      <c r="N51" s="8"/>
      <c r="R51" s="28"/>
      <c r="S51" s="28"/>
    </row>
    <row r="52" spans="1:19" s="11" customFormat="1" ht="14" x14ac:dyDescent="0.35">
      <c r="A52" s="13"/>
      <c r="B52" s="35"/>
      <c r="C52" s="36"/>
      <c r="D52" s="13"/>
      <c r="E52" s="13"/>
      <c r="F52" s="13"/>
      <c r="G52" s="13"/>
      <c r="H52" s="40"/>
      <c r="I52" s="42"/>
      <c r="J52" s="42"/>
      <c r="K52" s="43"/>
      <c r="L52" s="8"/>
      <c r="N52" s="8"/>
      <c r="R52" s="28"/>
      <c r="S52" s="28"/>
    </row>
    <row r="53" spans="1:19" s="11" customFormat="1" ht="14" x14ac:dyDescent="0.35">
      <c r="A53" s="13"/>
      <c r="B53" s="35"/>
      <c r="C53" s="36"/>
      <c r="D53" s="13"/>
      <c r="E53" s="13"/>
      <c r="F53" s="13"/>
      <c r="G53" s="13"/>
      <c r="H53" s="40"/>
      <c r="I53" s="42"/>
      <c r="J53" s="42"/>
      <c r="K53" s="43"/>
      <c r="L53" s="37"/>
      <c r="M53" s="28"/>
      <c r="N53" s="37"/>
      <c r="O53" s="30"/>
      <c r="P53" s="30"/>
      <c r="Q53" s="30"/>
      <c r="R53" s="28"/>
      <c r="S53" s="28"/>
    </row>
    <row r="54" spans="1:19" s="11" customFormat="1" ht="14" x14ac:dyDescent="0.35">
      <c r="A54" s="13"/>
      <c r="B54" s="35"/>
      <c r="C54" s="36"/>
      <c r="D54" s="13"/>
      <c r="E54" s="13"/>
      <c r="F54" s="13"/>
      <c r="G54" s="13"/>
      <c r="H54" s="40"/>
      <c r="I54" s="40"/>
      <c r="J54" s="39"/>
      <c r="K54" s="43"/>
      <c r="L54" s="37"/>
      <c r="M54" s="28"/>
      <c r="N54" s="37"/>
      <c r="O54" s="30"/>
      <c r="P54" s="30"/>
      <c r="Q54" s="30"/>
      <c r="R54" s="28"/>
      <c r="S54" s="28"/>
    </row>
    <row r="55" spans="1:19" s="11" customFormat="1" ht="14" x14ac:dyDescent="0.35">
      <c r="A55" s="13"/>
      <c r="B55" s="35"/>
      <c r="C55" s="36"/>
      <c r="D55" s="13"/>
      <c r="E55" s="13"/>
      <c r="F55" s="13"/>
      <c r="G55" s="13"/>
      <c r="H55" s="40"/>
      <c r="I55" s="40"/>
      <c r="J55" s="40"/>
      <c r="K55" s="43"/>
      <c r="L55" s="37"/>
      <c r="M55" s="28"/>
      <c r="N55" s="37"/>
      <c r="O55" s="30"/>
      <c r="P55" s="30"/>
      <c r="Q55" s="30"/>
      <c r="R55" s="28"/>
      <c r="S55" s="28"/>
    </row>
    <row r="56" spans="1:19" s="11" customFormat="1" ht="14" x14ac:dyDescent="0.35">
      <c r="A56" s="13"/>
      <c r="B56" s="35"/>
      <c r="C56" s="36"/>
      <c r="D56" s="13"/>
      <c r="E56" s="13"/>
      <c r="F56" s="13"/>
      <c r="G56" s="13"/>
      <c r="H56" s="40"/>
      <c r="I56" s="40"/>
      <c r="J56" s="40"/>
      <c r="K56" s="43"/>
      <c r="L56" s="37"/>
      <c r="M56" s="28"/>
      <c r="N56" s="37"/>
      <c r="O56" s="30"/>
      <c r="P56" s="30"/>
      <c r="Q56" s="30"/>
      <c r="R56" s="28"/>
      <c r="S56" s="28"/>
    </row>
    <row r="57" spans="1:19" s="11" customFormat="1" ht="14" x14ac:dyDescent="0.35">
      <c r="A57" s="13"/>
      <c r="B57" s="35"/>
      <c r="C57" s="36"/>
      <c r="D57" s="13"/>
      <c r="E57" s="13"/>
      <c r="F57" s="13"/>
      <c r="G57" s="13"/>
      <c r="H57" s="37"/>
      <c r="I57" s="28"/>
      <c r="J57" s="37"/>
      <c r="K57" s="44"/>
      <c r="L57" s="37"/>
      <c r="M57" s="28"/>
      <c r="N57" s="37"/>
      <c r="O57" s="30"/>
      <c r="P57" s="30"/>
      <c r="Q57" s="30"/>
      <c r="R57" s="28"/>
      <c r="S57" s="28"/>
    </row>
    <row r="58" spans="1:19" s="11" customFormat="1" ht="14" x14ac:dyDescent="0.35">
      <c r="A58" s="13"/>
      <c r="B58" s="35"/>
      <c r="C58" s="36"/>
      <c r="D58" s="13"/>
      <c r="E58" s="13"/>
      <c r="F58" s="13"/>
      <c r="G58" s="13"/>
      <c r="H58" s="37"/>
      <c r="I58" s="28"/>
      <c r="J58" s="37"/>
      <c r="K58" s="44"/>
      <c r="L58" s="37"/>
      <c r="M58" s="28"/>
      <c r="N58" s="37"/>
      <c r="O58" s="30"/>
      <c r="P58" s="30"/>
      <c r="Q58" s="30"/>
      <c r="R58" s="28"/>
      <c r="S58" s="28"/>
    </row>
    <row r="59" spans="1:19" s="11" customFormat="1" ht="14" x14ac:dyDescent="0.35">
      <c r="A59" s="13"/>
      <c r="B59" s="35"/>
      <c r="C59" s="36"/>
      <c r="D59" s="13"/>
      <c r="E59" s="13"/>
      <c r="F59" s="13"/>
      <c r="G59" s="13"/>
      <c r="H59" s="37"/>
      <c r="I59" s="28"/>
      <c r="J59" s="37"/>
      <c r="K59" s="44"/>
      <c r="L59" s="37"/>
      <c r="M59" s="28"/>
      <c r="N59" s="37"/>
      <c r="O59" s="30"/>
      <c r="P59" s="30"/>
      <c r="Q59" s="30"/>
      <c r="R59" s="28"/>
      <c r="S59" s="28"/>
    </row>
    <row r="60" spans="1:19" s="11" customFormat="1" ht="14" x14ac:dyDescent="0.35">
      <c r="A60" s="13"/>
      <c r="B60" s="35"/>
      <c r="C60" s="36"/>
      <c r="D60" s="13"/>
      <c r="E60" s="13"/>
      <c r="F60" s="13"/>
      <c r="G60" s="13"/>
      <c r="H60" s="37"/>
      <c r="I60" s="28"/>
      <c r="J60" s="37"/>
      <c r="K60" s="44"/>
      <c r="L60" s="37"/>
      <c r="M60" s="28"/>
      <c r="N60" s="37"/>
      <c r="O60" s="30"/>
      <c r="P60" s="30"/>
      <c r="Q60" s="30"/>
      <c r="R60" s="28"/>
      <c r="S60" s="28"/>
    </row>
    <row r="61" spans="1:19" s="11" customFormat="1" ht="14" x14ac:dyDescent="0.35">
      <c r="A61" s="13"/>
      <c r="B61" s="35"/>
      <c r="C61" s="36"/>
      <c r="D61" s="13"/>
      <c r="E61" s="13"/>
      <c r="F61" s="13"/>
      <c r="G61" s="13"/>
      <c r="H61" s="37"/>
      <c r="I61" s="28"/>
      <c r="J61" s="37"/>
      <c r="K61" s="44"/>
      <c r="L61" s="37"/>
      <c r="M61" s="28"/>
      <c r="N61" s="37"/>
      <c r="O61" s="30"/>
      <c r="P61" s="30"/>
      <c r="Q61" s="30"/>
      <c r="R61" s="28"/>
      <c r="S61" s="28"/>
    </row>
    <row r="62" spans="1:19" s="11" customFormat="1" ht="14" x14ac:dyDescent="0.35">
      <c r="A62" s="13"/>
      <c r="B62" s="35"/>
      <c r="C62" s="36"/>
      <c r="D62" s="13"/>
      <c r="E62" s="13"/>
      <c r="F62" s="13"/>
      <c r="G62" s="13"/>
      <c r="H62" s="37"/>
      <c r="I62" s="28"/>
      <c r="J62" s="37"/>
      <c r="K62" s="44"/>
      <c r="L62" s="37"/>
      <c r="M62" s="28"/>
      <c r="N62" s="37"/>
      <c r="O62" s="30"/>
      <c r="P62" s="30"/>
      <c r="Q62" s="30"/>
      <c r="R62" s="28"/>
      <c r="S62" s="28"/>
    </row>
    <row r="63" spans="1:19" s="11" customFormat="1" ht="14" x14ac:dyDescent="0.35">
      <c r="A63" s="13"/>
      <c r="B63" s="35"/>
      <c r="C63" s="36"/>
      <c r="D63" s="13"/>
      <c r="E63" s="13"/>
      <c r="F63" s="13"/>
      <c r="G63" s="13"/>
      <c r="H63" s="37"/>
      <c r="I63" s="28"/>
      <c r="J63" s="37"/>
      <c r="K63" s="44"/>
      <c r="L63" s="37"/>
      <c r="M63" s="28"/>
      <c r="N63" s="37"/>
      <c r="O63" s="30"/>
      <c r="P63" s="30"/>
      <c r="Q63" s="30"/>
      <c r="R63" s="28"/>
      <c r="S63" s="28"/>
    </row>
    <row r="64" spans="1:19" s="11" customFormat="1" ht="14" x14ac:dyDescent="0.35">
      <c r="A64" s="13"/>
      <c r="B64" s="35"/>
      <c r="C64" s="36"/>
      <c r="D64" s="13"/>
      <c r="E64" s="13"/>
      <c r="F64" s="13"/>
      <c r="G64" s="13"/>
      <c r="H64" s="37"/>
      <c r="I64" s="37"/>
      <c r="J64" s="37"/>
      <c r="K64" s="44"/>
      <c r="L64" s="37"/>
      <c r="M64" s="28"/>
      <c r="N64" s="37"/>
      <c r="O64" s="30"/>
      <c r="P64" s="30"/>
      <c r="Q64" s="30"/>
      <c r="R64" s="28"/>
      <c r="S64" s="28"/>
    </row>
    <row r="65" spans="1:19" s="11" customFormat="1" ht="14" x14ac:dyDescent="0.35">
      <c r="A65" s="13"/>
      <c r="B65" s="35"/>
      <c r="C65" s="36"/>
      <c r="D65" s="13"/>
      <c r="E65" s="13"/>
      <c r="F65" s="13"/>
      <c r="G65" s="13"/>
      <c r="H65" s="28"/>
      <c r="I65" s="28"/>
      <c r="J65" s="28"/>
      <c r="K65" s="27"/>
      <c r="L65" s="28"/>
      <c r="M65" s="28"/>
      <c r="N65" s="28"/>
      <c r="O65" s="30"/>
      <c r="P65" s="30"/>
      <c r="Q65" s="30"/>
      <c r="R65" s="28"/>
      <c r="S65" s="28"/>
    </row>
    <row r="66" spans="1:19" s="11" customFormat="1" ht="14" x14ac:dyDescent="0.35">
      <c r="A66" s="13"/>
      <c r="B66" s="35"/>
      <c r="C66" s="36"/>
      <c r="D66" s="13"/>
      <c r="E66" s="13"/>
      <c r="F66" s="13"/>
      <c r="G66" s="13"/>
      <c r="H66" s="28"/>
      <c r="I66" s="28"/>
      <c r="J66" s="28"/>
      <c r="K66" s="27"/>
      <c r="L66" s="28"/>
      <c r="M66" s="28"/>
      <c r="N66" s="28"/>
      <c r="O66" s="30"/>
      <c r="P66" s="30"/>
      <c r="Q66" s="30"/>
      <c r="R66" s="28"/>
      <c r="S66" s="28"/>
    </row>
    <row r="67" spans="1:19" s="11" customFormat="1" ht="14" x14ac:dyDescent="0.35">
      <c r="A67" s="13"/>
      <c r="B67" s="35"/>
      <c r="C67" s="36"/>
      <c r="D67" s="13"/>
      <c r="E67" s="13"/>
      <c r="F67" s="13"/>
      <c r="G67" s="13"/>
      <c r="H67" s="28"/>
      <c r="I67" s="28"/>
      <c r="J67" s="28"/>
      <c r="K67" s="27"/>
      <c r="L67" s="28"/>
      <c r="M67" s="28"/>
      <c r="N67" s="28"/>
      <c r="O67" s="30"/>
      <c r="P67" s="30"/>
      <c r="Q67" s="30"/>
      <c r="R67" s="28"/>
      <c r="S67" s="28"/>
    </row>
    <row r="68" spans="1:19" s="11" customFormat="1" ht="14" x14ac:dyDescent="0.35">
      <c r="A68" s="13"/>
      <c r="B68" s="35"/>
      <c r="C68" s="36"/>
      <c r="D68" s="13"/>
      <c r="E68" s="13"/>
      <c r="F68" s="13"/>
      <c r="G68" s="13"/>
      <c r="H68" s="28"/>
      <c r="I68" s="28"/>
      <c r="J68" s="28"/>
      <c r="K68" s="27"/>
      <c r="L68" s="28"/>
      <c r="M68" s="28"/>
      <c r="N68" s="28"/>
      <c r="O68" s="30"/>
      <c r="P68" s="30"/>
      <c r="Q68" s="30"/>
      <c r="R68" s="28"/>
      <c r="S68" s="28"/>
    </row>
    <row r="69" spans="1:19" s="11" customFormat="1" ht="14" x14ac:dyDescent="0.35">
      <c r="A69" s="13"/>
      <c r="B69" s="35"/>
      <c r="C69" s="36"/>
      <c r="D69" s="13"/>
      <c r="E69" s="13"/>
      <c r="F69" s="13"/>
      <c r="G69" s="13"/>
      <c r="H69" s="28"/>
      <c r="I69" s="28"/>
      <c r="J69" s="28"/>
      <c r="K69" s="27"/>
      <c r="L69" s="28"/>
      <c r="M69" s="28"/>
      <c r="N69" s="28"/>
      <c r="O69" s="30"/>
      <c r="P69" s="30"/>
      <c r="Q69" s="30"/>
      <c r="R69" s="28"/>
      <c r="S69" s="28"/>
    </row>
    <row r="70" spans="1:19" s="11" customFormat="1" ht="14" x14ac:dyDescent="0.35">
      <c r="A70" s="13"/>
      <c r="B70" s="35"/>
      <c r="C70" s="36"/>
      <c r="D70" s="13"/>
      <c r="E70" s="13"/>
      <c r="F70" s="13"/>
      <c r="G70" s="13"/>
      <c r="H70" s="28"/>
      <c r="I70" s="28"/>
      <c r="J70" s="28"/>
      <c r="K70" s="27"/>
      <c r="L70" s="28"/>
      <c r="M70" s="28"/>
      <c r="N70" s="28"/>
      <c r="O70" s="30"/>
      <c r="P70" s="30"/>
      <c r="Q70" s="30"/>
      <c r="R70" s="28"/>
      <c r="S70" s="28"/>
    </row>
    <row r="71" spans="1:19" s="11" customFormat="1" ht="14" x14ac:dyDescent="0.35">
      <c r="A71" s="13"/>
      <c r="B71" s="35"/>
      <c r="C71" s="36"/>
      <c r="D71" s="13"/>
      <c r="E71" s="13"/>
      <c r="F71" s="13"/>
      <c r="G71" s="13"/>
      <c r="H71" s="28"/>
      <c r="I71" s="28"/>
      <c r="J71" s="28"/>
      <c r="K71" s="27"/>
      <c r="L71" s="28"/>
      <c r="M71" s="28"/>
      <c r="N71" s="28"/>
      <c r="O71" s="30"/>
      <c r="P71" s="30"/>
      <c r="Q71" s="30"/>
      <c r="R71" s="28"/>
      <c r="S71" s="28"/>
    </row>
    <row r="72" spans="1:19" s="11" customFormat="1" ht="14" x14ac:dyDescent="0.35">
      <c r="A72" s="13"/>
      <c r="B72" s="35"/>
      <c r="C72" s="36"/>
      <c r="D72" s="13"/>
      <c r="E72" s="13"/>
      <c r="F72" s="13"/>
      <c r="G72" s="13"/>
      <c r="H72" s="28"/>
      <c r="I72" s="28"/>
      <c r="J72" s="28"/>
      <c r="K72" s="27"/>
      <c r="L72" s="28"/>
      <c r="M72" s="28"/>
      <c r="N72" s="28"/>
      <c r="O72" s="30"/>
      <c r="P72" s="30"/>
      <c r="Q72" s="30"/>
      <c r="R72" s="28"/>
      <c r="S72" s="28"/>
    </row>
    <row r="73" spans="1:19" s="11" customFormat="1" ht="14" x14ac:dyDescent="0.35">
      <c r="A73" s="13"/>
      <c r="B73" s="35"/>
      <c r="C73" s="36"/>
      <c r="D73" s="13"/>
      <c r="E73" s="13"/>
      <c r="F73" s="13"/>
      <c r="G73" s="13"/>
      <c r="H73" s="28"/>
      <c r="I73" s="28"/>
      <c r="J73" s="28"/>
      <c r="K73" s="27"/>
      <c r="L73" s="28"/>
      <c r="M73" s="28"/>
      <c r="N73" s="28"/>
      <c r="O73" s="30"/>
      <c r="P73" s="30"/>
      <c r="Q73" s="30"/>
      <c r="R73" s="28"/>
      <c r="S73" s="28"/>
    </row>
    <row r="74" spans="1:19" s="11" customFormat="1" ht="14" x14ac:dyDescent="0.35">
      <c r="A74" s="13"/>
      <c r="B74" s="35"/>
      <c r="C74" s="36"/>
      <c r="D74" s="13"/>
      <c r="E74" s="13"/>
      <c r="F74" s="13"/>
      <c r="G74" s="13"/>
      <c r="H74" s="28"/>
      <c r="I74" s="28"/>
      <c r="J74" s="28"/>
      <c r="K74" s="27"/>
      <c r="L74" s="28"/>
      <c r="M74" s="28"/>
      <c r="N74" s="28"/>
      <c r="O74" s="30"/>
      <c r="P74" s="30"/>
      <c r="Q74" s="30"/>
      <c r="R74" s="28"/>
      <c r="S74" s="28"/>
    </row>
    <row r="75" spans="1:19" s="11" customFormat="1" ht="14" x14ac:dyDescent="0.35">
      <c r="A75" s="13"/>
      <c r="B75" s="35"/>
      <c r="C75" s="36"/>
      <c r="D75" s="13"/>
      <c r="E75" s="13"/>
      <c r="F75" s="13"/>
      <c r="G75" s="13"/>
      <c r="H75" s="28"/>
      <c r="I75" s="28"/>
      <c r="J75" s="28"/>
      <c r="K75" s="27"/>
      <c r="L75" s="28"/>
      <c r="M75" s="28"/>
      <c r="N75" s="28"/>
      <c r="O75" s="30"/>
      <c r="P75" s="30"/>
      <c r="Q75" s="30"/>
      <c r="R75" s="28"/>
      <c r="S75" s="28"/>
    </row>
    <row r="76" spans="1:19" s="11" customFormat="1" ht="14" x14ac:dyDescent="0.35">
      <c r="A76" s="13"/>
      <c r="B76" s="35"/>
      <c r="C76" s="36"/>
      <c r="D76" s="13"/>
      <c r="E76" s="13"/>
      <c r="F76" s="13"/>
      <c r="G76" s="13"/>
      <c r="H76" s="28"/>
      <c r="I76" s="28"/>
      <c r="J76" s="28"/>
      <c r="K76" s="27"/>
      <c r="L76" s="28"/>
      <c r="M76" s="28"/>
      <c r="N76" s="28"/>
      <c r="O76" s="30"/>
      <c r="P76" s="30"/>
      <c r="Q76" s="30"/>
      <c r="R76" s="28"/>
      <c r="S76" s="28"/>
    </row>
    <row r="77" spans="1:19" s="11" customFormat="1" ht="14" x14ac:dyDescent="0.35">
      <c r="A77" s="13"/>
      <c r="B77" s="35"/>
      <c r="C77" s="36"/>
      <c r="D77" s="13"/>
      <c r="E77" s="13"/>
      <c r="F77" s="13"/>
      <c r="G77" s="13"/>
      <c r="H77" s="28"/>
      <c r="I77" s="28"/>
      <c r="J77" s="28"/>
      <c r="K77" s="27"/>
      <c r="L77" s="28"/>
      <c r="M77" s="28"/>
      <c r="N77" s="28"/>
      <c r="O77" s="30"/>
      <c r="P77" s="30"/>
      <c r="Q77" s="30"/>
      <c r="R77" s="28"/>
      <c r="S77" s="28"/>
    </row>
    <row r="78" spans="1:19" s="11" customFormat="1" ht="14" x14ac:dyDescent="0.35">
      <c r="A78" s="13"/>
      <c r="B78" s="35"/>
      <c r="C78" s="36"/>
      <c r="D78" s="13"/>
      <c r="E78" s="13"/>
      <c r="F78" s="13"/>
      <c r="G78" s="13"/>
      <c r="H78" s="28"/>
      <c r="I78" s="28"/>
      <c r="J78" s="28"/>
      <c r="K78" s="27"/>
      <c r="L78" s="28"/>
      <c r="M78" s="28"/>
      <c r="N78" s="28"/>
      <c r="O78" s="30"/>
      <c r="P78" s="30"/>
      <c r="Q78" s="30"/>
      <c r="R78" s="28"/>
      <c r="S78" s="28"/>
    </row>
    <row r="79" spans="1:19" s="11" customFormat="1" ht="14" x14ac:dyDescent="0.35">
      <c r="A79" s="13"/>
      <c r="B79" s="35"/>
      <c r="C79" s="36"/>
      <c r="D79" s="13"/>
      <c r="E79" s="13"/>
      <c r="F79" s="13"/>
      <c r="G79" s="13"/>
      <c r="H79" s="28"/>
      <c r="I79" s="28"/>
      <c r="J79" s="28"/>
      <c r="K79" s="27"/>
      <c r="L79" s="28"/>
      <c r="M79" s="28"/>
      <c r="N79" s="28"/>
      <c r="O79" s="30"/>
      <c r="P79" s="30"/>
      <c r="Q79" s="30"/>
      <c r="R79" s="28"/>
      <c r="S79" s="28"/>
    </row>
    <row r="80" spans="1:19" s="11" customFormat="1" ht="14" x14ac:dyDescent="0.35">
      <c r="A80" s="13"/>
      <c r="B80" s="35"/>
      <c r="C80" s="36"/>
      <c r="D80" s="13"/>
      <c r="E80" s="13"/>
      <c r="F80" s="13"/>
      <c r="G80" s="13"/>
      <c r="H80" s="28"/>
      <c r="I80" s="28"/>
      <c r="J80" s="28"/>
      <c r="K80" s="27"/>
      <c r="L80" s="28"/>
      <c r="M80" s="28"/>
      <c r="N80" s="28"/>
      <c r="O80" s="30"/>
      <c r="P80" s="30"/>
      <c r="Q80" s="30"/>
      <c r="R80" s="28"/>
      <c r="S80" s="28"/>
    </row>
    <row r="81" spans="1:19" s="11" customFormat="1" ht="14" x14ac:dyDescent="0.35">
      <c r="A81" s="13"/>
      <c r="B81" s="35"/>
      <c r="C81" s="36"/>
      <c r="D81" s="13"/>
      <c r="E81" s="13"/>
      <c r="F81" s="13"/>
      <c r="G81" s="13"/>
      <c r="H81" s="28"/>
      <c r="I81" s="28"/>
      <c r="J81" s="28"/>
      <c r="K81" s="27"/>
      <c r="L81" s="28"/>
      <c r="M81" s="28"/>
      <c r="N81" s="28"/>
      <c r="O81" s="30"/>
      <c r="P81" s="30"/>
      <c r="Q81" s="30"/>
      <c r="R81" s="28"/>
      <c r="S81" s="28"/>
    </row>
    <row r="82" spans="1:19" s="11" customFormat="1" ht="14" x14ac:dyDescent="0.35">
      <c r="A82" s="13"/>
      <c r="B82" s="35"/>
      <c r="C82" s="36"/>
      <c r="D82" s="13"/>
      <c r="E82" s="13"/>
      <c r="F82" s="13"/>
      <c r="G82" s="13"/>
      <c r="H82" s="28"/>
      <c r="I82" s="28"/>
      <c r="J82" s="28"/>
      <c r="K82" s="27"/>
      <c r="L82" s="28"/>
      <c r="M82" s="28"/>
      <c r="N82" s="28"/>
      <c r="O82" s="30"/>
      <c r="P82" s="30"/>
      <c r="Q82" s="30"/>
      <c r="R82" s="28"/>
      <c r="S82" s="28"/>
    </row>
    <row r="83" spans="1:19" s="11" customFormat="1" ht="14" x14ac:dyDescent="0.35">
      <c r="A83" s="13"/>
      <c r="B83" s="35"/>
      <c r="C83" s="36"/>
      <c r="D83" s="13"/>
      <c r="E83" s="13"/>
      <c r="F83" s="13"/>
      <c r="G83" s="13"/>
      <c r="H83" s="28"/>
      <c r="I83" s="28"/>
      <c r="J83" s="28"/>
      <c r="K83" s="27"/>
      <c r="L83" s="28"/>
      <c r="M83" s="28"/>
      <c r="N83" s="28"/>
      <c r="O83" s="30"/>
      <c r="P83" s="30"/>
      <c r="Q83" s="30"/>
      <c r="R83" s="28"/>
      <c r="S83" s="28"/>
    </row>
    <row r="84" spans="1:19" s="11" customFormat="1" ht="14" x14ac:dyDescent="0.35">
      <c r="A84" s="13"/>
      <c r="B84" s="35"/>
      <c r="C84" s="36"/>
      <c r="D84" s="13"/>
      <c r="E84" s="13"/>
      <c r="F84" s="13"/>
      <c r="G84" s="13"/>
      <c r="H84" s="28"/>
      <c r="I84" s="28"/>
      <c r="J84" s="28"/>
      <c r="K84" s="27"/>
      <c r="L84" s="28"/>
      <c r="M84" s="28"/>
      <c r="N84" s="28"/>
      <c r="O84" s="30"/>
      <c r="P84" s="30"/>
      <c r="Q84" s="30"/>
      <c r="R84" s="28"/>
      <c r="S84" s="28"/>
    </row>
    <row r="85" spans="1:19" s="11" customFormat="1" ht="14" x14ac:dyDescent="0.35">
      <c r="A85" s="13"/>
      <c r="B85" s="35"/>
      <c r="C85" s="36"/>
      <c r="D85" s="13"/>
      <c r="E85" s="13"/>
      <c r="F85" s="13"/>
      <c r="G85" s="13"/>
      <c r="H85" s="28"/>
      <c r="I85" s="28"/>
      <c r="J85" s="28"/>
      <c r="K85" s="27"/>
      <c r="L85" s="28"/>
      <c r="M85" s="28"/>
      <c r="N85" s="28"/>
      <c r="O85" s="30"/>
      <c r="P85" s="30"/>
      <c r="Q85" s="30"/>
      <c r="R85" s="28"/>
      <c r="S85" s="28"/>
    </row>
    <row r="86" spans="1:19" s="11" customFormat="1" ht="14" x14ac:dyDescent="0.35">
      <c r="A86" s="13"/>
      <c r="B86" s="35"/>
      <c r="C86" s="36"/>
      <c r="D86" s="13"/>
      <c r="E86" s="13"/>
      <c r="F86" s="13"/>
      <c r="G86" s="13"/>
      <c r="H86" s="28"/>
      <c r="I86" s="28"/>
      <c r="J86" s="28"/>
      <c r="K86" s="27"/>
      <c r="L86" s="28"/>
      <c r="M86" s="28"/>
      <c r="N86" s="28"/>
      <c r="O86" s="30"/>
      <c r="P86" s="30"/>
      <c r="Q86" s="30"/>
      <c r="R86" s="28"/>
      <c r="S86" s="28"/>
    </row>
    <row r="87" spans="1:19" s="11" customFormat="1" ht="14" x14ac:dyDescent="0.35">
      <c r="A87" s="13"/>
      <c r="B87" s="35"/>
      <c r="C87" s="36"/>
      <c r="D87" s="13"/>
      <c r="E87" s="13"/>
      <c r="F87" s="13"/>
      <c r="G87" s="13"/>
      <c r="H87" s="28"/>
      <c r="I87" s="28"/>
      <c r="J87" s="28"/>
      <c r="K87" s="27"/>
      <c r="L87" s="28"/>
      <c r="M87" s="28"/>
      <c r="N87" s="28"/>
      <c r="O87" s="30"/>
      <c r="P87" s="30"/>
      <c r="Q87" s="30"/>
      <c r="R87" s="28"/>
      <c r="S87" s="28"/>
    </row>
    <row r="88" spans="1:19" s="11" customFormat="1" ht="14" x14ac:dyDescent="0.35">
      <c r="A88" s="13"/>
      <c r="B88" s="35"/>
      <c r="C88" s="36"/>
      <c r="D88" s="13"/>
      <c r="E88" s="13"/>
      <c r="F88" s="13"/>
      <c r="G88" s="13"/>
      <c r="H88" s="28"/>
      <c r="I88" s="28"/>
      <c r="J88" s="28"/>
      <c r="K88" s="27"/>
      <c r="L88" s="28"/>
      <c r="M88" s="28"/>
      <c r="N88" s="28"/>
      <c r="O88" s="30"/>
      <c r="P88" s="30"/>
      <c r="Q88" s="30"/>
      <c r="R88" s="28"/>
      <c r="S88" s="28"/>
    </row>
    <row r="89" spans="1:19" s="11" customFormat="1" ht="14" x14ac:dyDescent="0.35">
      <c r="A89" s="13"/>
      <c r="B89" s="35"/>
      <c r="C89" s="36"/>
      <c r="D89" s="13"/>
      <c r="E89" s="13"/>
      <c r="F89" s="13"/>
      <c r="G89" s="13"/>
      <c r="H89" s="28"/>
      <c r="I89" s="28"/>
      <c r="J89" s="28"/>
      <c r="K89" s="27"/>
      <c r="L89" s="28"/>
      <c r="M89" s="28"/>
      <c r="N89" s="28"/>
      <c r="O89" s="30"/>
      <c r="P89" s="30"/>
      <c r="Q89" s="30"/>
      <c r="R89" s="28"/>
      <c r="S89" s="28"/>
    </row>
    <row r="90" spans="1:19" s="11" customFormat="1" ht="14" x14ac:dyDescent="0.35">
      <c r="A90" s="13"/>
      <c r="B90" s="35"/>
      <c r="C90" s="36"/>
      <c r="D90" s="13"/>
      <c r="E90" s="13"/>
      <c r="F90" s="13"/>
      <c r="G90" s="13"/>
      <c r="H90" s="28"/>
      <c r="I90" s="28"/>
      <c r="J90" s="28"/>
      <c r="K90" s="27"/>
      <c r="L90" s="28"/>
      <c r="M90" s="28"/>
      <c r="N90" s="28"/>
      <c r="O90" s="30"/>
      <c r="P90" s="30"/>
      <c r="Q90" s="30"/>
      <c r="R90" s="28"/>
      <c r="S90" s="28"/>
    </row>
    <row r="91" spans="1:19" s="11" customFormat="1" ht="14" x14ac:dyDescent="0.35">
      <c r="A91" s="13"/>
      <c r="B91" s="35"/>
      <c r="C91" s="36"/>
      <c r="D91" s="13"/>
      <c r="E91" s="13"/>
      <c r="F91" s="13"/>
      <c r="G91" s="13"/>
      <c r="H91" s="28"/>
      <c r="I91" s="28"/>
      <c r="J91" s="28"/>
      <c r="K91" s="27"/>
      <c r="L91" s="28"/>
      <c r="M91" s="28"/>
      <c r="N91" s="28"/>
      <c r="O91" s="30"/>
      <c r="P91" s="30"/>
      <c r="Q91" s="30"/>
      <c r="R91" s="28"/>
      <c r="S91" s="28"/>
    </row>
    <row r="92" spans="1:19" x14ac:dyDescent="0.35">
      <c r="O92" s="45"/>
      <c r="P92" s="45"/>
      <c r="Q92" s="45"/>
    </row>
    <row r="93" spans="1:19" x14ac:dyDescent="0.35">
      <c r="O93" s="45"/>
      <c r="P93" s="45"/>
      <c r="Q93" s="45"/>
    </row>
    <row r="94" spans="1:19" x14ac:dyDescent="0.35">
      <c r="O94" s="45"/>
      <c r="P94" s="45"/>
      <c r="Q94" s="45"/>
    </row>
    <row r="95" spans="1:19" x14ac:dyDescent="0.35">
      <c r="O95" s="45"/>
      <c r="P95" s="45"/>
      <c r="Q95" s="45"/>
    </row>
    <row r="96" spans="1:19" x14ac:dyDescent="0.35">
      <c r="O96" s="45"/>
      <c r="P96" s="45"/>
      <c r="Q96" s="45"/>
    </row>
    <row r="97" spans="15:17" x14ac:dyDescent="0.35">
      <c r="O97" s="45"/>
      <c r="P97" s="45"/>
      <c r="Q97" s="45"/>
    </row>
    <row r="98" spans="15:17" x14ac:dyDescent="0.35">
      <c r="O98" s="45"/>
      <c r="P98" s="45"/>
      <c r="Q98" s="45"/>
    </row>
    <row r="99" spans="15:17" x14ac:dyDescent="0.35">
      <c r="O99" s="45"/>
      <c r="P99" s="45"/>
      <c r="Q99" s="45"/>
    </row>
  </sheetData>
  <autoFilter ref="A14:N14" xr:uid="{1F95A352-3BED-4E34-AC0D-11FBC19D6B09}"/>
  <mergeCells count="2">
    <mergeCell ref="F2:H2"/>
    <mergeCell ref="I49:J49"/>
  </mergeCells>
  <dataValidations count="1">
    <dataValidation type="list" allowBlank="1" showInputMessage="1" showErrorMessage="1" sqref="N15:N42" xr:uid="{5DE884F2-2136-4EF5-AB88-39285CE31F93}">
      <formula1>Seguimiento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8A0F10F-6273-4C16-8B61-C218D17E2557}">
          <x14:formula1>
            <xm:f>Combos!$A$2:$A$10</xm:f>
          </x14:formula1>
          <xm:sqref>E15:E42</xm:sqref>
        </x14:dataValidation>
        <x14:dataValidation type="list" allowBlank="1" showInputMessage="1" showErrorMessage="1" xr:uid="{02253E7E-8F4A-40CD-80A3-BC22D0A359B5}">
          <x14:formula1>
            <xm:f>Combos!$D$2:$D$5</xm:f>
          </x14:formula1>
          <xm:sqref>D15:D42</xm:sqref>
        </x14:dataValidation>
        <x14:dataValidation type="list" allowBlank="1" showInputMessage="1" showErrorMessage="1" xr:uid="{2A8451A4-9A97-4E69-B73E-008664E612AC}">
          <x14:formula1>
            <xm:f>Combos!$F$2:$F$3</xm:f>
          </x14:formula1>
          <xm:sqref>L15:L42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EFFB-5CDC-4441-835C-0653ADA02BCC}">
  <dimension ref="B2:S21"/>
  <sheetViews>
    <sheetView showGridLines="0" zoomScale="70" zoomScaleNormal="70" workbookViewId="0">
      <selection activeCell="F5" sqref="F5"/>
    </sheetView>
  </sheetViews>
  <sheetFormatPr baseColWidth="10" defaultColWidth="11.453125" defaultRowHeight="14.5" x14ac:dyDescent="0.35"/>
  <cols>
    <col min="1" max="1" width="4.7265625" style="68" customWidth="1"/>
    <col min="2" max="2" width="14.7265625" style="68" customWidth="1"/>
    <col min="3" max="3" width="12.26953125" style="68" bestFit="1" customWidth="1"/>
    <col min="4" max="14" width="11.453125" style="68"/>
    <col min="15" max="15" width="15.1796875" style="68" customWidth="1"/>
    <col min="16" max="16384" width="11.453125" style="68"/>
  </cols>
  <sheetData>
    <row r="2" spans="2:19" x14ac:dyDescent="0.35">
      <c r="F2" s="74" t="s">
        <v>56</v>
      </c>
      <c r="I2" s="69"/>
      <c r="J2" s="70" t="s">
        <v>30</v>
      </c>
      <c r="K2" s="70" t="s">
        <v>31</v>
      </c>
      <c r="L2" s="70" t="s">
        <v>32</v>
      </c>
      <c r="M2" s="70" t="s">
        <v>33</v>
      </c>
    </row>
    <row r="3" spans="2:19" x14ac:dyDescent="0.35">
      <c r="E3" s="83" t="s">
        <v>57</v>
      </c>
      <c r="F3" s="80">
        <v>1</v>
      </c>
      <c r="I3" s="83" t="s">
        <v>34</v>
      </c>
      <c r="J3" s="72">
        <f>Cargo!$F$4*5*F3</f>
        <v>45</v>
      </c>
      <c r="K3" s="72">
        <f>J3</f>
        <v>45</v>
      </c>
      <c r="L3" s="72">
        <f>J3</f>
        <v>45</v>
      </c>
      <c r="M3" s="72">
        <f>J3</f>
        <v>45</v>
      </c>
    </row>
    <row r="4" spans="2:19" x14ac:dyDescent="0.35">
      <c r="E4" s="84" t="s">
        <v>58</v>
      </c>
      <c r="I4" s="82" t="s">
        <v>35</v>
      </c>
      <c r="J4" s="73">
        <f>Cargo!$F$10*5*$F$3</f>
        <v>36.104651162790695</v>
      </c>
      <c r="K4" s="72">
        <f t="shared" ref="K4:K5" si="0">J4</f>
        <v>36.104651162790695</v>
      </c>
      <c r="L4" s="72">
        <f t="shared" ref="L4:L5" si="1">J4</f>
        <v>36.104651162790695</v>
      </c>
      <c r="M4" s="72">
        <f t="shared" ref="M4:M5" si="2">J4</f>
        <v>36.104651162790695</v>
      </c>
    </row>
    <row r="5" spans="2:19" x14ac:dyDescent="0.35">
      <c r="E5" s="23" t="s">
        <v>59</v>
      </c>
      <c r="F5" s="88">
        <f>Cargo!I45/(Cargo!F10*20)</f>
        <v>1.470378421900161</v>
      </c>
      <c r="I5" s="83" t="s">
        <v>36</v>
      </c>
      <c r="J5" s="73">
        <f>Cargo!$I$45/4.3</f>
        <v>49.383720930232556</v>
      </c>
      <c r="K5" s="72">
        <f t="shared" si="0"/>
        <v>49.383720930232556</v>
      </c>
      <c r="L5" s="72">
        <f t="shared" si="1"/>
        <v>49.383720930232556</v>
      </c>
      <c r="M5" s="72">
        <f t="shared" si="2"/>
        <v>49.383720930232556</v>
      </c>
    </row>
    <row r="6" spans="2:19" x14ac:dyDescent="0.35">
      <c r="E6" s="23" t="s">
        <v>60</v>
      </c>
      <c r="F6" s="88">
        <f>+F5*0.8</f>
        <v>1.1763027375201289</v>
      </c>
      <c r="I6" s="83" t="s">
        <v>37</v>
      </c>
      <c r="J6" s="73">
        <f>IFERROR((J4-J5)/F3,0)</f>
        <v>-13.279069767441861</v>
      </c>
      <c r="K6" s="72">
        <f>J6</f>
        <v>-13.279069767441861</v>
      </c>
      <c r="L6" s="72">
        <f>J6</f>
        <v>-13.279069767441861</v>
      </c>
      <c r="M6" s="72">
        <f>J6</f>
        <v>-13.279069767441861</v>
      </c>
    </row>
    <row r="7" spans="2:19" x14ac:dyDescent="0.35">
      <c r="M7" s="87"/>
    </row>
    <row r="8" spans="2:19" x14ac:dyDescent="0.35">
      <c r="B8" s="83"/>
      <c r="C8" s="86"/>
      <c r="D8" s="86"/>
      <c r="E8" s="86"/>
      <c r="F8" s="86"/>
      <c r="M8" s="81"/>
    </row>
    <row r="10" spans="2:19" x14ac:dyDescent="0.35">
      <c r="B10" s="83" t="s">
        <v>18</v>
      </c>
      <c r="C10" s="71" t="s">
        <v>19</v>
      </c>
      <c r="I10" s="74" t="s">
        <v>19</v>
      </c>
      <c r="J10" s="74" t="s">
        <v>20</v>
      </c>
      <c r="K10" s="100" t="s">
        <v>20</v>
      </c>
      <c r="Q10" s="101" t="s">
        <v>26</v>
      </c>
      <c r="R10" s="96" t="s">
        <v>19</v>
      </c>
      <c r="S10" s="97"/>
    </row>
    <row r="11" spans="2:19" x14ac:dyDescent="0.35">
      <c r="B11" s="83" t="s">
        <v>44</v>
      </c>
      <c r="C11" s="68">
        <f>COUNTIF(Cargo!$D$15:$D$42,Resumen!B11)</f>
        <v>0</v>
      </c>
      <c r="D11" s="98">
        <f>IFERROR(C11/$C$16,"")</f>
        <v>0</v>
      </c>
      <c r="F11" s="83"/>
      <c r="I11" s="68" t="s">
        <v>50</v>
      </c>
      <c r="J11" s="68">
        <f>COUNTIF(Cargo!$E$15:$E$42,Resumen!I11)</f>
        <v>1</v>
      </c>
      <c r="K11" s="98">
        <f>J11/$J$21</f>
        <v>3.5714285714285712E-2</v>
      </c>
      <c r="Q11" s="102" t="s">
        <v>53</v>
      </c>
      <c r="R11" s="97">
        <f>COUNTIF(Cargo!$L$15:$L$42,Resumen!Q11)</f>
        <v>0</v>
      </c>
      <c r="S11" s="103" t="e">
        <f>R11/$R$14</f>
        <v>#DIV/0!</v>
      </c>
    </row>
    <row r="12" spans="2:19" x14ac:dyDescent="0.35">
      <c r="B12" s="83" t="s">
        <v>42</v>
      </c>
      <c r="C12" s="68">
        <f>COUNTIF(Cargo!$D$15:$D$42,Resumen!B12)</f>
        <v>2</v>
      </c>
      <c r="D12" s="98">
        <f t="shared" ref="D12:D14" si="3">IFERROR(C12/$C$16,"")</f>
        <v>0.1</v>
      </c>
      <c r="F12" s="83"/>
      <c r="I12" s="68" t="s">
        <v>49</v>
      </c>
      <c r="J12" s="68">
        <f>COUNTIF(Cargo!$E$15:$E$42,Resumen!I12)</f>
        <v>0</v>
      </c>
      <c r="K12" s="98">
        <f t="shared" ref="K12:K19" si="4">J12/$J$21</f>
        <v>0</v>
      </c>
      <c r="Q12" s="102" t="s">
        <v>54</v>
      </c>
      <c r="R12" s="97">
        <f>COUNTIF(Cargo!$L$15:$L$42,Resumen!Q12)</f>
        <v>0</v>
      </c>
      <c r="S12" s="103" t="e">
        <f>R12/$R$14</f>
        <v>#DIV/0!</v>
      </c>
    </row>
    <row r="13" spans="2:19" x14ac:dyDescent="0.35">
      <c r="B13" s="83" t="s">
        <v>40</v>
      </c>
      <c r="C13" s="68">
        <f>COUNTIF(Cargo!$D$15:$D$42,Resumen!B13)</f>
        <v>3</v>
      </c>
      <c r="D13" s="98">
        <f t="shared" si="3"/>
        <v>0.15</v>
      </c>
      <c r="F13" s="83"/>
      <c r="I13" s="68" t="s">
        <v>48</v>
      </c>
      <c r="J13" s="68">
        <f>COUNTIF(Cargo!$E$15:$E$42,Resumen!I13)</f>
        <v>9</v>
      </c>
      <c r="K13" s="98">
        <f t="shared" si="4"/>
        <v>0.32142857142857145</v>
      </c>
    </row>
    <row r="14" spans="2:19" x14ac:dyDescent="0.35">
      <c r="B14" s="83" t="s">
        <v>38</v>
      </c>
      <c r="C14" s="68">
        <f>COUNTIF(Cargo!$D$15:$D$42,Resumen!B14)</f>
        <v>15</v>
      </c>
      <c r="D14" s="98">
        <f t="shared" si="3"/>
        <v>0.75</v>
      </c>
      <c r="F14" s="83"/>
      <c r="I14" s="68" t="s">
        <v>47</v>
      </c>
      <c r="J14" s="68">
        <f>COUNTIF(Cargo!$E$15:$E$42,Resumen!I14)</f>
        <v>0</v>
      </c>
      <c r="K14" s="98">
        <f t="shared" si="4"/>
        <v>0</v>
      </c>
      <c r="Q14" s="68" t="s">
        <v>55</v>
      </c>
      <c r="R14" s="68">
        <f>SUM(R11:R12)</f>
        <v>0</v>
      </c>
    </row>
    <row r="15" spans="2:19" x14ac:dyDescent="0.35">
      <c r="I15" s="68" t="s">
        <v>46</v>
      </c>
      <c r="J15" s="68">
        <f>COUNTIF(Cargo!$E$15:$E$42,Resumen!I15)</f>
        <v>7</v>
      </c>
      <c r="K15" s="98">
        <f t="shared" si="4"/>
        <v>0.25</v>
      </c>
    </row>
    <row r="16" spans="2:19" x14ac:dyDescent="0.35">
      <c r="B16" s="99" t="s">
        <v>55</v>
      </c>
      <c r="C16" s="68">
        <f>SUM(C11:C14)</f>
        <v>20</v>
      </c>
      <c r="I16" s="68" t="s">
        <v>45</v>
      </c>
      <c r="J16" s="68">
        <f>COUNTIF(Cargo!$E$15:$E$42,Resumen!I16)</f>
        <v>0</v>
      </c>
      <c r="K16" s="98">
        <f t="shared" si="4"/>
        <v>0</v>
      </c>
    </row>
    <row r="17" spans="9:11" x14ac:dyDescent="0.35">
      <c r="I17" s="68" t="s">
        <v>43</v>
      </c>
      <c r="J17" s="68">
        <f>COUNTIF(Cargo!$E$15:$E$42,Resumen!I17)</f>
        <v>0</v>
      </c>
      <c r="K17" s="98">
        <f t="shared" si="4"/>
        <v>0</v>
      </c>
    </row>
    <row r="18" spans="9:11" x14ac:dyDescent="0.35">
      <c r="I18" s="68" t="s">
        <v>41</v>
      </c>
      <c r="J18" s="68">
        <f>COUNTIF(Cargo!$E$15:$E$42,Resumen!I18)</f>
        <v>7</v>
      </c>
      <c r="K18" s="98">
        <f t="shared" si="4"/>
        <v>0.25</v>
      </c>
    </row>
    <row r="19" spans="9:11" x14ac:dyDescent="0.35">
      <c r="I19" s="68" t="s">
        <v>39</v>
      </c>
      <c r="J19" s="68">
        <f>COUNTIF(Cargo!$E$15:$E$42,Resumen!I19)</f>
        <v>4</v>
      </c>
      <c r="K19" s="98">
        <f t="shared" si="4"/>
        <v>0.14285714285714285</v>
      </c>
    </row>
    <row r="21" spans="9:11" x14ac:dyDescent="0.35">
      <c r="I21" s="68" t="s">
        <v>55</v>
      </c>
      <c r="J21" s="68">
        <f>SUM(J11:J19)</f>
        <v>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F82F-9C42-42E9-8FC1-B114A213355F}">
  <dimension ref="A3:N14"/>
  <sheetViews>
    <sheetView zoomScale="90" zoomScaleNormal="90" workbookViewId="0">
      <selection activeCell="A7" sqref="A7:N7"/>
    </sheetView>
  </sheetViews>
  <sheetFormatPr baseColWidth="10" defaultColWidth="11.453125" defaultRowHeight="14.5" x14ac:dyDescent="0.35"/>
  <cols>
    <col min="1" max="1" width="38.26953125" style="68" bestFit="1" customWidth="1"/>
    <col min="2" max="2" width="23.453125" style="68" bestFit="1" customWidth="1"/>
    <col min="3" max="3" width="15.1796875" style="68" bestFit="1" customWidth="1"/>
    <col min="4" max="4" width="12.453125" style="68" bestFit="1" customWidth="1"/>
    <col min="5" max="5" width="9.54296875" style="68" bestFit="1" customWidth="1"/>
    <col min="6" max="16384" width="11.453125" style="68"/>
  </cols>
  <sheetData>
    <row r="3" spans="1:14" x14ac:dyDescent="0.35">
      <c r="A3" s="112" t="s">
        <v>6</v>
      </c>
      <c r="C3" s="110"/>
      <c r="D3" s="110"/>
    </row>
    <row r="4" spans="1:14" x14ac:dyDescent="0.35">
      <c r="A4" s="113"/>
      <c r="C4" s="111"/>
      <c r="D4" s="111"/>
    </row>
    <row r="6" spans="1:14" x14ac:dyDescent="0.35">
      <c r="A6" s="109" t="s">
        <v>65</v>
      </c>
      <c r="B6" s="86"/>
      <c r="C6" s="86"/>
      <c r="D6" s="86"/>
    </row>
    <row r="7" spans="1:14" ht="207" customHeight="1" x14ac:dyDescent="0.35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1"/>
    </row>
    <row r="8" spans="1:14" x14ac:dyDescent="0.35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</row>
    <row r="9" spans="1:14" x14ac:dyDescent="0.35">
      <c r="A9" s="114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</row>
    <row r="10" spans="1:14" x14ac:dyDescent="0.35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</row>
    <row r="11" spans="1:14" x14ac:dyDescent="0.35">
      <c r="A11" s="114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</row>
    <row r="12" spans="1:14" x14ac:dyDescent="0.35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</row>
    <row r="13" spans="1:14" x14ac:dyDescent="0.35">
      <c r="A13" s="114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</row>
    <row r="14" spans="1:14" x14ac:dyDescent="0.35">
      <c r="A14" s="114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</row>
  </sheetData>
  <mergeCells count="1">
    <mergeCell ref="A7:N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187D-5896-4C1A-B3C3-23F5888286D6}">
  <dimension ref="A1:H10"/>
  <sheetViews>
    <sheetView workbookViewId="0">
      <selection activeCell="H2" sqref="H2:H3"/>
    </sheetView>
  </sheetViews>
  <sheetFormatPr baseColWidth="10" defaultColWidth="11.453125" defaultRowHeight="14.5" x14ac:dyDescent="0.35"/>
  <cols>
    <col min="6" max="6" width="25.54296875" bestFit="1" customWidth="1"/>
    <col min="8" max="8" width="12.26953125" bestFit="1" customWidth="1"/>
  </cols>
  <sheetData>
    <row r="1" spans="1:8" x14ac:dyDescent="0.35">
      <c r="A1" s="53" t="s">
        <v>19</v>
      </c>
      <c r="D1" s="53" t="s">
        <v>51</v>
      </c>
      <c r="F1" s="53" t="s">
        <v>52</v>
      </c>
      <c r="H1" s="53" t="s">
        <v>62</v>
      </c>
    </row>
    <row r="2" spans="1:8" x14ac:dyDescent="0.35">
      <c r="A2" t="s">
        <v>39</v>
      </c>
      <c r="B2" s="54">
        <v>20</v>
      </c>
      <c r="D2" t="s">
        <v>38</v>
      </c>
      <c r="F2" t="s">
        <v>53</v>
      </c>
      <c r="H2" t="s">
        <v>63</v>
      </c>
    </row>
    <row r="3" spans="1:8" x14ac:dyDescent="0.35">
      <c r="A3" t="s">
        <v>41</v>
      </c>
      <c r="B3" s="54">
        <v>4.3</v>
      </c>
      <c r="D3" t="s">
        <v>40</v>
      </c>
      <c r="F3" t="s">
        <v>54</v>
      </c>
      <c r="H3" t="s">
        <v>64</v>
      </c>
    </row>
    <row r="4" spans="1:8" x14ac:dyDescent="0.35">
      <c r="A4" t="s">
        <v>43</v>
      </c>
      <c r="B4" s="55">
        <v>1.5</v>
      </c>
      <c r="D4" t="s">
        <v>42</v>
      </c>
    </row>
    <row r="5" spans="1:8" x14ac:dyDescent="0.35">
      <c r="A5" t="s">
        <v>45</v>
      </c>
      <c r="B5" s="54">
        <v>2</v>
      </c>
      <c r="D5" t="s">
        <v>44</v>
      </c>
    </row>
    <row r="6" spans="1:8" x14ac:dyDescent="0.35">
      <c r="A6" t="s">
        <v>46</v>
      </c>
      <c r="B6" s="54">
        <v>1</v>
      </c>
    </row>
    <row r="7" spans="1:8" x14ac:dyDescent="0.35">
      <c r="A7" t="s">
        <v>47</v>
      </c>
      <c r="B7" s="55">
        <f>1/2</f>
        <v>0.5</v>
      </c>
    </row>
    <row r="8" spans="1:8" x14ac:dyDescent="0.35">
      <c r="A8" t="s">
        <v>48</v>
      </c>
      <c r="B8" s="55">
        <v>0.33333333333333331</v>
      </c>
    </row>
    <row r="9" spans="1:8" x14ac:dyDescent="0.35">
      <c r="A9" t="s">
        <v>49</v>
      </c>
      <c r="B9" s="55">
        <v>0.16666666666666666</v>
      </c>
    </row>
    <row r="10" spans="1:8" x14ac:dyDescent="0.35">
      <c r="A10" t="s">
        <v>50</v>
      </c>
      <c r="B10" s="55">
        <v>8.3333333333333329E-2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176C6F8FD0D647B2937F701504D6E4" ma:contentTypeVersion="4" ma:contentTypeDescription="Crear nuevo documento." ma:contentTypeScope="" ma:versionID="c2ceb53dbd0475ffc23ee5ebcad9a074">
  <xsd:schema xmlns:xsd="http://www.w3.org/2001/XMLSchema" xmlns:xs="http://www.w3.org/2001/XMLSchema" xmlns:p="http://schemas.microsoft.com/office/2006/metadata/properties" xmlns:ns2="872fc14d-041e-4d33-a1e0-8e5afb495710" targetNamespace="http://schemas.microsoft.com/office/2006/metadata/properties" ma:root="true" ma:fieldsID="d4be8c313e013fafa7887c105853d4d4" ns2:_="">
    <xsd:import namespace="872fc14d-041e-4d33-a1e0-8e5afb4957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fc14d-041e-4d33-a1e0-8e5afb495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133BD4-5DAC-4667-BD42-2633F152FE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2fc14d-041e-4d33-a1e0-8e5afb495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504438-8CCF-4338-A9C7-2E38A029BB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52BCF54-E351-4EB5-A834-56710BAE95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Cargo</vt:lpstr>
      <vt:lpstr>Resumen</vt:lpstr>
      <vt:lpstr>DO</vt:lpstr>
      <vt:lpstr>Combos</vt:lpstr>
      <vt:lpstr>Seguimiento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Diego Galvez Osorio</dc:creator>
  <cp:keywords/>
  <dc:description/>
  <cp:lastModifiedBy>Maria Clara Orrego Zapata</cp:lastModifiedBy>
  <cp:revision/>
  <dcterms:created xsi:type="dcterms:W3CDTF">2017-10-24T22:07:53Z</dcterms:created>
  <dcterms:modified xsi:type="dcterms:W3CDTF">2020-10-30T14:43:26Z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0x010100F4176C6F8FD0D647B2937F701504D6E4</vt:lpwstr>
  </property>
</Properties>
</file>