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UDIANTES-PC10\Documents\"/>
    </mc:Choice>
  </mc:AlternateContent>
  <xr:revisionPtr revIDLastSave="0" documentId="13_ncr:1_{FE592957-E500-4D5E-9554-D697A2595A2A}" xr6:coauthVersionLast="47" xr6:coauthVersionMax="47" xr10:uidLastSave="{00000000-0000-0000-0000-000000000000}"/>
  <bookViews>
    <workbookView xWindow="-120" yWindow="-120" windowWidth="24240" windowHeight="13020" activeTab="1" xr2:uid="{9902D925-E154-4F82-854D-40A2F769A266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13" i="2" l="1"/>
  <c r="AC31" i="2"/>
  <c r="V31" i="2"/>
  <c r="S31" i="2"/>
  <c r="S15" i="2"/>
  <c r="S16" i="2"/>
  <c r="S17" i="2"/>
  <c r="S13" i="2"/>
  <c r="S6" i="2"/>
  <c r="M31" i="2"/>
  <c r="I34" i="2"/>
  <c r="L31" i="2"/>
  <c r="AB31" i="2"/>
  <c r="M13" i="2"/>
  <c r="L13" i="2"/>
  <c r="U6" i="2"/>
  <c r="L17" i="2"/>
  <c r="W17" i="2" s="1"/>
  <c r="AB17" i="2" s="1"/>
  <c r="L16" i="2"/>
  <c r="W16" i="2" s="1"/>
  <c r="AB16" i="2" s="1"/>
  <c r="L15" i="2"/>
  <c r="W15" i="2" s="1"/>
  <c r="AB15" i="2" s="1"/>
  <c r="L14" i="2"/>
  <c r="W14" i="2" s="1"/>
  <c r="AB14" i="2" s="1"/>
  <c r="M16" i="2"/>
  <c r="V16" i="2" s="1"/>
  <c r="AC16" i="2" s="1"/>
  <c r="M15" i="2"/>
  <c r="L6" i="2"/>
  <c r="I24" i="2"/>
  <c r="I23" i="2"/>
  <c r="I22" i="2"/>
  <c r="N14" i="2" s="1"/>
  <c r="I25" i="2"/>
  <c r="M17" i="2" s="1"/>
  <c r="I21" i="2"/>
  <c r="J10" i="2"/>
  <c r="AB3" i="1"/>
  <c r="AI3" i="1" s="1"/>
  <c r="AA4" i="1"/>
  <c r="AH3" i="1"/>
  <c r="R4" i="1"/>
  <c r="P8" i="1"/>
  <c r="T4" i="1" s="1"/>
  <c r="V17" i="2" l="1"/>
  <c r="AC17" i="2" s="1"/>
  <c r="W31" i="2"/>
  <c r="AB13" i="2"/>
  <c r="V13" i="2"/>
  <c r="V15" i="2"/>
  <c r="AC15" i="2" s="1"/>
  <c r="V14" i="2"/>
  <c r="AC14" i="2" s="1"/>
  <c r="M6" i="2"/>
  <c r="W6" i="2" s="1"/>
  <c r="AB5" i="2" s="1"/>
  <c r="T6" i="2"/>
  <c r="V5" i="2"/>
  <c r="S4" i="1"/>
  <c r="AC13" i="2" l="1"/>
  <c r="AC5" i="2"/>
  <c r="Z4" i="1"/>
  <c r="AC4" i="1"/>
</calcChain>
</file>

<file path=xl/sharedStrings.xml><?xml version="1.0" encoding="utf-8"?>
<sst xmlns="http://schemas.openxmlformats.org/spreadsheetml/2006/main" count="142" uniqueCount="44">
  <si>
    <t>C.I.</t>
  </si>
  <si>
    <t>CARGO</t>
  </si>
  <si>
    <t>SECTORIAL</t>
  </si>
  <si>
    <t>SUELDO</t>
  </si>
  <si>
    <t>DIAS TRABAJADOS</t>
  </si>
  <si>
    <t>DATOS PERSONALES</t>
  </si>
  <si>
    <t>ELEMENTOS DE LA NOMINA</t>
  </si>
  <si>
    <t>INGRESOS</t>
  </si>
  <si>
    <t>HORAS SUP.</t>
  </si>
  <si>
    <t>HORAS EXT.</t>
  </si>
  <si>
    <t>COMISION</t>
  </si>
  <si>
    <t>BONO</t>
  </si>
  <si>
    <t>ALIMENTACION</t>
  </si>
  <si>
    <t>MOVILIZACION</t>
  </si>
  <si>
    <t>TIPOS DE CONTRATO</t>
  </si>
  <si>
    <t>BENEFICIOS</t>
  </si>
  <si>
    <t>FONDOS DE RESERVA</t>
  </si>
  <si>
    <t>DECIMO 3</t>
  </si>
  <si>
    <t>DECIMO 4</t>
  </si>
  <si>
    <t>9.45%</t>
  </si>
  <si>
    <t>MULTAS</t>
  </si>
  <si>
    <t>PENSION ALIMENTICIA</t>
  </si>
  <si>
    <t>AFILIACION CONYUGE (3.41% SBU)</t>
  </si>
  <si>
    <t>EGRESOS</t>
  </si>
  <si>
    <t>DESCUENTOS</t>
  </si>
  <si>
    <t>TOTAL</t>
  </si>
  <si>
    <t>SUELDO MENSUAL O QUINCENAL</t>
  </si>
  <si>
    <t>ASISTENTE</t>
  </si>
  <si>
    <t>EVENTUAL</t>
  </si>
  <si>
    <t>TOTAL INGRESOS</t>
  </si>
  <si>
    <t>TOTAL DE EGRESOS</t>
  </si>
  <si>
    <t>FECHA DE INGRESO</t>
  </si>
  <si>
    <t>COLABORADOR</t>
  </si>
  <si>
    <t>NOMINA</t>
  </si>
  <si>
    <t>TIPO DE CONTRATO</t>
  </si>
  <si>
    <t>XXXXXXXXXXXXX</t>
  </si>
  <si>
    <t>INDEFINIDO</t>
  </si>
  <si>
    <t>EMERGENTE</t>
  </si>
  <si>
    <t>XXXXXXXX</t>
  </si>
  <si>
    <t>XXXXXXX</t>
  </si>
  <si>
    <t>SBU</t>
  </si>
  <si>
    <t>SUELDO MENSUAL</t>
  </si>
  <si>
    <t>luis peres</t>
  </si>
  <si>
    <t>asistente administrativo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</si>
</sst>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$&quot;* #,##0.00_ ;_ &quot;$&quot;* \-#,##0.00_ ;_ &quot;$&quot;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2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/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/>
    <xf numFmtId="44" fontId="0" fillId="0" borderId="1" xfId="1" applyFont="1" applyBorder="1"/>
    <xf numFmtId="44" fontId="0" fillId="0" borderId="1" xfId="0" applyNumberFormat="1" applyBorder="1"/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44" fontId="0" fillId="0" borderId="0" xfId="1" applyFont="1"/>
    <xf numFmtId="0" fontId="0" fillId="0" borderId="1" xfId="0" applyBorder="1" applyAlignment="1">
      <alignment wrapText="1"/>
    </xf>
    <xf numFmtId="0" fontId="0" fillId="2" borderId="3" xfId="0" applyFill="1" applyBorder="1" applyAlignment="1">
      <alignment wrapText="1"/>
    </xf>
    <xf numFmtId="0" fontId="0" fillId="7" borderId="14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44" fontId="0" fillId="0" borderId="6" xfId="1" applyNumberFormat="1" applyFont="1" applyBorder="1" applyAlignment="1">
      <alignment vertical="center"/>
    </xf>
    <xf numFmtId="44" fontId="0" fillId="0" borderId="6" xfId="0" applyNumberFormat="1" applyBorder="1" applyAlignment="1">
      <alignment vertical="center"/>
    </xf>
    <xf numFmtId="0" fontId="0" fillId="6" borderId="7" xfId="0" applyFill="1" applyBorder="1" applyAlignment="1">
      <alignment wrapText="1"/>
    </xf>
    <xf numFmtId="44" fontId="0" fillId="0" borderId="16" xfId="0" applyNumberFormat="1" applyBorder="1" applyAlignment="1">
      <alignment vertic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2" borderId="1" xfId="0" applyFill="1" applyBorder="1" applyAlignment="1"/>
    <xf numFmtId="0" fontId="2" fillId="2" borderId="1" xfId="0" applyFont="1" applyFill="1" applyBorder="1" applyAlignment="1"/>
    <xf numFmtId="15" fontId="0" fillId="0" borderId="1" xfId="0" applyNumberFormat="1" applyBorder="1"/>
    <xf numFmtId="44" fontId="0" fillId="0" borderId="19" xfId="0" applyNumberFormat="1" applyBorder="1"/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/>
    <xf numFmtId="0" fontId="0" fillId="3" borderId="1" xfId="0" applyFill="1" applyBorder="1" applyAlignment="1"/>
    <xf numFmtId="2" fontId="0" fillId="0" borderId="1" xfId="0" applyNumberFormat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wrapText="1"/>
    </xf>
    <xf numFmtId="44" fontId="0" fillId="0" borderId="6" xfId="1" applyFont="1" applyBorder="1"/>
    <xf numFmtId="2" fontId="0" fillId="0" borderId="6" xfId="0" applyNumberFormat="1" applyBorder="1"/>
    <xf numFmtId="0" fontId="0" fillId="0" borderId="6" xfId="0" applyBorder="1"/>
    <xf numFmtId="44" fontId="0" fillId="0" borderId="6" xfId="0" applyNumberFormat="1" applyBorder="1"/>
    <xf numFmtId="0" fontId="0" fillId="7" borderId="6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4" borderId="6" xfId="0" applyFill="1" applyBorder="1" applyAlignment="1">
      <alignment wrapText="1"/>
    </xf>
    <xf numFmtId="0" fontId="0" fillId="4" borderId="6" xfId="0" applyFill="1" applyBorder="1" applyAlignment="1">
      <alignment horizontal="center"/>
    </xf>
    <xf numFmtId="44" fontId="0" fillId="2" borderId="6" xfId="0" applyNumberFormat="1" applyFill="1" applyBorder="1"/>
    <xf numFmtId="0" fontId="0" fillId="0" borderId="2" xfId="0" applyBorder="1"/>
    <xf numFmtId="0" fontId="0" fillId="0" borderId="3" xfId="0" applyBorder="1"/>
    <xf numFmtId="2" fontId="0" fillId="0" borderId="0" xfId="0" applyNumberFormat="1"/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5" borderId="11" xfId="0" applyFill="1" applyBorder="1" applyAlignment="1">
      <alignment horizontal="center" wrapText="1"/>
    </xf>
    <xf numFmtId="0" fontId="0" fillId="5" borderId="12" xfId="0" applyFill="1" applyBorder="1" applyAlignment="1">
      <alignment horizontal="center" wrapText="1"/>
    </xf>
    <xf numFmtId="0" fontId="0" fillId="5" borderId="13" xfId="0" applyFill="1" applyBorder="1" applyAlignment="1">
      <alignment horizontal="center" wrapText="1"/>
    </xf>
    <xf numFmtId="44" fontId="0" fillId="2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wrapText="1"/>
    </xf>
    <xf numFmtId="0" fontId="0" fillId="4" borderId="12" xfId="0" applyFill="1" applyBorder="1" applyAlignment="1">
      <alignment horizontal="center" wrapText="1"/>
    </xf>
    <xf numFmtId="0" fontId="0" fillId="4" borderId="13" xfId="0" applyFill="1" applyBorder="1" applyAlignment="1">
      <alignment horizontal="center" wrapText="1"/>
    </xf>
    <xf numFmtId="44" fontId="0" fillId="2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44" fontId="0" fillId="2" borderId="18" xfId="0" applyNumberForma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3" borderId="3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3" fillId="8" borderId="20" xfId="0" applyFont="1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0" fillId="8" borderId="23" xfId="0" applyFill="1" applyBorder="1" applyAlignment="1">
      <alignment horizontal="center" vertical="center"/>
    </xf>
    <xf numFmtId="0" fontId="0" fillId="8" borderId="24" xfId="0" applyFill="1" applyBorder="1" applyAlignment="1">
      <alignment horizontal="center" vertical="center"/>
    </xf>
    <xf numFmtId="0" fontId="0" fillId="8" borderId="25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wrapText="1"/>
    </xf>
    <xf numFmtId="44" fontId="0" fillId="2" borderId="5" xfId="0" applyNumberForma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581025</xdr:colOff>
      <xdr:row>0</xdr:row>
      <xdr:rowOff>104775</xdr:rowOff>
    </xdr:from>
    <xdr:to>
      <xdr:col>14</xdr:col>
      <xdr:colOff>371475</xdr:colOff>
      <xdr:row>1</xdr:row>
      <xdr:rowOff>171450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DBDCA331-1769-46F5-AC0E-4E5852E443F3}"/>
            </a:ext>
          </a:extLst>
        </xdr:cNvPr>
        <xdr:cNvCxnSpPr/>
      </xdr:nvCxnSpPr>
      <xdr:spPr>
        <a:xfrm flipH="1">
          <a:off x="10487025" y="104775"/>
          <a:ext cx="552450" cy="2571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152400</xdr:colOff>
      <xdr:row>0</xdr:row>
      <xdr:rowOff>57150</xdr:rowOff>
    </xdr:from>
    <xdr:to>
      <xdr:col>13</xdr:col>
      <xdr:colOff>400050</xdr:colOff>
      <xdr:row>1</xdr:row>
      <xdr:rowOff>171450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D1C36B50-D7BC-4194-BD7E-196DDFEED084}"/>
            </a:ext>
          </a:extLst>
        </xdr:cNvPr>
        <xdr:cNvSpPr txBox="1"/>
      </xdr:nvSpPr>
      <xdr:spPr>
        <a:xfrm>
          <a:off x="8534400" y="57150"/>
          <a:ext cx="177165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C" sz="1100"/>
            <a:t>INFORMACION RESUMEN</a:t>
          </a:r>
        </a:p>
      </xdr:txBody>
    </xdr:sp>
    <xdr:clientData/>
  </xdr:twoCellAnchor>
  <xdr:twoCellAnchor>
    <xdr:from>
      <xdr:col>16</xdr:col>
      <xdr:colOff>514350</xdr:colOff>
      <xdr:row>0</xdr:row>
      <xdr:rowOff>123825</xdr:rowOff>
    </xdr:from>
    <xdr:to>
      <xdr:col>17</xdr:col>
      <xdr:colOff>409575</xdr:colOff>
      <xdr:row>1</xdr:row>
      <xdr:rowOff>180975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24318890-3992-4E81-942B-484E221E321B}"/>
            </a:ext>
          </a:extLst>
        </xdr:cNvPr>
        <xdr:cNvCxnSpPr/>
      </xdr:nvCxnSpPr>
      <xdr:spPr>
        <a:xfrm>
          <a:off x="12706350" y="123825"/>
          <a:ext cx="657225" cy="2476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209550</xdr:colOff>
      <xdr:row>0</xdr:row>
      <xdr:rowOff>28575</xdr:rowOff>
    </xdr:from>
    <xdr:to>
      <xdr:col>17</xdr:col>
      <xdr:colOff>533400</xdr:colOff>
      <xdr:row>1</xdr:row>
      <xdr:rowOff>142875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82567A3E-62EB-4954-8D23-C83679E4959E}"/>
            </a:ext>
          </a:extLst>
        </xdr:cNvPr>
        <xdr:cNvSpPr txBox="1"/>
      </xdr:nvSpPr>
      <xdr:spPr>
        <a:xfrm>
          <a:off x="11639550" y="28575"/>
          <a:ext cx="108585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C" sz="1100"/>
            <a:t>APORTE</a:t>
          </a:r>
          <a:r>
            <a:rPr lang="es-EC" sz="1100" baseline="0"/>
            <a:t> AL IESS</a:t>
          </a:r>
          <a:endParaRPr lang="es-EC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23B14-8DDC-4D57-9223-249B15E9AB28}">
  <dimension ref="A1:AI9"/>
  <sheetViews>
    <sheetView topLeftCell="D1" workbookViewId="0">
      <selection activeCell="R4" sqref="R4"/>
    </sheetView>
  </sheetViews>
  <sheetFormatPr baseColWidth="10" defaultRowHeight="15" x14ac:dyDescent="0.25"/>
  <cols>
    <col min="18" max="18" width="30" bestFit="1" customWidth="1"/>
    <col min="23" max="23" width="14.7109375" bestFit="1" customWidth="1"/>
    <col min="24" max="24" width="14.7109375" customWidth="1"/>
    <col min="28" max="28" width="17.28515625" customWidth="1"/>
    <col min="29" max="29" width="11.85546875" bestFit="1" customWidth="1"/>
    <col min="33" max="33" width="12.5703125" bestFit="1" customWidth="1"/>
    <col min="34" max="34" width="17.7109375" bestFit="1" customWidth="1"/>
  </cols>
  <sheetData>
    <row r="1" spans="1:35" ht="15.75" thickBot="1" x14ac:dyDescent="0.3">
      <c r="A1" s="55" t="s">
        <v>6</v>
      </c>
      <c r="B1" s="55"/>
      <c r="C1" s="55"/>
    </row>
    <row r="2" spans="1:35" ht="15.75" thickBot="1" x14ac:dyDescent="0.3">
      <c r="R2" s="57" t="s">
        <v>7</v>
      </c>
      <c r="S2" s="58"/>
      <c r="T2" s="58"/>
      <c r="U2" s="58"/>
      <c r="V2" s="58"/>
      <c r="W2" s="58"/>
      <c r="X2" s="59"/>
      <c r="Y2" s="62" t="s">
        <v>15</v>
      </c>
      <c r="Z2" s="63"/>
      <c r="AA2" s="64"/>
      <c r="AB2" s="17" t="s">
        <v>29</v>
      </c>
      <c r="AC2" s="55" t="s">
        <v>23</v>
      </c>
      <c r="AD2" s="55"/>
      <c r="AE2" s="55"/>
      <c r="AF2" s="55"/>
      <c r="AG2" s="55"/>
      <c r="AH2" s="31" t="s">
        <v>30</v>
      </c>
      <c r="AI2" s="32" t="s">
        <v>25</v>
      </c>
    </row>
    <row r="3" spans="1:35" ht="15" customHeight="1" thickBot="1" x14ac:dyDescent="0.3">
      <c r="H3" s="69" t="s">
        <v>14</v>
      </c>
      <c r="I3" s="69"/>
      <c r="J3" s="7" t="s">
        <v>2</v>
      </c>
      <c r="K3" s="56" t="s">
        <v>5</v>
      </c>
      <c r="L3" s="56"/>
      <c r="M3" s="4" t="s">
        <v>0</v>
      </c>
      <c r="N3" s="4" t="s">
        <v>1</v>
      </c>
      <c r="O3" s="5" t="s">
        <v>3</v>
      </c>
      <c r="P3" s="70" t="s">
        <v>4</v>
      </c>
      <c r="Q3" s="71"/>
      <c r="R3" s="18" t="s">
        <v>26</v>
      </c>
      <c r="S3" s="18" t="s">
        <v>8</v>
      </c>
      <c r="T3" s="19" t="s">
        <v>9</v>
      </c>
      <c r="U3" s="19" t="s">
        <v>10</v>
      </c>
      <c r="V3" s="20" t="s">
        <v>11</v>
      </c>
      <c r="W3" s="20" t="s">
        <v>12</v>
      </c>
      <c r="X3" s="20" t="s">
        <v>13</v>
      </c>
      <c r="Y3" s="25" t="s">
        <v>16</v>
      </c>
      <c r="Z3" s="21" t="s">
        <v>17</v>
      </c>
      <c r="AA3" s="22" t="s">
        <v>18</v>
      </c>
      <c r="AB3" s="65">
        <f>SUM(R4:AA4)</f>
        <v>164.59461805555554</v>
      </c>
      <c r="AC3" s="6" t="s">
        <v>19</v>
      </c>
      <c r="AD3" s="6" t="s">
        <v>20</v>
      </c>
      <c r="AE3" s="29" t="s">
        <v>21</v>
      </c>
      <c r="AF3" s="30" t="s">
        <v>22</v>
      </c>
      <c r="AG3" s="16" t="s">
        <v>24</v>
      </c>
      <c r="AH3" s="60">
        <f>SUM(AC4:AG4)</f>
        <v>11.057484374999998</v>
      </c>
      <c r="AI3" s="60">
        <f>AB3-AH3</f>
        <v>153.53713368055554</v>
      </c>
    </row>
    <row r="4" spans="1:35" x14ac:dyDescent="0.25">
      <c r="H4" s="69" t="s">
        <v>28</v>
      </c>
      <c r="I4" s="69"/>
      <c r="J4" s="3"/>
      <c r="K4" s="69"/>
      <c r="L4" s="69"/>
      <c r="M4" s="3">
        <v>984523678</v>
      </c>
      <c r="N4" s="3" t="s">
        <v>27</v>
      </c>
      <c r="O4" s="8">
        <v>470</v>
      </c>
      <c r="P4" s="69">
        <v>6</v>
      </c>
      <c r="Q4" s="69"/>
      <c r="R4" s="23">
        <f>O4/30*P4</f>
        <v>94</v>
      </c>
      <c r="S4" s="23">
        <f>((P8*25%)*P8)*8</f>
        <v>7.6701388888888884</v>
      </c>
      <c r="T4" s="23">
        <f>((P8*100%)*P8)*4</f>
        <v>15.340277777777777</v>
      </c>
      <c r="U4" s="24">
        <v>0</v>
      </c>
      <c r="V4" s="23">
        <v>10</v>
      </c>
      <c r="W4" s="24">
        <v>0</v>
      </c>
      <c r="X4" s="23">
        <v>20</v>
      </c>
      <c r="Y4" s="26">
        <v>0</v>
      </c>
      <c r="Z4" s="24">
        <f>SUM(R4:U4)/12</f>
        <v>9.7508680555555554</v>
      </c>
      <c r="AA4" s="24">
        <f>O4/360*6</f>
        <v>7.8333333333333339</v>
      </c>
      <c r="AB4" s="66"/>
      <c r="AC4" s="9">
        <f>SUM(R4+S4+T4+U4)*9.45%</f>
        <v>11.057484374999998</v>
      </c>
      <c r="AD4" s="3">
        <v>0</v>
      </c>
      <c r="AE4" s="27">
        <v>0</v>
      </c>
      <c r="AF4" s="27"/>
      <c r="AG4" s="28"/>
      <c r="AH4" s="61"/>
      <c r="AI4" s="61"/>
    </row>
    <row r="8" spans="1:35" x14ac:dyDescent="0.25">
      <c r="E8" s="67"/>
      <c r="F8" s="67"/>
      <c r="G8" s="2"/>
      <c r="H8" s="2"/>
      <c r="I8" s="2"/>
      <c r="J8" s="1"/>
      <c r="K8" s="68"/>
      <c r="L8" s="68"/>
      <c r="P8" s="15">
        <f>470/240</f>
        <v>1.9583333333333333</v>
      </c>
    </row>
    <row r="9" spans="1:35" x14ac:dyDescent="0.25">
      <c r="P9" s="15"/>
    </row>
  </sheetData>
  <mergeCells count="15">
    <mergeCell ref="E8:F8"/>
    <mergeCell ref="K8:L8"/>
    <mergeCell ref="H3:I3"/>
    <mergeCell ref="H4:I4"/>
    <mergeCell ref="P3:Q3"/>
    <mergeCell ref="K4:L4"/>
    <mergeCell ref="P4:Q4"/>
    <mergeCell ref="A1:C1"/>
    <mergeCell ref="K3:L3"/>
    <mergeCell ref="R2:X2"/>
    <mergeCell ref="AH3:AH4"/>
    <mergeCell ref="AI3:AI4"/>
    <mergeCell ref="Y2:AA2"/>
    <mergeCell ref="AB3:AB4"/>
    <mergeCell ref="AC2:AG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D3E71-AADA-4FB2-A9DD-989EC4D4D8F5}">
  <dimension ref="D1:AC34"/>
  <sheetViews>
    <sheetView tabSelected="1" topLeftCell="K1" zoomScale="85" zoomScaleNormal="85" workbookViewId="0">
      <selection activeCell="T20" sqref="T20"/>
    </sheetView>
  </sheetViews>
  <sheetFormatPr baseColWidth="10" defaultRowHeight="15" x14ac:dyDescent="0.25"/>
  <cols>
    <col min="4" max="4" width="17.85546875" bestFit="1" customWidth="1"/>
    <col min="5" max="5" width="18.85546875" bestFit="1" customWidth="1"/>
    <col min="6" max="6" width="18.28515625" bestFit="1" customWidth="1"/>
    <col min="8" max="8" width="24.140625" bestFit="1" customWidth="1"/>
    <col min="12" max="12" width="30" bestFit="1" customWidth="1"/>
    <col min="13" max="13" width="12.5703125" bestFit="1" customWidth="1"/>
    <col min="17" max="17" width="14.7109375" bestFit="1" customWidth="1"/>
    <col min="18" max="18" width="14.28515625" bestFit="1" customWidth="1"/>
    <col min="19" max="19" width="20.28515625" bestFit="1" customWidth="1"/>
    <col min="27" max="27" width="12.5703125" bestFit="1" customWidth="1"/>
    <col min="28" max="28" width="17.7109375" bestFit="1" customWidth="1"/>
  </cols>
  <sheetData>
    <row r="1" spans="4:29" x14ac:dyDescent="0.25">
      <c r="F1" s="83" t="s">
        <v>33</v>
      </c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5"/>
    </row>
    <row r="2" spans="4:29" ht="15.75" thickBot="1" x14ac:dyDescent="0.3">
      <c r="F2" s="86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8"/>
    </row>
    <row r="3" spans="4:29" ht="15.75" thickBot="1" x14ac:dyDescent="0.3"/>
    <row r="4" spans="4:29" ht="15" customHeight="1" thickBot="1" x14ac:dyDescent="0.3">
      <c r="L4" s="57" t="s">
        <v>7</v>
      </c>
      <c r="M4" s="58"/>
      <c r="N4" s="58"/>
      <c r="O4" s="58"/>
      <c r="P4" s="58"/>
      <c r="Q4" s="58"/>
      <c r="R4" s="59"/>
      <c r="S4" s="62" t="s">
        <v>15</v>
      </c>
      <c r="T4" s="63"/>
      <c r="U4" s="64"/>
      <c r="V4" s="17" t="s">
        <v>29</v>
      </c>
      <c r="W4" s="80" t="s">
        <v>23</v>
      </c>
      <c r="X4" s="81"/>
      <c r="Y4" s="81"/>
      <c r="Z4" s="81"/>
      <c r="AA4" s="82"/>
      <c r="AB4" s="31" t="s">
        <v>30</v>
      </c>
      <c r="AC4" s="32" t="s">
        <v>25</v>
      </c>
    </row>
    <row r="5" spans="4:29" ht="15" customHeight="1" thickBot="1" x14ac:dyDescent="0.3">
      <c r="D5" s="7" t="s">
        <v>31</v>
      </c>
      <c r="E5" s="38" t="s">
        <v>5</v>
      </c>
      <c r="F5" s="39" t="s">
        <v>34</v>
      </c>
      <c r="G5" s="10" t="s">
        <v>0</v>
      </c>
      <c r="H5" s="10" t="s">
        <v>1</v>
      </c>
      <c r="I5" s="11" t="s">
        <v>3</v>
      </c>
      <c r="J5" s="71" t="s">
        <v>4</v>
      </c>
      <c r="K5" s="89"/>
      <c r="L5" s="18" t="s">
        <v>26</v>
      </c>
      <c r="M5" s="18" t="s">
        <v>8</v>
      </c>
      <c r="N5" s="19" t="s">
        <v>9</v>
      </c>
      <c r="O5" s="19" t="s">
        <v>10</v>
      </c>
      <c r="P5" s="20" t="s">
        <v>11</v>
      </c>
      <c r="Q5" s="20" t="s">
        <v>12</v>
      </c>
      <c r="R5" s="20" t="s">
        <v>13</v>
      </c>
      <c r="S5" s="25" t="s">
        <v>16</v>
      </c>
      <c r="T5" s="21" t="s">
        <v>17</v>
      </c>
      <c r="U5" s="22" t="s">
        <v>18</v>
      </c>
      <c r="V5" s="90">
        <f>SUM(L6:U6)</f>
        <v>533.64127285879636</v>
      </c>
      <c r="W5" s="6" t="s">
        <v>19</v>
      </c>
      <c r="X5" s="6" t="s">
        <v>20</v>
      </c>
      <c r="Y5" s="29" t="s">
        <v>21</v>
      </c>
      <c r="Z5" s="30" t="s">
        <v>22</v>
      </c>
      <c r="AA5" s="16" t="s">
        <v>24</v>
      </c>
      <c r="AB5" s="74">
        <f>SUM(W6:AA6)</f>
        <v>41.639882812499991</v>
      </c>
      <c r="AC5" s="74">
        <f>V5-AB5</f>
        <v>492.00139004629636</v>
      </c>
    </row>
    <row r="6" spans="4:29" x14ac:dyDescent="0.25">
      <c r="D6" s="33">
        <v>42145</v>
      </c>
      <c r="E6" s="27" t="s">
        <v>32</v>
      </c>
      <c r="F6" s="7"/>
      <c r="G6" s="3">
        <v>984523678</v>
      </c>
      <c r="H6" s="3" t="s">
        <v>27</v>
      </c>
      <c r="I6" s="8">
        <v>700</v>
      </c>
      <c r="J6" s="72">
        <v>15</v>
      </c>
      <c r="K6" s="73"/>
      <c r="L6" s="23">
        <f>I6/30*J6</f>
        <v>350</v>
      </c>
      <c r="M6" s="23">
        <f>((J10*25%)*J10)*5</f>
        <v>10.633680555555554</v>
      </c>
      <c r="N6" s="23">
        <v>0</v>
      </c>
      <c r="O6" s="24">
        <v>80</v>
      </c>
      <c r="P6" s="23">
        <v>0</v>
      </c>
      <c r="Q6" s="24">
        <v>0</v>
      </c>
      <c r="R6" s="23">
        <v>0</v>
      </c>
      <c r="S6" s="34">
        <f>SUM(L6:O6)*8.33%</f>
        <v>36.70478559027778</v>
      </c>
      <c r="T6" s="24">
        <f>SUM(L6:O6)/12</f>
        <v>36.719473379629626</v>
      </c>
      <c r="U6" s="24">
        <f>I8/360*15</f>
        <v>19.583333333333332</v>
      </c>
      <c r="V6" s="91"/>
      <c r="W6" s="9">
        <f>SUM(L6:O6)*9.45%</f>
        <v>41.639882812499991</v>
      </c>
      <c r="X6" s="3">
        <v>0</v>
      </c>
      <c r="Y6" s="27">
        <v>0</v>
      </c>
      <c r="Z6" s="7"/>
      <c r="AA6" s="28"/>
      <c r="AB6" s="75"/>
      <c r="AC6" s="75"/>
    </row>
    <row r="8" spans="4:29" x14ac:dyDescent="0.25">
      <c r="H8" s="3" t="s">
        <v>40</v>
      </c>
      <c r="I8" s="3">
        <v>470</v>
      </c>
    </row>
    <row r="10" spans="4:29" ht="15.75" thickBot="1" x14ac:dyDescent="0.3">
      <c r="J10" s="15">
        <f>700/240</f>
        <v>2.9166666666666665</v>
      </c>
    </row>
    <row r="11" spans="4:29" ht="15.75" thickBot="1" x14ac:dyDescent="0.3">
      <c r="L11" s="76" t="s">
        <v>7</v>
      </c>
      <c r="M11" s="77"/>
      <c r="N11" s="77"/>
      <c r="O11" s="77"/>
      <c r="P11" s="77"/>
      <c r="Q11" s="77"/>
      <c r="R11" s="78"/>
      <c r="S11" s="76" t="s">
        <v>15</v>
      </c>
      <c r="T11" s="77"/>
      <c r="U11" s="78"/>
    </row>
    <row r="12" spans="4:29" ht="15" customHeight="1" x14ac:dyDescent="0.25">
      <c r="D12" s="7" t="s">
        <v>31</v>
      </c>
      <c r="E12" s="38" t="s">
        <v>5</v>
      </c>
      <c r="F12" s="39" t="s">
        <v>34</v>
      </c>
      <c r="G12" s="14" t="s">
        <v>0</v>
      </c>
      <c r="H12" s="14" t="s">
        <v>1</v>
      </c>
      <c r="I12" s="13" t="s">
        <v>3</v>
      </c>
      <c r="J12" s="71" t="s">
        <v>4</v>
      </c>
      <c r="K12" s="92"/>
      <c r="L12" s="47" t="s">
        <v>41</v>
      </c>
      <c r="M12" s="47" t="s">
        <v>8</v>
      </c>
      <c r="N12" s="47" t="s">
        <v>9</v>
      </c>
      <c r="O12" s="47" t="s">
        <v>10</v>
      </c>
      <c r="P12" s="48" t="s">
        <v>11</v>
      </c>
      <c r="Q12" s="48" t="s">
        <v>12</v>
      </c>
      <c r="R12" s="48" t="s">
        <v>13</v>
      </c>
      <c r="S12" s="49" t="s">
        <v>16</v>
      </c>
      <c r="T12" s="50" t="s">
        <v>17</v>
      </c>
      <c r="U12" s="50" t="s">
        <v>18</v>
      </c>
      <c r="V12" s="41" t="s">
        <v>25</v>
      </c>
      <c r="W12" s="12" t="s">
        <v>19</v>
      </c>
      <c r="X12" s="12" t="s">
        <v>20</v>
      </c>
      <c r="Y12" s="42" t="s">
        <v>21</v>
      </c>
      <c r="Z12" s="42" t="s">
        <v>22</v>
      </c>
      <c r="AA12" s="42" t="s">
        <v>24</v>
      </c>
      <c r="AB12" s="31" t="s">
        <v>30</v>
      </c>
      <c r="AC12" s="32" t="s">
        <v>25</v>
      </c>
    </row>
    <row r="13" spans="4:29" x14ac:dyDescent="0.25">
      <c r="D13" s="33">
        <v>42134</v>
      </c>
      <c r="E13" s="3" t="s">
        <v>35</v>
      </c>
      <c r="F13" s="3" t="s">
        <v>36</v>
      </c>
      <c r="G13" s="3" t="s">
        <v>38</v>
      </c>
      <c r="H13" s="3" t="s">
        <v>39</v>
      </c>
      <c r="I13" s="3">
        <v>500</v>
      </c>
      <c r="J13" s="72">
        <v>30</v>
      </c>
      <c r="K13" s="73"/>
      <c r="L13" s="43">
        <f>I13/30*J13</f>
        <v>500.00000000000006</v>
      </c>
      <c r="M13" s="44">
        <f>((I21*50%)*I21)*4</f>
        <v>8.6805555555555571</v>
      </c>
      <c r="N13" s="45">
        <v>0</v>
      </c>
      <c r="O13" s="45">
        <v>0</v>
      </c>
      <c r="P13" s="45">
        <v>0</v>
      </c>
      <c r="Q13" s="45">
        <v>0</v>
      </c>
      <c r="R13" s="45">
        <v>0</v>
      </c>
      <c r="S13" s="9">
        <f>SUM(L13:O13)*8.33%</f>
        <v>42.373090277777784</v>
      </c>
      <c r="T13" s="45">
        <v>0</v>
      </c>
      <c r="U13" s="45">
        <v>0</v>
      </c>
      <c r="V13" s="51">
        <f>SUM(L13:U13)</f>
        <v>551.05364583333335</v>
      </c>
      <c r="W13" s="46">
        <f>SUM(L13:O13)*9.45%</f>
        <v>48.0703125</v>
      </c>
      <c r="X13" s="45">
        <v>0</v>
      </c>
      <c r="Y13" s="45">
        <v>0</v>
      </c>
      <c r="Z13" s="45">
        <v>0</v>
      </c>
      <c r="AA13" s="45">
        <v>0</v>
      </c>
      <c r="AB13" s="51">
        <f>SUM(W13:AA13)</f>
        <v>48.0703125</v>
      </c>
      <c r="AC13" s="51">
        <f>V13-AB13</f>
        <v>502.98333333333335</v>
      </c>
    </row>
    <row r="14" spans="4:29" x14ac:dyDescent="0.25">
      <c r="D14" s="33">
        <v>45566</v>
      </c>
      <c r="E14" s="3" t="s">
        <v>35</v>
      </c>
      <c r="F14" s="3" t="s">
        <v>28</v>
      </c>
      <c r="G14" s="3" t="s">
        <v>38</v>
      </c>
      <c r="H14" s="3" t="s">
        <v>39</v>
      </c>
      <c r="I14" s="3">
        <v>500</v>
      </c>
      <c r="J14" s="72">
        <v>28</v>
      </c>
      <c r="K14" s="73"/>
      <c r="L14" s="8">
        <f>I14/30*J14</f>
        <v>466.66666666666669</v>
      </c>
      <c r="M14" s="3"/>
      <c r="N14" s="40">
        <f>((I22*100%)*I22)*1</f>
        <v>4.3402777777777786</v>
      </c>
      <c r="O14" s="3">
        <v>0</v>
      </c>
      <c r="P14" s="3">
        <v>0</v>
      </c>
      <c r="Q14" s="3">
        <v>0</v>
      </c>
      <c r="R14" s="52">
        <v>0</v>
      </c>
      <c r="S14" s="9">
        <v>0</v>
      </c>
      <c r="T14" s="53">
        <v>0</v>
      </c>
      <c r="U14" s="3">
        <v>0</v>
      </c>
      <c r="V14" s="51">
        <f t="shared" ref="V14:V17" si="0">SUM(L14:U14)</f>
        <v>471.00694444444446</v>
      </c>
      <c r="W14" s="46">
        <f t="shared" ref="W14:W17" si="1">SUM(L14:O14)*9.45%</f>
        <v>44.510156249999994</v>
      </c>
      <c r="X14" s="3">
        <v>0</v>
      </c>
      <c r="Y14" s="3">
        <v>0</v>
      </c>
      <c r="Z14" s="3">
        <v>0</v>
      </c>
      <c r="AA14" s="3">
        <v>0</v>
      </c>
      <c r="AB14" s="51">
        <f t="shared" ref="AB14:AB17" si="2">SUM(W14:AA14)</f>
        <v>44.510156249999994</v>
      </c>
      <c r="AC14" s="51">
        <f t="shared" ref="AC14:AC17" si="3">V14-AB14</f>
        <v>426.49678819444443</v>
      </c>
    </row>
    <row r="15" spans="4:29" x14ac:dyDescent="0.25">
      <c r="D15" s="33">
        <v>43832</v>
      </c>
      <c r="E15" s="3" t="s">
        <v>35</v>
      </c>
      <c r="F15" s="3" t="s">
        <v>36</v>
      </c>
      <c r="G15" s="3" t="s">
        <v>38</v>
      </c>
      <c r="H15" s="3" t="s">
        <v>39</v>
      </c>
      <c r="I15" s="3">
        <v>500</v>
      </c>
      <c r="J15" s="72">
        <v>30</v>
      </c>
      <c r="K15" s="73"/>
      <c r="L15" s="8">
        <f>I15/30*J15</f>
        <v>500.00000000000006</v>
      </c>
      <c r="M15" s="3">
        <f>((I23*25%)*I23)*0</f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9">
        <f t="shared" ref="S14:S17" si="4">SUM(L15:O15)*8.33%</f>
        <v>41.650000000000006</v>
      </c>
      <c r="T15" s="3">
        <v>0</v>
      </c>
      <c r="U15" s="3">
        <v>0</v>
      </c>
      <c r="V15" s="51">
        <f t="shared" si="0"/>
        <v>541.65000000000009</v>
      </c>
      <c r="W15" s="46">
        <f t="shared" si="1"/>
        <v>47.25</v>
      </c>
      <c r="X15" s="3">
        <v>0</v>
      </c>
      <c r="Y15" s="3">
        <v>0</v>
      </c>
      <c r="Z15" s="3">
        <v>0</v>
      </c>
      <c r="AA15" s="3">
        <v>0</v>
      </c>
      <c r="AB15" s="51">
        <f t="shared" si="2"/>
        <v>47.25</v>
      </c>
      <c r="AC15" s="51">
        <f t="shared" si="3"/>
        <v>494.40000000000009</v>
      </c>
    </row>
    <row r="16" spans="4:29" x14ac:dyDescent="0.25">
      <c r="D16" s="33">
        <v>44938</v>
      </c>
      <c r="E16" s="3" t="s">
        <v>35</v>
      </c>
      <c r="F16" s="3" t="s">
        <v>37</v>
      </c>
      <c r="G16" s="3" t="s">
        <v>38</v>
      </c>
      <c r="H16" s="3" t="s">
        <v>39</v>
      </c>
      <c r="I16" s="3">
        <v>500</v>
      </c>
      <c r="J16" s="72">
        <v>29</v>
      </c>
      <c r="K16" s="73"/>
      <c r="L16" s="8">
        <f>I16/30*J16</f>
        <v>483.33333333333337</v>
      </c>
      <c r="M16" s="3">
        <f>((I24*25%)*I24)*0</f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9">
        <f t="shared" si="4"/>
        <v>40.26166666666667</v>
      </c>
      <c r="T16" s="3">
        <v>0</v>
      </c>
      <c r="U16" s="3">
        <v>0</v>
      </c>
      <c r="V16" s="51">
        <f t="shared" si="0"/>
        <v>523.59500000000003</v>
      </c>
      <c r="W16" s="46">
        <f t="shared" si="1"/>
        <v>45.674999999999997</v>
      </c>
      <c r="X16" s="3">
        <v>0</v>
      </c>
      <c r="Y16" s="3">
        <v>0</v>
      </c>
      <c r="Z16" s="3">
        <v>0</v>
      </c>
      <c r="AA16" s="3">
        <v>0</v>
      </c>
      <c r="AB16" s="51">
        <f t="shared" si="2"/>
        <v>45.674999999999997</v>
      </c>
      <c r="AC16" s="51">
        <f t="shared" si="3"/>
        <v>477.92</v>
      </c>
    </row>
    <row r="17" spans="4:29" x14ac:dyDescent="0.25">
      <c r="D17" s="33">
        <v>44936</v>
      </c>
      <c r="E17" s="3" t="s">
        <v>35</v>
      </c>
      <c r="F17" s="3" t="s">
        <v>37</v>
      </c>
      <c r="G17" s="3" t="s">
        <v>38</v>
      </c>
      <c r="H17" s="3" t="s">
        <v>39</v>
      </c>
      <c r="I17" s="3">
        <v>500</v>
      </c>
      <c r="J17" s="72">
        <v>30</v>
      </c>
      <c r="K17" s="73"/>
      <c r="L17" s="8">
        <f>I17/30*J17</f>
        <v>500.00000000000006</v>
      </c>
      <c r="M17" s="40">
        <f>((I25*25%)*I25)*5</f>
        <v>5.4253472222222232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9">
        <f t="shared" si="4"/>
        <v>42.101931423611113</v>
      </c>
      <c r="T17" s="3">
        <v>0</v>
      </c>
      <c r="U17" s="3">
        <v>0</v>
      </c>
      <c r="V17" s="51">
        <f t="shared" si="0"/>
        <v>547.52727864583335</v>
      </c>
      <c r="W17" s="46">
        <f t="shared" si="1"/>
        <v>47.7626953125</v>
      </c>
      <c r="X17" s="3">
        <v>0</v>
      </c>
      <c r="Y17" s="3">
        <v>0</v>
      </c>
      <c r="Z17" s="3">
        <v>0</v>
      </c>
      <c r="AA17" s="3">
        <v>0</v>
      </c>
      <c r="AB17" s="51">
        <f t="shared" si="2"/>
        <v>47.7626953125</v>
      </c>
      <c r="AC17" s="51">
        <f t="shared" si="3"/>
        <v>499.76458333333335</v>
      </c>
    </row>
    <row r="21" spans="4:29" x14ac:dyDescent="0.25">
      <c r="I21" s="8">
        <f>I13/240</f>
        <v>2.0833333333333335</v>
      </c>
    </row>
    <row r="22" spans="4:29" x14ac:dyDescent="0.25">
      <c r="I22" s="8">
        <f>I14/240</f>
        <v>2.0833333333333335</v>
      </c>
    </row>
    <row r="23" spans="4:29" x14ac:dyDescent="0.25">
      <c r="I23" s="8">
        <f>I15/240</f>
        <v>2.0833333333333335</v>
      </c>
    </row>
    <row r="24" spans="4:29" x14ac:dyDescent="0.25">
      <c r="I24" s="8">
        <f>I16/240</f>
        <v>2.0833333333333335</v>
      </c>
    </row>
    <row r="25" spans="4:29" x14ac:dyDescent="0.25">
      <c r="I25" s="8">
        <f t="shared" ref="I25" si="5">I17/240</f>
        <v>2.0833333333333335</v>
      </c>
    </row>
    <row r="28" spans="4:29" ht="15.75" thickBot="1" x14ac:dyDescent="0.3"/>
    <row r="29" spans="4:29" ht="15.75" thickBot="1" x14ac:dyDescent="0.3">
      <c r="L29" s="76" t="s">
        <v>7</v>
      </c>
      <c r="M29" s="77"/>
      <c r="N29" s="77"/>
      <c r="O29" s="77"/>
      <c r="P29" s="77"/>
      <c r="Q29" s="77"/>
      <c r="R29" s="78"/>
      <c r="S29" s="76" t="s">
        <v>15</v>
      </c>
      <c r="T29" s="77"/>
      <c r="U29" s="78"/>
    </row>
    <row r="30" spans="4:29" ht="16.5" customHeight="1" x14ac:dyDescent="0.25">
      <c r="D30" s="7" t="s">
        <v>31</v>
      </c>
      <c r="E30" s="38" t="s">
        <v>5</v>
      </c>
      <c r="F30" s="39" t="s">
        <v>34</v>
      </c>
      <c r="G30" s="36" t="s">
        <v>0</v>
      </c>
      <c r="H30" s="36" t="s">
        <v>1</v>
      </c>
      <c r="I30" s="37" t="s">
        <v>3</v>
      </c>
      <c r="J30" s="71" t="s">
        <v>4</v>
      </c>
      <c r="K30" s="79"/>
      <c r="L30" s="47" t="s">
        <v>41</v>
      </c>
      <c r="M30" s="47" t="s">
        <v>8</v>
      </c>
      <c r="N30" s="47" t="s">
        <v>9</v>
      </c>
      <c r="O30" s="47" t="s">
        <v>10</v>
      </c>
      <c r="P30" s="48" t="s">
        <v>11</v>
      </c>
      <c r="Q30" s="48" t="s">
        <v>12</v>
      </c>
      <c r="R30" s="48" t="s">
        <v>13</v>
      </c>
      <c r="S30" s="49" t="s">
        <v>16</v>
      </c>
      <c r="T30" s="50" t="s">
        <v>17</v>
      </c>
      <c r="U30" s="50" t="s">
        <v>18</v>
      </c>
      <c r="V30" s="41" t="s">
        <v>25</v>
      </c>
      <c r="W30" s="35" t="s">
        <v>19</v>
      </c>
      <c r="X30" s="35" t="s">
        <v>20</v>
      </c>
      <c r="Y30" s="42" t="s">
        <v>21</v>
      </c>
      <c r="Z30" s="42" t="s">
        <v>22</v>
      </c>
      <c r="AA30" s="42" t="s">
        <v>24</v>
      </c>
      <c r="AB30" s="31" t="s">
        <v>30</v>
      </c>
      <c r="AC30" s="32" t="s">
        <v>25</v>
      </c>
    </row>
    <row r="31" spans="4:29" x14ac:dyDescent="0.25">
      <c r="D31" s="33">
        <v>44562</v>
      </c>
      <c r="E31" s="3" t="s">
        <v>42</v>
      </c>
      <c r="F31" s="3" t="s">
        <v>36</v>
      </c>
      <c r="G31" s="3" t="s">
        <v>38</v>
      </c>
      <c r="H31" s="3" t="s">
        <v>43</v>
      </c>
      <c r="I31" s="3">
        <v>470</v>
      </c>
      <c r="J31" s="72">
        <v>30</v>
      </c>
      <c r="K31" s="73"/>
      <c r="L31" s="43">
        <f>I31/30*J31</f>
        <v>470</v>
      </c>
      <c r="M31" s="44">
        <f>((I34*50%)*I34)*5</f>
        <v>9.5876736111111107</v>
      </c>
      <c r="N31" s="45">
        <v>0</v>
      </c>
      <c r="O31" s="45">
        <v>0</v>
      </c>
      <c r="P31" s="45">
        <v>0</v>
      </c>
      <c r="Q31" s="45">
        <v>0</v>
      </c>
      <c r="R31" s="45">
        <v>0</v>
      </c>
      <c r="S31" s="9">
        <f>SUM(L31:O31)*8.33%</f>
        <v>39.949653211805554</v>
      </c>
      <c r="T31" s="46">
        <v>0</v>
      </c>
      <c r="U31" s="44">
        <v>0</v>
      </c>
      <c r="V31" s="51">
        <f>SUM(L31:U31)</f>
        <v>519.53732682291661</v>
      </c>
      <c r="W31" s="46">
        <f>SUM(L31:O31)*9.45%</f>
        <v>45.321035156249991</v>
      </c>
      <c r="X31" s="45">
        <v>0</v>
      </c>
      <c r="Y31" s="45">
        <v>0</v>
      </c>
      <c r="Z31" s="45">
        <v>0</v>
      </c>
      <c r="AA31" s="45">
        <v>0</v>
      </c>
      <c r="AB31" s="51">
        <f>SUM(W31:AA31)</f>
        <v>45.321035156249991</v>
      </c>
      <c r="AC31" s="51">
        <f>V31-AB31</f>
        <v>474.21629166666662</v>
      </c>
    </row>
    <row r="33" spans="9:10" x14ac:dyDescent="0.25">
      <c r="I33" t="s">
        <v>40</v>
      </c>
      <c r="J33">
        <v>470</v>
      </c>
    </row>
    <row r="34" spans="9:10" x14ac:dyDescent="0.25">
      <c r="I34" s="54">
        <f>I31/240</f>
        <v>1.9583333333333333</v>
      </c>
    </row>
  </sheetData>
  <mergeCells count="21">
    <mergeCell ref="W4:AA4"/>
    <mergeCell ref="AB5:AB6"/>
    <mergeCell ref="F1:R2"/>
    <mergeCell ref="J5:K5"/>
    <mergeCell ref="V5:V6"/>
    <mergeCell ref="L4:R4"/>
    <mergeCell ref="S4:U4"/>
    <mergeCell ref="J31:K31"/>
    <mergeCell ref="AC5:AC6"/>
    <mergeCell ref="J6:K6"/>
    <mergeCell ref="L29:R29"/>
    <mergeCell ref="S29:U29"/>
    <mergeCell ref="J30:K30"/>
    <mergeCell ref="J15:K15"/>
    <mergeCell ref="J16:K16"/>
    <mergeCell ref="J17:K17"/>
    <mergeCell ref="J12:K12"/>
    <mergeCell ref="L11:R11"/>
    <mergeCell ref="S11:U11"/>
    <mergeCell ref="J13:K13"/>
    <mergeCell ref="J14:K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rendon</dc:creator>
  <cp:lastModifiedBy>bryan rendon</cp:lastModifiedBy>
  <dcterms:created xsi:type="dcterms:W3CDTF">2025-01-06T16:29:46Z</dcterms:created>
  <dcterms:modified xsi:type="dcterms:W3CDTF">2025-01-15T17:06:06Z</dcterms:modified>
</cp:coreProperties>
</file>