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ocuments\FORMATOS\EMPRESA\PYG\"/>
    </mc:Choice>
  </mc:AlternateContent>
  <xr:revisionPtr revIDLastSave="0" documentId="13_ncr:1_{08B27546-8143-49C1-99D6-3960BC67F8FD}" xr6:coauthVersionLast="47" xr6:coauthVersionMax="47" xr10:uidLastSave="{00000000-0000-0000-0000-000000000000}"/>
  <workbookProtection workbookAlgorithmName="SHA-512" workbookHashValue="Uf5/cIhOdT6JNVGJkmW2mNFPADPdFSb0bUSSyFNwajEluRE5KZXU4Q3Uh0miwHUD7gERCkwLd7OcTDdiuow1mQ==" workbookSaltValue="WSoq/UVJaL6Oi3WIjsi9Ag==" workbookSpinCount="100000" lockStructure="1"/>
  <bookViews>
    <workbookView xWindow="-120" yWindow="-120" windowWidth="20730" windowHeight="11040" activeTab="2" xr2:uid="{00000000-000D-0000-FFFF-FFFF00000000}"/>
  </bookViews>
  <sheets>
    <sheet name="ICE" sheetId="9" r:id="rId1"/>
    <sheet name="Presupuesto Personal - Familiar" sheetId="7" r:id="rId2"/>
    <sheet name="Flujo de Caja Empresarial" sheetId="3" r:id="rId3"/>
  </sheets>
  <externalReferences>
    <externalReference r:id="rId4"/>
    <externalReference r:id="rId5"/>
  </externalReferences>
  <definedNames>
    <definedName name="Escenarios.de.Penetración">[1]Listas!$E$4:$E$7</definedName>
    <definedName name="INTERESES">OFFSET('[2]Simulador de Crédito Cuota Fija'!$F$20,0,0,COUNT('[2]Simulador de Crédito Cuota Fija'!$F$20:$F$380),1)</definedName>
    <definedName name="PAGOS">OFFSET('[2]Simulador de Crédito Cuota Fija'!$K$19,0,0,COUNT('[2]Simulador de Crédito Cuota Fija'!$K$19:$K$380),1)</definedName>
    <definedName name="Paqueteo">[1]Listas!$A$6</definedName>
    <definedName name="Particulares">[1]Listas!$A$4</definedName>
    <definedName name="Personal">[1]Listas!$A$7</definedName>
    <definedName name="Taxis">[1]Listas!$A$5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3" l="1"/>
  <c r="P12" i="3"/>
  <c r="P15" i="3" s="1"/>
  <c r="P14" i="3"/>
  <c r="P40" i="3"/>
  <c r="P39" i="3"/>
  <c r="P9" i="3"/>
  <c r="P11" i="3"/>
  <c r="N6" i="3"/>
  <c r="N10" i="3"/>
  <c r="N11" i="3"/>
  <c r="N40" i="3"/>
  <c r="N9" i="3"/>
  <c r="N39" i="3"/>
  <c r="L40" i="3"/>
  <c r="L39" i="3"/>
  <c r="L9" i="3"/>
  <c r="L10" i="3"/>
  <c r="L11" i="3"/>
  <c r="J65" i="3"/>
  <c r="J40" i="3"/>
  <c r="J39" i="3"/>
  <c r="J9" i="3"/>
  <c r="J10" i="3"/>
  <c r="J11" i="3"/>
  <c r="H127" i="3" l="1"/>
  <c r="H39" i="3"/>
  <c r="H9" i="3"/>
  <c r="H40" i="3"/>
  <c r="H10" i="3"/>
  <c r="F39" i="3" l="1"/>
  <c r="F38" i="3" s="1"/>
  <c r="F9" i="3"/>
  <c r="F10" i="3"/>
  <c r="F40" i="3"/>
  <c r="F127" i="3"/>
  <c r="D12" i="3"/>
  <c r="D9" i="3"/>
  <c r="D10" i="3"/>
  <c r="D39" i="3"/>
  <c r="D40" i="3"/>
  <c r="D11" i="3"/>
  <c r="D38" i="3"/>
  <c r="Y11" i="3"/>
  <c r="Y10" i="3"/>
  <c r="Y9" i="3"/>
  <c r="W12" i="3"/>
  <c r="W11" i="3"/>
  <c r="W10" i="3"/>
  <c r="W9" i="3"/>
  <c r="U11" i="3"/>
  <c r="U10" i="3"/>
  <c r="U9" i="3"/>
  <c r="U15" i="3" s="1"/>
  <c r="U130" i="3" s="1"/>
  <c r="Q11" i="3"/>
  <c r="Q9" i="3"/>
  <c r="Q15" i="3" s="1"/>
  <c r="Q130" i="3" s="1"/>
  <c r="O11" i="3"/>
  <c r="O10" i="3"/>
  <c r="O9" i="3"/>
  <c r="O15" i="3" s="1"/>
  <c r="O130" i="3" s="1"/>
  <c r="M11" i="3"/>
  <c r="M10" i="3"/>
  <c r="M9" i="3"/>
  <c r="M15" i="3" s="1"/>
  <c r="M130" i="3" s="1"/>
  <c r="K11" i="3"/>
  <c r="K10" i="3"/>
  <c r="K15" i="3" s="1"/>
  <c r="K130" i="3" s="1"/>
  <c r="K9" i="3"/>
  <c r="I11" i="3"/>
  <c r="I9" i="3"/>
  <c r="G11" i="3"/>
  <c r="G10" i="3"/>
  <c r="G9" i="3"/>
  <c r="G15" i="3" s="1"/>
  <c r="E12" i="3"/>
  <c r="E10" i="3"/>
  <c r="E15" i="3" s="1"/>
  <c r="C12" i="3"/>
  <c r="AA12" i="3" s="1"/>
  <c r="C11" i="3"/>
  <c r="C10" i="3"/>
  <c r="C9" i="3"/>
  <c r="C15" i="3" s="1"/>
  <c r="C130" i="3" s="1"/>
  <c r="Z39" i="3"/>
  <c r="Z40" i="3"/>
  <c r="AB40" i="3" s="1"/>
  <c r="X40" i="3"/>
  <c r="X39" i="3"/>
  <c r="V65" i="3"/>
  <c r="V59" i="3" s="1"/>
  <c r="R40" i="3"/>
  <c r="R39" i="3"/>
  <c r="P127" i="3"/>
  <c r="Z83" i="3"/>
  <c r="X83" i="3"/>
  <c r="V83" i="3"/>
  <c r="T83" i="3"/>
  <c r="R83" i="3"/>
  <c r="P83" i="3"/>
  <c r="Z80" i="3"/>
  <c r="X80" i="3"/>
  <c r="V80" i="3"/>
  <c r="T80" i="3"/>
  <c r="R80" i="3"/>
  <c r="P80" i="3"/>
  <c r="N80" i="3"/>
  <c r="L80" i="3"/>
  <c r="J80" i="3"/>
  <c r="J127" i="3"/>
  <c r="F6" i="3"/>
  <c r="Y40" i="3"/>
  <c r="Y39" i="3"/>
  <c r="Y22" i="3"/>
  <c r="U65" i="3"/>
  <c r="U40" i="3"/>
  <c r="S62" i="3"/>
  <c r="U62" i="3"/>
  <c r="W62" i="3"/>
  <c r="V53" i="3"/>
  <c r="S11" i="3"/>
  <c r="S9" i="3"/>
  <c r="Q66" i="3"/>
  <c r="Q64" i="3"/>
  <c r="Q40" i="3"/>
  <c r="Q39" i="3"/>
  <c r="O66" i="3"/>
  <c r="O40" i="3"/>
  <c r="M65" i="3"/>
  <c r="M64" i="3"/>
  <c r="M40" i="3"/>
  <c r="K66" i="3"/>
  <c r="K64" i="3"/>
  <c r="K40" i="3"/>
  <c r="K39" i="3"/>
  <c r="I66" i="3"/>
  <c r="I40" i="3"/>
  <c r="I39" i="3"/>
  <c r="I21" i="3"/>
  <c r="G66" i="3"/>
  <c r="G40" i="3"/>
  <c r="G62" i="3"/>
  <c r="AA62" i="3" s="1"/>
  <c r="E40" i="3"/>
  <c r="E34" i="3"/>
  <c r="AB27" i="3"/>
  <c r="T6" i="3"/>
  <c r="R6" i="3"/>
  <c r="P6" i="3"/>
  <c r="J6" i="3"/>
  <c r="AB34" i="3"/>
  <c r="H6" i="3"/>
  <c r="L6" i="3"/>
  <c r="AA65" i="3"/>
  <c r="AB81" i="3"/>
  <c r="AB78" i="3" s="1"/>
  <c r="AB66" i="3"/>
  <c r="AB64" i="3"/>
  <c r="AB63" i="3"/>
  <c r="L108" i="3"/>
  <c r="N108" i="3"/>
  <c r="P108" i="3"/>
  <c r="R108" i="3"/>
  <c r="X108" i="3"/>
  <c r="Z108" i="3"/>
  <c r="I108" i="3"/>
  <c r="K108" i="3"/>
  <c r="M108" i="3"/>
  <c r="F108" i="3"/>
  <c r="E108" i="3"/>
  <c r="S80" i="3"/>
  <c r="U80" i="3"/>
  <c r="W80" i="3"/>
  <c r="Y80" i="3"/>
  <c r="O67" i="3"/>
  <c r="Y67" i="3"/>
  <c r="O68" i="3"/>
  <c r="Y68" i="3"/>
  <c r="O69" i="3"/>
  <c r="Y69" i="3"/>
  <c r="M70" i="3"/>
  <c r="O70" i="3"/>
  <c r="S70" i="3"/>
  <c r="W70" i="3"/>
  <c r="Y70" i="3"/>
  <c r="M71" i="3"/>
  <c r="O71" i="3"/>
  <c r="S71" i="3"/>
  <c r="U71" i="3"/>
  <c r="W71" i="3"/>
  <c r="Y71" i="3"/>
  <c r="M72" i="3"/>
  <c r="O72" i="3"/>
  <c r="Q72" i="3"/>
  <c r="S72" i="3"/>
  <c r="U72" i="3"/>
  <c r="W72" i="3"/>
  <c r="Y72" i="3"/>
  <c r="G73" i="3"/>
  <c r="K73" i="3"/>
  <c r="M73" i="3"/>
  <c r="O73" i="3"/>
  <c r="Q73" i="3"/>
  <c r="S73" i="3"/>
  <c r="U73" i="3"/>
  <c r="W73" i="3"/>
  <c r="Y73" i="3"/>
  <c r="G74" i="3"/>
  <c r="K74" i="3"/>
  <c r="M74" i="3"/>
  <c r="O74" i="3"/>
  <c r="Q74" i="3"/>
  <c r="S74" i="3"/>
  <c r="U74" i="3"/>
  <c r="W74" i="3"/>
  <c r="Y74" i="3"/>
  <c r="G75" i="3"/>
  <c r="K75" i="3"/>
  <c r="M75" i="3"/>
  <c r="O75" i="3"/>
  <c r="Q75" i="3"/>
  <c r="S75" i="3"/>
  <c r="U75" i="3"/>
  <c r="W75" i="3"/>
  <c r="Y75" i="3"/>
  <c r="G76" i="3"/>
  <c r="I76" i="3"/>
  <c r="K76" i="3"/>
  <c r="M76" i="3"/>
  <c r="O76" i="3"/>
  <c r="Q76" i="3"/>
  <c r="S76" i="3"/>
  <c r="U76" i="3"/>
  <c r="W76" i="3"/>
  <c r="Y76" i="3"/>
  <c r="G77" i="3"/>
  <c r="I77" i="3"/>
  <c r="K77" i="3"/>
  <c r="M77" i="3"/>
  <c r="O77" i="3"/>
  <c r="Q77" i="3"/>
  <c r="S77" i="3"/>
  <c r="U77" i="3"/>
  <c r="W77" i="3"/>
  <c r="Y77" i="3"/>
  <c r="Y60" i="3"/>
  <c r="AB62" i="3"/>
  <c r="K51" i="3"/>
  <c r="M51" i="3"/>
  <c r="O51" i="3"/>
  <c r="S51" i="3"/>
  <c r="U51" i="3"/>
  <c r="W51" i="3"/>
  <c r="Y51" i="3"/>
  <c r="K52" i="3"/>
  <c r="K55" i="3"/>
  <c r="M55" i="3"/>
  <c r="O55" i="3"/>
  <c r="S55" i="3"/>
  <c r="U55" i="3"/>
  <c r="W55" i="3"/>
  <c r="Y55" i="3"/>
  <c r="K56" i="3"/>
  <c r="M56" i="3"/>
  <c r="O56" i="3"/>
  <c r="S56" i="3"/>
  <c r="U56" i="3"/>
  <c r="W56" i="3"/>
  <c r="Y56" i="3"/>
  <c r="K41" i="3"/>
  <c r="M41" i="3"/>
  <c r="S41" i="3"/>
  <c r="W41" i="3"/>
  <c r="Y41" i="3"/>
  <c r="S39" i="3"/>
  <c r="W39" i="3"/>
  <c r="K34" i="3"/>
  <c r="M34" i="3"/>
  <c r="O34" i="3"/>
  <c r="Q34" i="3"/>
  <c r="S34" i="3"/>
  <c r="U34" i="3"/>
  <c r="S40" i="3"/>
  <c r="W40" i="3"/>
  <c r="W34" i="3"/>
  <c r="Y34" i="3"/>
  <c r="O108" i="3"/>
  <c r="Q108" i="3"/>
  <c r="S108" i="3"/>
  <c r="U108" i="3"/>
  <c r="W108" i="3"/>
  <c r="Y108" i="3"/>
  <c r="K57" i="3"/>
  <c r="M57" i="3"/>
  <c r="O57" i="3"/>
  <c r="Q57" i="3"/>
  <c r="S57" i="3"/>
  <c r="U57" i="3"/>
  <c r="W57" i="3"/>
  <c r="Y57" i="3"/>
  <c r="AA51" i="3"/>
  <c r="K54" i="3"/>
  <c r="M54" i="3"/>
  <c r="O54" i="3"/>
  <c r="S54" i="3"/>
  <c r="U54" i="3"/>
  <c r="W54" i="3"/>
  <c r="Y54" i="3"/>
  <c r="K58" i="3"/>
  <c r="M58" i="3"/>
  <c r="O58" i="3"/>
  <c r="Q58" i="3"/>
  <c r="S58" i="3"/>
  <c r="U58" i="3"/>
  <c r="W58" i="3"/>
  <c r="Y58" i="3"/>
  <c r="AA56" i="3"/>
  <c r="AA55" i="3"/>
  <c r="K48" i="3"/>
  <c r="M48" i="3"/>
  <c r="O48" i="3"/>
  <c r="Q48" i="3"/>
  <c r="S48" i="3"/>
  <c r="U48" i="3"/>
  <c r="W48" i="3"/>
  <c r="Y48" i="3"/>
  <c r="S79" i="3"/>
  <c r="U79" i="3"/>
  <c r="W79" i="3"/>
  <c r="Y79" i="3"/>
  <c r="M52" i="3"/>
  <c r="O52" i="3"/>
  <c r="S81" i="3"/>
  <c r="U81" i="3"/>
  <c r="W81" i="3"/>
  <c r="Y81" i="3"/>
  <c r="Y66" i="3"/>
  <c r="Y64" i="3"/>
  <c r="S82" i="3"/>
  <c r="U82" i="3"/>
  <c r="W82" i="3"/>
  <c r="Y82" i="3"/>
  <c r="M83" i="3"/>
  <c r="S83" i="3"/>
  <c r="W83" i="3"/>
  <c r="Y83" i="3"/>
  <c r="AA80" i="3"/>
  <c r="Y62" i="3"/>
  <c r="K53" i="3"/>
  <c r="O53" i="3"/>
  <c r="K50" i="3"/>
  <c r="M50" i="3"/>
  <c r="O50" i="3"/>
  <c r="S50" i="3"/>
  <c r="U50" i="3"/>
  <c r="W50" i="3"/>
  <c r="Y50" i="3"/>
  <c r="AB21" i="3"/>
  <c r="AB20" i="3"/>
  <c r="AB14" i="3"/>
  <c r="AB13" i="3"/>
  <c r="AA14" i="3"/>
  <c r="L121" i="3"/>
  <c r="D99" i="3"/>
  <c r="C99" i="3"/>
  <c r="C107" i="3"/>
  <c r="C113" i="3"/>
  <c r="C121" i="3"/>
  <c r="AA97" i="3"/>
  <c r="AB97" i="3"/>
  <c r="AA105" i="3"/>
  <c r="AB105" i="3"/>
  <c r="C84" i="3"/>
  <c r="C89" i="3"/>
  <c r="AA93" i="3"/>
  <c r="AB93" i="3"/>
  <c r="AA87" i="3"/>
  <c r="AB87" i="3"/>
  <c r="E147" i="7"/>
  <c r="E146" i="7"/>
  <c r="E145" i="7"/>
  <c r="E144" i="7"/>
  <c r="Q53" i="3"/>
  <c r="S53" i="3"/>
  <c r="Q52" i="3"/>
  <c r="S52" i="3"/>
  <c r="U52" i="3"/>
  <c r="W52" i="3"/>
  <c r="Y52" i="3"/>
  <c r="AA79" i="3"/>
  <c r="AA58" i="3"/>
  <c r="AA54" i="3"/>
  <c r="AA57" i="3"/>
  <c r="K49" i="3"/>
  <c r="M49" i="3"/>
  <c r="O49" i="3"/>
  <c r="S49" i="3"/>
  <c r="U49" i="3"/>
  <c r="W49" i="3"/>
  <c r="Y49" i="3"/>
  <c r="AA48" i="3"/>
  <c r="AA50" i="3"/>
  <c r="AA81" i="3"/>
  <c r="AA66" i="3"/>
  <c r="AA64" i="3"/>
  <c r="AA83" i="3"/>
  <c r="AA82" i="3"/>
  <c r="E64" i="7"/>
  <c r="E65" i="7"/>
  <c r="U53" i="3"/>
  <c r="W53" i="3"/>
  <c r="Y53" i="3"/>
  <c r="AA53" i="3"/>
  <c r="AA52" i="3"/>
  <c r="Y63" i="3"/>
  <c r="AA49" i="3"/>
  <c r="D171" i="7"/>
  <c r="E171" i="7"/>
  <c r="D173" i="7"/>
  <c r="E173" i="7"/>
  <c r="C173" i="7"/>
  <c r="C171" i="7"/>
  <c r="AA63" i="3"/>
  <c r="D121" i="3"/>
  <c r="AA123" i="3"/>
  <c r="AB123" i="3"/>
  <c r="AA124" i="3"/>
  <c r="AB124" i="3"/>
  <c r="AA125" i="3"/>
  <c r="AB125" i="3"/>
  <c r="AA118" i="3"/>
  <c r="AB118" i="3"/>
  <c r="D107" i="3"/>
  <c r="AA102" i="3"/>
  <c r="AB102" i="3"/>
  <c r="D95" i="3"/>
  <c r="C95" i="3"/>
  <c r="D89" i="3"/>
  <c r="D84" i="3"/>
  <c r="D78" i="3"/>
  <c r="C78" i="3"/>
  <c r="D59" i="3"/>
  <c r="C59" i="3"/>
  <c r="D47" i="3"/>
  <c r="AB56" i="3"/>
  <c r="C47" i="3"/>
  <c r="D42" i="3"/>
  <c r="C42" i="3"/>
  <c r="C38" i="3"/>
  <c r="D33" i="3"/>
  <c r="C33" i="3"/>
  <c r="D19" i="3"/>
  <c r="C19" i="3"/>
  <c r="AA36" i="3"/>
  <c r="AB36" i="3"/>
  <c r="E159" i="7"/>
  <c r="E158" i="7"/>
  <c r="E157" i="7"/>
  <c r="E156" i="7"/>
  <c r="E155" i="7"/>
  <c r="E154" i="7"/>
  <c r="E153" i="7"/>
  <c r="D150" i="7"/>
  <c r="C150" i="7"/>
  <c r="E149" i="7"/>
  <c r="E148" i="7"/>
  <c r="E142" i="7"/>
  <c r="E141" i="7"/>
  <c r="E140" i="7"/>
  <c r="E139" i="7"/>
  <c r="E137" i="7"/>
  <c r="E136" i="7"/>
  <c r="E135" i="7"/>
  <c r="E134" i="7"/>
  <c r="E133" i="7"/>
  <c r="E132" i="7"/>
  <c r="E131" i="7"/>
  <c r="E129" i="7"/>
  <c r="E128" i="7"/>
  <c r="E127" i="7"/>
  <c r="E126" i="7"/>
  <c r="E125" i="7"/>
  <c r="E124" i="7"/>
  <c r="E123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6" i="7"/>
  <c r="E105" i="7"/>
  <c r="E104" i="7"/>
  <c r="E103" i="7"/>
  <c r="E102" i="7"/>
  <c r="E101" i="7"/>
  <c r="E100" i="7"/>
  <c r="E99" i="7"/>
  <c r="E97" i="7"/>
  <c r="E96" i="7"/>
  <c r="E95" i="7"/>
  <c r="E94" i="7"/>
  <c r="E93" i="7"/>
  <c r="E92" i="7"/>
  <c r="E91" i="7"/>
  <c r="E89" i="7"/>
  <c r="E88" i="7"/>
  <c r="E87" i="7"/>
  <c r="E86" i="7"/>
  <c r="E85" i="7"/>
  <c r="E83" i="7"/>
  <c r="E82" i="7"/>
  <c r="E81" i="7"/>
  <c r="E80" i="7"/>
  <c r="E79" i="7"/>
  <c r="E78" i="7"/>
  <c r="E77" i="7"/>
  <c r="E76" i="7"/>
  <c r="E75" i="7"/>
  <c r="E74" i="7"/>
  <c r="E73" i="7"/>
  <c r="E71" i="7"/>
  <c r="E70" i="7"/>
  <c r="E69" i="7"/>
  <c r="E67" i="7"/>
  <c r="E66" i="7"/>
  <c r="E63" i="7"/>
  <c r="E62" i="7"/>
  <c r="E61" i="7"/>
  <c r="E60" i="7"/>
  <c r="E58" i="7"/>
  <c r="E57" i="7"/>
  <c r="E56" i="7"/>
  <c r="E55" i="7"/>
  <c r="E54" i="7"/>
  <c r="E53" i="7"/>
  <c r="E52" i="7"/>
  <c r="E51" i="7"/>
  <c r="E49" i="7"/>
  <c r="E48" i="7"/>
  <c r="E47" i="7"/>
  <c r="E46" i="7"/>
  <c r="E45" i="7"/>
  <c r="E44" i="7"/>
  <c r="E43" i="7"/>
  <c r="E41" i="7"/>
  <c r="E40" i="7"/>
  <c r="E39" i="7"/>
  <c r="E38" i="7"/>
  <c r="E37" i="7"/>
  <c r="E35" i="7"/>
  <c r="E34" i="7"/>
  <c r="E33" i="7"/>
  <c r="E32" i="7"/>
  <c r="E30" i="7"/>
  <c r="E29" i="7"/>
  <c r="E28" i="7"/>
  <c r="E27" i="7"/>
  <c r="E26" i="7"/>
  <c r="E25" i="7"/>
  <c r="E24" i="7"/>
  <c r="E23" i="7"/>
  <c r="E22" i="7"/>
  <c r="E21" i="7"/>
  <c r="E20" i="7"/>
  <c r="E19" i="7"/>
  <c r="E14" i="7"/>
  <c r="E13" i="7"/>
  <c r="E12" i="7"/>
  <c r="E11" i="7"/>
  <c r="E10" i="7"/>
  <c r="E9" i="7"/>
  <c r="E8" i="7"/>
  <c r="AB106" i="3"/>
  <c r="AA106" i="3"/>
  <c r="AB104" i="3"/>
  <c r="AA104" i="3"/>
  <c r="AB103" i="3"/>
  <c r="AA103" i="3"/>
  <c r="AB101" i="3"/>
  <c r="AA101" i="3"/>
  <c r="AB100" i="3"/>
  <c r="AA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C128" i="3"/>
  <c r="E130" i="7"/>
  <c r="E42" i="7"/>
  <c r="E90" i="7"/>
  <c r="E72" i="7"/>
  <c r="E68" i="7"/>
  <c r="E122" i="7"/>
  <c r="E18" i="7"/>
  <c r="E31" i="7"/>
  <c r="E36" i="7"/>
  <c r="E50" i="7"/>
  <c r="E84" i="7"/>
  <c r="E98" i="7"/>
  <c r="E107" i="7"/>
  <c r="E138" i="7"/>
  <c r="E59" i="7"/>
  <c r="E143" i="7"/>
  <c r="D164" i="7"/>
  <c r="D167" i="7"/>
  <c r="C164" i="7"/>
  <c r="C167" i="7"/>
  <c r="E15" i="7"/>
  <c r="E163" i="7"/>
  <c r="AA99" i="3"/>
  <c r="E150" i="7"/>
  <c r="AB99" i="3"/>
  <c r="E167" i="7"/>
  <c r="E164" i="7"/>
  <c r="E165" i="7"/>
  <c r="E121" i="3"/>
  <c r="F121" i="3"/>
  <c r="G121" i="3"/>
  <c r="H121" i="3"/>
  <c r="I121" i="3"/>
  <c r="J121" i="3"/>
  <c r="K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D113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T128" i="3" s="1"/>
  <c r="T130" i="3" s="1"/>
  <c r="U78" i="3"/>
  <c r="V78" i="3"/>
  <c r="W78" i="3"/>
  <c r="X78" i="3"/>
  <c r="Y78" i="3"/>
  <c r="Z78" i="3"/>
  <c r="E59" i="3"/>
  <c r="E128" i="3" s="1"/>
  <c r="F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W59" i="3"/>
  <c r="X59" i="3"/>
  <c r="Y59" i="3"/>
  <c r="Z59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E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F19" i="3"/>
  <c r="H19" i="3"/>
  <c r="J19" i="3"/>
  <c r="L19" i="3"/>
  <c r="N19" i="3"/>
  <c r="P19" i="3"/>
  <c r="R19" i="3"/>
  <c r="T19" i="3"/>
  <c r="V19" i="3"/>
  <c r="X19" i="3"/>
  <c r="Z19" i="3"/>
  <c r="R128" i="3"/>
  <c r="F15" i="3"/>
  <c r="H15" i="3"/>
  <c r="I15" i="3"/>
  <c r="I130" i="3" s="1"/>
  <c r="J15" i="3"/>
  <c r="L15" i="3"/>
  <c r="N15" i="3"/>
  <c r="R15" i="3"/>
  <c r="S15" i="3"/>
  <c r="T15" i="3"/>
  <c r="W15" i="3"/>
  <c r="W130" i="3" s="1"/>
  <c r="Y15" i="3"/>
  <c r="Y130" i="3" s="1"/>
  <c r="AB127" i="3"/>
  <c r="AB121" i="3" s="1"/>
  <c r="AA127" i="3"/>
  <c r="AB126" i="3"/>
  <c r="AA126" i="3"/>
  <c r="AB122" i="3"/>
  <c r="AA122" i="3"/>
  <c r="AA115" i="3"/>
  <c r="AB115" i="3"/>
  <c r="AA116" i="3"/>
  <c r="AB116" i="3"/>
  <c r="AA117" i="3"/>
  <c r="AB117" i="3"/>
  <c r="AA119" i="3"/>
  <c r="AB119" i="3"/>
  <c r="AA120" i="3"/>
  <c r="AB120" i="3"/>
  <c r="AB114" i="3"/>
  <c r="AA114" i="3"/>
  <c r="AB112" i="3"/>
  <c r="AA112" i="3"/>
  <c r="AB111" i="3"/>
  <c r="AA111" i="3"/>
  <c r="AB110" i="3"/>
  <c r="AA110" i="3"/>
  <c r="AB109" i="3"/>
  <c r="AA109" i="3"/>
  <c r="AB108" i="3"/>
  <c r="AA108" i="3"/>
  <c r="AA96" i="3"/>
  <c r="AA98" i="3"/>
  <c r="AB98" i="3"/>
  <c r="AB96" i="3"/>
  <c r="AA91" i="3"/>
  <c r="AB91" i="3"/>
  <c r="AA92" i="3"/>
  <c r="AB92" i="3"/>
  <c r="AA94" i="3"/>
  <c r="AB94" i="3"/>
  <c r="AB90" i="3"/>
  <c r="AA90" i="3"/>
  <c r="AA86" i="3"/>
  <c r="AB86" i="3"/>
  <c r="AA88" i="3"/>
  <c r="AB88" i="3"/>
  <c r="AB85" i="3"/>
  <c r="AA85" i="3"/>
  <c r="AB80" i="3"/>
  <c r="AB82" i="3"/>
  <c r="AB83" i="3"/>
  <c r="AB79" i="3"/>
  <c r="AA61" i="3"/>
  <c r="AB61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B60" i="3"/>
  <c r="AA60" i="3"/>
  <c r="AB58" i="3"/>
  <c r="AB57" i="3"/>
  <c r="AB55" i="3"/>
  <c r="AB54" i="3"/>
  <c r="AB53" i="3"/>
  <c r="AB52" i="3"/>
  <c r="AB51" i="3"/>
  <c r="AB50" i="3"/>
  <c r="AB49" i="3"/>
  <c r="AB48" i="3"/>
  <c r="AB46" i="3"/>
  <c r="AA46" i="3"/>
  <c r="AB45" i="3"/>
  <c r="AA45" i="3"/>
  <c r="AB44" i="3"/>
  <c r="AA44" i="3"/>
  <c r="AB43" i="3"/>
  <c r="AA43" i="3"/>
  <c r="AA40" i="3"/>
  <c r="AA41" i="3"/>
  <c r="AB41" i="3"/>
  <c r="AA39" i="3"/>
  <c r="AA35" i="3"/>
  <c r="AB35" i="3"/>
  <c r="AA37" i="3"/>
  <c r="AB37" i="3"/>
  <c r="AA34" i="3"/>
  <c r="AB32" i="3"/>
  <c r="AB22" i="3"/>
  <c r="AB23" i="3"/>
  <c r="AB24" i="3"/>
  <c r="AB25" i="3"/>
  <c r="AB26" i="3"/>
  <c r="AB28" i="3"/>
  <c r="AB29" i="3"/>
  <c r="AB30" i="3"/>
  <c r="AB31" i="3"/>
  <c r="D15" i="7"/>
  <c r="D163" i="7"/>
  <c r="C15" i="7"/>
  <c r="C163" i="7"/>
  <c r="AB42" i="3"/>
  <c r="AB89" i="3"/>
  <c r="AA95" i="3"/>
  <c r="AA42" i="3"/>
  <c r="AA113" i="3"/>
  <c r="AB95" i="3"/>
  <c r="AA38" i="3"/>
  <c r="AA78" i="3"/>
  <c r="AB113" i="3"/>
  <c r="AA89" i="3"/>
  <c r="AA107" i="3"/>
  <c r="AA121" i="3"/>
  <c r="AA47" i="3"/>
  <c r="AB84" i="3"/>
  <c r="AA84" i="3"/>
  <c r="AB107" i="3"/>
  <c r="AA33" i="3"/>
  <c r="C165" i="7"/>
  <c r="D160" i="7"/>
  <c r="C160" i="7"/>
  <c r="E160" i="7"/>
  <c r="D165" i="7"/>
  <c r="E19" i="3"/>
  <c r="M32" i="3"/>
  <c r="Q32" i="3"/>
  <c r="Y32" i="3"/>
  <c r="G19" i="3"/>
  <c r="AA21" i="3"/>
  <c r="AA31" i="3"/>
  <c r="AA26" i="3"/>
  <c r="AA24" i="3"/>
  <c r="AA25" i="3"/>
  <c r="AA32" i="3"/>
  <c r="AA30" i="3"/>
  <c r="AA29" i="3"/>
  <c r="AA23" i="3"/>
  <c r="AA22" i="3"/>
  <c r="AA27" i="3"/>
  <c r="AA28" i="3"/>
  <c r="I19" i="3"/>
  <c r="I128" i="3"/>
  <c r="K19" i="3"/>
  <c r="K128" i="3"/>
  <c r="M19" i="3"/>
  <c r="M128" i="3"/>
  <c r="O19" i="3"/>
  <c r="O128" i="3"/>
  <c r="Q19" i="3"/>
  <c r="Q128" i="3"/>
  <c r="S19" i="3"/>
  <c r="S128" i="3"/>
  <c r="S130" i="3"/>
  <c r="U19" i="3"/>
  <c r="U128" i="3"/>
  <c r="AA20" i="3"/>
  <c r="AA19" i="3"/>
  <c r="W19" i="3"/>
  <c r="W128" i="3"/>
  <c r="Y19" i="3"/>
  <c r="Y128" i="3"/>
  <c r="P128" i="3" l="1"/>
  <c r="P130" i="3" s="1"/>
  <c r="N128" i="3"/>
  <c r="N130" i="3" s="1"/>
  <c r="L128" i="3"/>
  <c r="L130" i="3" s="1"/>
  <c r="J128" i="3"/>
  <c r="J130" i="3" s="1"/>
  <c r="AB47" i="3"/>
  <c r="AB33" i="3"/>
  <c r="H128" i="3"/>
  <c r="H130" i="3" s="1"/>
  <c r="V128" i="3"/>
  <c r="R130" i="3"/>
  <c r="F128" i="3"/>
  <c r="F130" i="3" s="1"/>
  <c r="G59" i="3"/>
  <c r="G128" i="3" s="1"/>
  <c r="G130" i="3" s="1"/>
  <c r="AA59" i="3"/>
  <c r="AA128" i="3" s="1"/>
  <c r="E130" i="3"/>
  <c r="D15" i="3"/>
  <c r="D6" i="3"/>
  <c r="AB39" i="3"/>
  <c r="AB38" i="3" s="1"/>
  <c r="D128" i="3"/>
  <c r="AA11" i="3"/>
  <c r="AA10" i="3"/>
  <c r="AA9" i="3"/>
  <c r="Z15" i="3"/>
  <c r="Z38" i="3"/>
  <c r="Z128" i="3" s="1"/>
  <c r="AB12" i="3"/>
  <c r="Z6" i="3"/>
  <c r="AB19" i="3"/>
  <c r="X128" i="3"/>
  <c r="X15" i="3"/>
  <c r="AB11" i="3"/>
  <c r="AB65" i="3"/>
  <c r="AB59" i="3" s="1"/>
  <c r="AB9" i="3"/>
  <c r="V6" i="3"/>
  <c r="V15" i="3"/>
  <c r="AB10" i="3"/>
  <c r="V130" i="3" l="1"/>
  <c r="D130" i="3"/>
  <c r="AA15" i="3"/>
  <c r="AA130" i="3" s="1"/>
  <c r="Z130" i="3"/>
  <c r="AB128" i="3"/>
  <c r="X130" i="3"/>
  <c r="AB15" i="3"/>
  <c r="AB1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rodriguez garzon</author>
  </authors>
  <commentList>
    <comment ref="K64" authorId="0" shapeId="0" xr:uid="{C5DE00CF-8DE7-476D-80EB-139C714C4AFF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MIGUEL ROA, YEIMI, LDO BUSTOS
</t>
        </r>
      </text>
    </comment>
    <comment ref="M64" authorId="0" shapeId="0" xr:uid="{81BFA258-42AD-465B-88E9-D0A5AD6FFE3E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YEIMI
</t>
        </r>
      </text>
    </comment>
    <comment ref="U64" authorId="0" shapeId="0" xr:uid="{2B8704D7-325F-4032-8291-1402C8C40D71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camilo hernnadez</t>
        </r>
      </text>
    </comment>
    <comment ref="I65" authorId="0" shapeId="0" xr:uid="{BC9AAD6B-A13D-4C2C-A1B7-15C4D2294BF5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1,000 VALLE DEL REFOUS</t>
        </r>
      </text>
    </comment>
    <comment ref="U65" authorId="0" shapeId="0" xr:uid="{C7F65A98-FD61-495E-8F94-42A4387799F9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226 yeimi
245 alexan</t>
        </r>
      </text>
    </comment>
    <comment ref="C66" authorId="0" shapeId="0" xr:uid="{AAC089A7-1C51-4553-B461-A9FDC912D468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miguel roa</t>
        </r>
      </text>
    </comment>
    <comment ref="I66" authorId="0" shapeId="0" xr:uid="{F8A82695-55B6-4C66-8221-D359E35BE3E7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114 sandra acero
179 yeimi
335 miguel roa</t>
        </r>
      </text>
    </comment>
    <comment ref="K66" authorId="0" shapeId="0" xr:uid="{D4D89EB7-4266-4EA9-B3C6-7BA628475CAC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YEIMI LUIS BUSTOS
VALLE DEL REFOUS
</t>
        </r>
      </text>
    </comment>
    <comment ref="M66" authorId="0" shapeId="0" xr:uid="{6143A670-CFCB-4B91-8A1E-6963191BCC53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valle del refous
</t>
        </r>
      </text>
    </comment>
    <comment ref="Q66" authorId="0" shapeId="0" xr:uid="{ECD3CA08-9B34-4723-BC78-A6E13DED056B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35,300 sandra acero
122,000 alexander hernandez
</t>
        </r>
      </text>
    </comment>
    <comment ref="S66" authorId="0" shapeId="0" xr:uid="{91E48FA4-DA76-4240-A52C-18EEADD37589}">
      <text>
        <r>
          <rPr>
            <b/>
            <sz val="9"/>
            <color indexed="81"/>
            <rFont val="Tahoma"/>
            <family val="2"/>
          </rPr>
          <t>juan camilo rodriguez garzon:</t>
        </r>
        <r>
          <rPr>
            <sz val="9"/>
            <color indexed="81"/>
            <rFont val="Tahoma"/>
            <family val="2"/>
          </rPr>
          <t xml:space="preserve">
159 laura</t>
        </r>
      </text>
    </comment>
  </commentList>
</comments>
</file>

<file path=xl/sharedStrings.xml><?xml version="1.0" encoding="utf-8"?>
<sst xmlns="http://schemas.openxmlformats.org/spreadsheetml/2006/main" count="372" uniqueCount="257">
  <si>
    <t>SALUD</t>
  </si>
  <si>
    <t>TRANSPORTE</t>
  </si>
  <si>
    <t>Transporte</t>
  </si>
  <si>
    <t>TOTAL</t>
  </si>
  <si>
    <t xml:space="preserve">ENERO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</si>
  <si>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</si>
  <si>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</si>
  <si>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</si>
  <si>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</si>
  <si>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</si>
  <si>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</si>
  <si>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</si>
  <si>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</si>
  <si>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</si>
  <si>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</si>
  <si>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</si>
  <si>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TOTAL INGRESOS</t>
  </si>
  <si>
    <t>LOCACIÓN - OFICINA</t>
  </si>
  <si>
    <t>Gas</t>
  </si>
  <si>
    <t>Televisión</t>
  </si>
  <si>
    <t>Internet</t>
  </si>
  <si>
    <t>Otros gastos locación</t>
  </si>
  <si>
    <t>SERVICIOS DE COMUNICACIÓN</t>
  </si>
  <si>
    <t>Otros</t>
  </si>
  <si>
    <t>ALIMENTACIÓN</t>
  </si>
  <si>
    <t>Cafetería</t>
  </si>
  <si>
    <t>Restaurantes</t>
  </si>
  <si>
    <t>Otros gastos alimentación</t>
  </si>
  <si>
    <t>CAPACITACIÓN</t>
  </si>
  <si>
    <t>Libros y materiales de estudio</t>
  </si>
  <si>
    <t>Pasajes aéreos</t>
  </si>
  <si>
    <t>Peajes</t>
  </si>
  <si>
    <t>Gasolina</t>
  </si>
  <si>
    <t>Lavada vehículo</t>
  </si>
  <si>
    <t>Multas</t>
  </si>
  <si>
    <t>Otros gastos de transporte</t>
  </si>
  <si>
    <t>Servicios de Vigilancia</t>
  </si>
  <si>
    <t>SEGUROS</t>
  </si>
  <si>
    <t>Seguro Propiedad</t>
  </si>
  <si>
    <t>Otros seguros</t>
  </si>
  <si>
    <t>Clubes Sociales</t>
  </si>
  <si>
    <t>Eventos y Ferias</t>
  </si>
  <si>
    <t>PAPELERÍA Y MATERIAL POP</t>
  </si>
  <si>
    <t>Implementos y suministros de oficina</t>
  </si>
  <si>
    <t>Publicidad y Promoción</t>
  </si>
  <si>
    <t>Actividades de Mercadeo</t>
  </si>
  <si>
    <t>FINANCIEROS</t>
  </si>
  <si>
    <t>Cuota crédito de vehículo</t>
  </si>
  <si>
    <t>Cuota crédito de educativo</t>
  </si>
  <si>
    <t>Otros gastos financieros</t>
  </si>
  <si>
    <t>IMPUESTOS</t>
  </si>
  <si>
    <t>Otros Impuestos</t>
  </si>
  <si>
    <t>Regalos a familiares, amigos y compañeros</t>
  </si>
  <si>
    <t>Celebraciones</t>
  </si>
  <si>
    <t>TOTAL GASTOS</t>
  </si>
  <si>
    <t>Gastos Bancarios</t>
  </si>
  <si>
    <t>TOTAL DISPONIBLE</t>
  </si>
  <si>
    <t>VIVIENDA</t>
  </si>
  <si>
    <t>Mercado</t>
  </si>
  <si>
    <t>Matrícula</t>
  </si>
  <si>
    <t>Peluquería</t>
  </si>
  <si>
    <t>Lavandería, zapatería, modistería</t>
  </si>
  <si>
    <t>Citas médicas que no cubre el seguro</t>
  </si>
  <si>
    <t>Otros gastos salud</t>
  </si>
  <si>
    <t>Seguro del Hogar</t>
  </si>
  <si>
    <t>Seguro Educativo</t>
  </si>
  <si>
    <t>Bares y Discotecas</t>
  </si>
  <si>
    <t>Prácticas deportivas</t>
  </si>
  <si>
    <t>Mensualidad Gimnasio</t>
  </si>
  <si>
    <t>MASCOTAS</t>
  </si>
  <si>
    <t>Juguetes y otros elementos</t>
  </si>
  <si>
    <t>Cuota crédito de vivienda</t>
  </si>
  <si>
    <t>Salario Empleados</t>
  </si>
  <si>
    <t>Prestaciones Sociales y Aportes Empleados</t>
  </si>
  <si>
    <t>Honorarios Contador</t>
  </si>
  <si>
    <t>Servicios Community Manager</t>
  </si>
  <si>
    <t>Regalos e invitaciones a Clientes</t>
  </si>
  <si>
    <t>Papelería</t>
  </si>
  <si>
    <t>Industria y Comercio</t>
  </si>
  <si>
    <t>Predial de la Oficina</t>
  </si>
  <si>
    <t>IVA</t>
  </si>
  <si>
    <t>INGRESOS FAMILIARES</t>
  </si>
  <si>
    <t>PAREJA</t>
  </si>
  <si>
    <t>Otros pagos laborales</t>
  </si>
  <si>
    <t>Honorarios</t>
  </si>
  <si>
    <t>Subsidios</t>
  </si>
  <si>
    <t>Dividendos de acciones</t>
  </si>
  <si>
    <t>Otros ingresos</t>
  </si>
  <si>
    <t>TOTAL INGRESOS:</t>
  </si>
  <si>
    <t>GASTOS FAMILIARES</t>
  </si>
  <si>
    <t>Otros gastos vivienda</t>
  </si>
  <si>
    <t>Mensualidad Educación</t>
  </si>
  <si>
    <t>EDUCACIÓN HIJOS</t>
  </si>
  <si>
    <t>Cuota pensión</t>
  </si>
  <si>
    <t xml:space="preserve">Uniformes </t>
  </si>
  <si>
    <t>Libros y útiles escolares</t>
  </si>
  <si>
    <t>Otros gastos educación</t>
  </si>
  <si>
    <t>CUIDADO PERSONAL DE LOS HIJOS</t>
  </si>
  <si>
    <t xml:space="preserve">Otros créditos </t>
  </si>
  <si>
    <t>Vehículos</t>
  </si>
  <si>
    <t xml:space="preserve">AHORROS </t>
  </si>
  <si>
    <t>TOTAL AHORRO</t>
  </si>
  <si>
    <t>Cuenta de ahorros</t>
  </si>
  <si>
    <t>Aportes voluntarios a pensiones</t>
  </si>
  <si>
    <t>Carteras colectivas</t>
  </si>
  <si>
    <t>Alcancía/ Fondo familiar</t>
  </si>
  <si>
    <t>Otros ahorros</t>
  </si>
  <si>
    <t>TOTAL AHORROS</t>
  </si>
  <si>
    <t>BALANCE FINANCIERO CONSOLIDADO</t>
  </si>
  <si>
    <t>Hasta ahora ha ahorrado</t>
  </si>
  <si>
    <t>Para alcanzar la meta falta ahorrar</t>
  </si>
  <si>
    <t>ALCANZARÁ LA META EN (Meses)</t>
  </si>
  <si>
    <t>ASESOR(A)</t>
  </si>
  <si>
    <t>Cuota otros créditos - empresa</t>
  </si>
  <si>
    <t>Cuota crédito de vehículo/moto de la empresa</t>
  </si>
  <si>
    <t xml:space="preserve">Póliza de Salud </t>
  </si>
  <si>
    <t>Tiene faltante o disponible de:</t>
  </si>
  <si>
    <t>CUIDADO PERSONAL ADULTOS (ASESOR(A)+PAREJA)</t>
  </si>
  <si>
    <t>SOAT</t>
  </si>
  <si>
    <t>Seguro de Vehículo</t>
  </si>
  <si>
    <t>Guardería</t>
  </si>
  <si>
    <t>Alimento y Snacks</t>
  </si>
  <si>
    <t>Asistencia a celebraciones no programadas (vestidos, peluquería, regalos)</t>
  </si>
  <si>
    <t>IMPREVISTOS</t>
  </si>
  <si>
    <t>Otros gastos imprevistos</t>
  </si>
  <si>
    <t>Títulos de ahorro / capitalización/ CDT / fiducias</t>
  </si>
  <si>
    <t>Inversiones</t>
  </si>
  <si>
    <t>Ahorro mínimo ideal (6 meses) - provisión para seguridad</t>
  </si>
  <si>
    <t>Objetivo de ahorro (viajes, compra de vehículo, casa, etc)</t>
  </si>
  <si>
    <t>EGRESOS</t>
  </si>
  <si>
    <t>Bonos y premios</t>
  </si>
  <si>
    <t>FEBRERO</t>
  </si>
  <si>
    <t>REAL</t>
  </si>
  <si>
    <t>Charlas, conferencias, cursos y clases</t>
  </si>
  <si>
    <t>Servicios de Mensajería y Envíos</t>
  </si>
  <si>
    <t>Servicios de Asesoría Legal</t>
  </si>
  <si>
    <t>Servicios Técnicos de equipos y tecnología</t>
  </si>
  <si>
    <t>Salario Asesor/Gerente</t>
  </si>
  <si>
    <t>Prestaciones Sociales y Aportes Asesor/Gerente</t>
  </si>
  <si>
    <t>Servicios Profesionales de Publicistas</t>
  </si>
  <si>
    <t>Otros Servicios</t>
  </si>
  <si>
    <t>RELACIONAMIENTO COMERCIAL</t>
  </si>
  <si>
    <t>Retención en la Fuente / Renta</t>
  </si>
  <si>
    <t>Vehículos de la empresa</t>
  </si>
  <si>
    <t>ACTIVIDADES EMPLEADOS</t>
  </si>
  <si>
    <t>Actividades Mensuales</t>
  </si>
  <si>
    <t>PPTO</t>
  </si>
  <si>
    <t>Acueducto y Alcantarillado</t>
  </si>
  <si>
    <t>Energía</t>
  </si>
  <si>
    <t>TOTAL EGRESOS</t>
  </si>
  <si>
    <t>Cancelaciones</t>
  </si>
  <si>
    <t>Arriendo</t>
  </si>
  <si>
    <t>Salario Neto (después de descuentos de seguridad social si es dependiente)</t>
  </si>
  <si>
    <t>Administración</t>
  </si>
  <si>
    <t xml:space="preserve">Energía y Gas </t>
  </si>
  <si>
    <t>Alumbrado público</t>
  </si>
  <si>
    <t>Telefonía Fija</t>
  </si>
  <si>
    <t>Productos de aseo hogar</t>
  </si>
  <si>
    <t>Artículos aseo e higiene personal</t>
  </si>
  <si>
    <t>Zapatos y Bolsos</t>
  </si>
  <si>
    <t>Accesorios y Joyería</t>
  </si>
  <si>
    <t>Peluquería y Salón de belleza</t>
  </si>
  <si>
    <t>Cremas dermatológicas, Maquillaje, Perfumes/Lociones</t>
  </si>
  <si>
    <t>Plan minutos y datos celular</t>
  </si>
  <si>
    <t>Taxis/Uber</t>
  </si>
  <si>
    <t>Parqueaderos</t>
  </si>
  <si>
    <t>Revisión Taller</t>
  </si>
  <si>
    <t>Mantenimiento vehículo (aceite, llantas, frenos, batería)</t>
  </si>
  <si>
    <t>Medicamentos para enfermedad</t>
  </si>
  <si>
    <t>Botiquín</t>
  </si>
  <si>
    <t>Copagos Citas médicas seguro</t>
  </si>
  <si>
    <t>DIVERSIÓN/RELACIONES SOCIALES/CELEBRACIONES</t>
  </si>
  <si>
    <t>Suscripciones o compra de Revistas y periódicos Hogar</t>
  </si>
  <si>
    <t>Cine, Teatro, Conciertos, Eventos culturales, Ferias, etc</t>
  </si>
  <si>
    <t>Eventos deportivos</t>
  </si>
  <si>
    <t>Clubes deportivos y/o sociales</t>
  </si>
  <si>
    <t>Juegos de azar: lotería y apuestas</t>
  </si>
  <si>
    <t xml:space="preserve">Diezmos, Beneficencia, caridad y donaciones </t>
  </si>
  <si>
    <t>Celebraciones cumpleaños y aniversarios</t>
  </si>
  <si>
    <t>Reuniones familiares</t>
  </si>
  <si>
    <t>Paseos fin de semana</t>
  </si>
  <si>
    <t>HOBBIES Y DEPORTES</t>
  </si>
  <si>
    <t>Clases de Arte</t>
  </si>
  <si>
    <t>Clases de Música</t>
  </si>
  <si>
    <t>Literatura</t>
  </si>
  <si>
    <t>Clases de Idiomas</t>
  </si>
  <si>
    <t>Clases de Deportes</t>
  </si>
  <si>
    <t>Otros gastos de Diversión</t>
  </si>
  <si>
    <t>Citas Veterinario, Vacunas y Medicamentos</t>
  </si>
  <si>
    <t>otros gastos de Mascotas</t>
  </si>
  <si>
    <t>Seguro de Vida / Accidentes Personales</t>
  </si>
  <si>
    <t>Tarjetas de crédito (sólo gastos financieros y cuotas de manejo)</t>
  </si>
  <si>
    <t>Predial / Inmueble</t>
  </si>
  <si>
    <t>Daños y Reparaciones hogar</t>
  </si>
  <si>
    <t>Electrodomésticos, Mobiliario y Decoración hogar</t>
  </si>
  <si>
    <t>Daños y Reparaciones oficina</t>
  </si>
  <si>
    <t>Electrodomésticos, Mobiliario y Decoración oficina</t>
  </si>
  <si>
    <t>Equipos y Tecnología</t>
  </si>
  <si>
    <t>Daños y Reparaciones vehículo</t>
  </si>
  <si>
    <t>Productos de aseo oficina</t>
  </si>
  <si>
    <t>Plan de minutos y datos de Celular</t>
  </si>
  <si>
    <t>Hosting y dominio pag web + correos</t>
  </si>
  <si>
    <t>Suscripciones/compra de Revistas y Periódicos Oficina</t>
  </si>
  <si>
    <t>FONDOS Y PROVISIONES</t>
  </si>
  <si>
    <t>Reparaciones y mantenimiento oficina</t>
  </si>
  <si>
    <t>Provisión compra electrodomésticos y mobiliario oficina</t>
  </si>
  <si>
    <t>Remodelaciones y Adecuaciones oficina</t>
  </si>
  <si>
    <t>Reparaciones y repuestos vehículo</t>
  </si>
  <si>
    <t>Cámara de Comercio</t>
  </si>
  <si>
    <t>Suscripciones Música: YouTube, Spotify, Deezer, etc</t>
  </si>
  <si>
    <t>Ahorro mensual</t>
  </si>
  <si>
    <t>Ropa Interior/Exterior/Deportiva</t>
  </si>
  <si>
    <t>Otros gastos de cuidado personal adultos</t>
  </si>
  <si>
    <t>Otros gastos de cuidado personal hijos</t>
  </si>
  <si>
    <t>Internet portátil</t>
  </si>
  <si>
    <t>EEVV (Basuras)</t>
  </si>
  <si>
    <t>Servicio de aseo y jardinería hogar</t>
  </si>
  <si>
    <t>Mesada para alimentación / lonchera de los hijos</t>
  </si>
  <si>
    <t>Restaurantes, cafeterías, panaderías, tiendas, helados, etc.</t>
  </si>
  <si>
    <t>ESTUDIO ADULTOS (ASESOR(A)+PAREJA)</t>
  </si>
  <si>
    <t>Matrículas</t>
  </si>
  <si>
    <t>Seminarios, Conferencias, Cursos y Clases</t>
  </si>
  <si>
    <t>Pago de cursos y clases extracurriculares</t>
  </si>
  <si>
    <t>Transporte municipal e intermunicipal</t>
  </si>
  <si>
    <t>Otros hobbies y deportes</t>
  </si>
  <si>
    <t>Filtros fuentes de agua y otros (arena, material de limpieza, etc)</t>
  </si>
  <si>
    <t>Gastos bancarios cuentas de ahorros y corrientes (cuotas, impuestos, etc.)</t>
  </si>
  <si>
    <t>Retención en la Fuente / Declaración de Renta</t>
  </si>
  <si>
    <t>Celebraciones no programadas (cumpleaños, reuniones, matrimonios, etc)</t>
  </si>
  <si>
    <t>Servicio de aseo y jardinería oficina</t>
  </si>
  <si>
    <t>Servicios de Consultoría / Asesores Junta Asesora o Directiva</t>
  </si>
  <si>
    <t>NOMINA y SERVICIOS PROFESIONALES</t>
  </si>
  <si>
    <t>Otros gastos de relacionamiento comercial</t>
  </si>
  <si>
    <t>Otros gastos de capacitación</t>
  </si>
  <si>
    <t>Otros gastos de papelería y material pop</t>
  </si>
  <si>
    <t>Otros fondos y provisiones</t>
  </si>
  <si>
    <t>Otros imprevistos</t>
  </si>
  <si>
    <t>Otros gastos de actividades con empleados</t>
  </si>
  <si>
    <t>Provisión nómina (primas, cesantías, vacaciones, liquidaciones)</t>
  </si>
  <si>
    <t>Provisión compra equipos y tecnología oficina</t>
  </si>
  <si>
    <t>Celebraciones no programadas</t>
  </si>
  <si>
    <t>Suscripciones Series y Cine: Netflix, YouTube, Amazon, etc</t>
  </si>
  <si>
    <t>Renta Apto</t>
  </si>
  <si>
    <t>Ingresos Mapfre</t>
  </si>
  <si>
    <t>Ingresos Seguros del Estado</t>
  </si>
  <si>
    <t>Medios digitales</t>
  </si>
  <si>
    <t>Cuota crédito Soctiabank</t>
  </si>
  <si>
    <t>Comisiones Camilo Hernandez</t>
  </si>
  <si>
    <t>Otras comisiones</t>
  </si>
  <si>
    <t xml:space="preserve">Póliza Educativo Juan Jose </t>
  </si>
  <si>
    <t xml:space="preserve">Triple Play </t>
  </si>
  <si>
    <t>Ingresos SURA</t>
  </si>
  <si>
    <t>Pauta Publicidad Facebook</t>
  </si>
  <si>
    <t>TC Vehiculo comisiones</t>
  </si>
  <si>
    <t>Nelcy otanche</t>
  </si>
  <si>
    <t>alexander hernandez</t>
  </si>
  <si>
    <t>Bolivar /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</si>
</sst>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-&quot;$&quot;* #,##0_-;\-&quot;$&quot;* #,##0_-;_-&quot;$&quot;* &quot;-&quot;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7F7F7F"/>
      <name val="Helvetica67-CondensedMedium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5" fillId="0" borderId="0" xfId="0" applyFont="1"/>
    <xf numFmtId="0" fontId="5" fillId="0" borderId="0" xfId="0" applyFont="1" applyAlignment="1">
      <alignment horizontal="justify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5" fontId="4" fillId="0" borderId="1" xfId="1" applyFont="1" applyBorder="1" applyAlignment="1">
      <alignment horizontal="left" vertical="center"/>
    </xf>
    <xf numFmtId="165" fontId="6" fillId="3" borderId="1" xfId="0" applyNumberFormat="1" applyFont="1" applyFill="1" applyBorder="1" applyAlignment="1">
      <alignment horizontal="left" vertical="center"/>
    </xf>
    <xf numFmtId="165" fontId="7" fillId="3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3" fillId="0" borderId="1" xfId="1" applyFont="1" applyBorder="1" applyAlignment="1">
      <alignment horizontal="left" vertical="center" wrapText="1"/>
    </xf>
    <xf numFmtId="165" fontId="3" fillId="0" borderId="1" xfId="1" applyFont="1" applyBorder="1" applyAlignment="1">
      <alignment horizontal="left" vertical="center"/>
    </xf>
    <xf numFmtId="165" fontId="3" fillId="0" borderId="1" xfId="1" applyFont="1" applyBorder="1"/>
    <xf numFmtId="165" fontId="5" fillId="0" borderId="1" xfId="1" applyFont="1" applyBorder="1"/>
    <xf numFmtId="165" fontId="8" fillId="0" borderId="1" xfId="1" applyFont="1" applyBorder="1" applyAlignment="1">
      <alignment horizontal="left" vertical="center" wrapText="1"/>
    </xf>
    <xf numFmtId="165" fontId="8" fillId="0" borderId="1" xfId="1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5" fontId="5" fillId="0" borderId="1" xfId="0" applyNumberFormat="1" applyFont="1" applyBorder="1"/>
    <xf numFmtId="0" fontId="4" fillId="0" borderId="0" xfId="0" applyFont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justify" vertical="center" wrapText="1"/>
    </xf>
    <xf numFmtId="165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3"/>
    </xf>
    <xf numFmtId="41" fontId="4" fillId="0" borderId="1" xfId="3" applyFont="1" applyBorder="1" applyAlignment="1">
      <alignment horizontal="left" vertical="center" wrapText="1"/>
    </xf>
    <xf numFmtId="0" fontId="3" fillId="0" borderId="0" xfId="0" applyFont="1"/>
    <xf numFmtId="10" fontId="5" fillId="0" borderId="1" xfId="0" applyNumberFormat="1" applyFont="1" applyBorder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/>
    <xf numFmtId="0" fontId="5" fillId="0" borderId="1" xfId="0" applyFont="1" applyBorder="1" applyAlignment="1">
      <alignment horizontal="left" indent="2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indent="3"/>
    </xf>
    <xf numFmtId="165" fontId="7" fillId="8" borderId="1" xfId="1" applyFont="1" applyFill="1" applyBorder="1" applyAlignment="1">
      <alignment horizontal="left" vertical="center" wrapText="1"/>
    </xf>
    <xf numFmtId="165" fontId="7" fillId="8" borderId="1" xfId="1" applyFont="1" applyFill="1" applyBorder="1"/>
    <xf numFmtId="0" fontId="7" fillId="9" borderId="1" xfId="0" applyFont="1" applyFill="1" applyBorder="1" applyAlignment="1">
      <alignment horizontal="justify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165" fontId="9" fillId="9" borderId="1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165" fontId="4" fillId="11" borderId="1" xfId="1" applyFont="1" applyFill="1" applyBorder="1" applyAlignment="1">
      <alignment horizontal="left" vertical="center"/>
    </xf>
    <xf numFmtId="165" fontId="4" fillId="11" borderId="1" xfId="1" applyFont="1" applyFill="1" applyBorder="1" applyAlignment="1">
      <alignment horizontal="left" vertical="center" wrapText="1"/>
    </xf>
    <xf numFmtId="165" fontId="5" fillId="11" borderId="1" xfId="1" applyFont="1" applyFill="1" applyBorder="1" applyAlignment="1">
      <alignment horizontal="left" vertical="center" wrapText="1"/>
    </xf>
    <xf numFmtId="165" fontId="5" fillId="11" borderId="1" xfId="1" applyFont="1" applyFill="1" applyBorder="1"/>
    <xf numFmtId="165" fontId="8" fillId="11" borderId="1" xfId="0" applyNumberFormat="1" applyFont="1" applyFill="1" applyBorder="1" applyAlignment="1">
      <alignment horizontal="left" vertical="center" wrapText="1"/>
    </xf>
    <xf numFmtId="165" fontId="3" fillId="5" borderId="1" xfId="1" applyFont="1" applyFill="1" applyBorder="1" applyAlignment="1">
      <alignment horizontal="center"/>
    </xf>
    <xf numFmtId="165" fontId="3" fillId="6" borderId="1" xfId="1" applyFont="1" applyFill="1" applyBorder="1"/>
    <xf numFmtId="165" fontId="5" fillId="0" borderId="0" xfId="1" applyFont="1"/>
    <xf numFmtId="165" fontId="3" fillId="5" borderId="1" xfId="1" applyFont="1" applyFill="1" applyBorder="1"/>
    <xf numFmtId="165" fontId="3" fillId="2" borderId="1" xfId="1" applyFont="1" applyFill="1" applyBorder="1"/>
    <xf numFmtId="165" fontId="3" fillId="0" borderId="0" xfId="1" applyFont="1"/>
    <xf numFmtId="165" fontId="12" fillId="0" borderId="0" xfId="1" applyFont="1"/>
    <xf numFmtId="0" fontId="5" fillId="0" borderId="0" xfId="0" applyFont="1" applyAlignment="1">
      <alignment horizontal="center"/>
    </xf>
    <xf numFmtId="165" fontId="3" fillId="6" borderId="4" xfId="1" applyFont="1" applyFill="1" applyBorder="1" applyAlignment="1">
      <alignment horizontal="center"/>
    </xf>
    <xf numFmtId="165" fontId="3" fillId="6" borderId="5" xfId="1" applyFont="1" applyFill="1" applyBorder="1" applyAlignment="1">
      <alignment horizontal="center"/>
    </xf>
    <xf numFmtId="10" fontId="3" fillId="6" borderId="2" xfId="0" applyNumberFormat="1" applyFont="1" applyFill="1" applyBorder="1" applyAlignment="1">
      <alignment horizontal="center" vertical="center"/>
    </xf>
    <xf numFmtId="10" fontId="3" fillId="6" borderId="3" xfId="0" applyNumberFormat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/>
    </xf>
    <xf numFmtId="165" fontId="3" fillId="2" borderId="5" xfId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 vertical="center"/>
    </xf>
  </cellXfs>
  <cellStyles count="4">
    <cellStyle name="Millares [0]" xfId="3" builtinId="6"/>
    <cellStyle name="Moneda [0]" xfId="1" builtinId="7"/>
    <cellStyle name="Moneda 2" xfId="2" xr:uid="{00000000-0005-0000-0000-000003000000}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896100" cy="7786466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6896100" cy="7786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114300</xdr:rowOff>
    </xdr:from>
    <xdr:to>
      <xdr:col>4</xdr:col>
      <xdr:colOff>1028700</xdr:colOff>
      <xdr:row>4</xdr:row>
      <xdr:rowOff>122725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763" t="26885" r="12215" b="23530"/>
        <a:stretch/>
      </xdr:blipFill>
      <xdr:spPr>
        <a:xfrm>
          <a:off x="6038850" y="114300"/>
          <a:ext cx="1562100" cy="808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104775</xdr:rowOff>
    </xdr:from>
    <xdr:to>
      <xdr:col>1</xdr:col>
      <xdr:colOff>1866900</xdr:colOff>
      <xdr:row>4</xdr:row>
      <xdr:rowOff>151300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763" t="26885" r="12215" b="23530"/>
        <a:stretch/>
      </xdr:blipFill>
      <xdr:spPr>
        <a:xfrm>
          <a:off x="581025" y="104775"/>
          <a:ext cx="1562100" cy="846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iana\AppData\Local\Microsoft\Windows\Temporary%20Internet%20Files\Content.Outlook\W7USJ4WN\Proyecto%20Salud%20Financiera%20Sura\INFORME%20FINANCIERO%20borrador%20su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RMACI&#211;N%20FINANCIERA%20ASESORES%20S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ágina de inicio"/>
      <sheetName val="! índice"/>
      <sheetName val="VARIABLES DE ENTRADA"/>
      <sheetName val="RESULTADOS NEGOCIO GENERACION"/>
      <sheetName val="RESULTADO VENTA BATERIAS"/>
      <sheetName val="RESULTADOS NEGOCIO DISTRIBUCION"/>
      <sheetName val="RESULTADO ARRIENDO BATERIAS"/>
      <sheetName val="RESULTADO CLIENTES VEHICULOS"/>
      <sheetName val="TCRM"/>
      <sheetName val="CALCULO INV. BATERIAS"/>
      <sheetName val="Consumo.Energía.15.Años"/>
      <sheetName val="Costo.vehículos"/>
      <sheetName val="Distribucion.Vehiculos.Energia"/>
      <sheetName val="Penetración.de.Mercado"/>
      <sheetName val="CUADRO INVERSIONES"/>
      <sheetName val="Venta Baterias"/>
      <sheetName val="Base.de.Cálculo"/>
      <sheetName val="Listas"/>
      <sheetName val="Tarifas.de.Energía"/>
      <sheetName val="Calculos Recarga"/>
      <sheetName val="Mercado.Objetivo"/>
      <sheetName val="Cliente"/>
      <sheetName val="MATRIZ"/>
      <sheetName val="PRESTA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A4" t="str">
            <v>vehículos Particulares</v>
          </cell>
          <cell r="E4" t="str">
            <v>Escenario 1  Sin Hacer Nada</v>
          </cell>
        </row>
        <row r="5">
          <cell r="A5" t="str">
            <v>vehículos Taxis</v>
          </cell>
          <cell r="E5" t="str">
            <v>Escenario 2 Carga Lenta S.P.- S.H.N.</v>
          </cell>
        </row>
        <row r="6">
          <cell r="A6" t="str">
            <v>vehículos Paqueteo</v>
          </cell>
          <cell r="E6" t="str">
            <v>Escenario 3 S.H.N. - ELECTROLINERAS</v>
          </cell>
        </row>
        <row r="7">
          <cell r="A7" t="str">
            <v>vehículos Transporte Personal</v>
          </cell>
          <cell r="E7" t="str">
            <v>Escenario 4 Todos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RECHOS DE AUTOR"/>
      <sheetName val="INICIO"/>
      <sheetName val="Variables Contratacion Personal"/>
      <sheetName val="Liquidador Nomina"/>
      <sheetName val="Ppto. Asesor"/>
      <sheetName val="Resultado Ppto. Asesor"/>
      <sheetName val="Distribucion Gastos Ppto Asesor"/>
      <sheetName val="Ppto. Asesor-Pareja"/>
      <sheetName val="Resultado Ppto. Asesor-Pareja"/>
      <sheetName val="Distr. Gasto Ppto Asesor-Pareja"/>
      <sheetName val="Ppto. Familiar"/>
      <sheetName val="Resultado Ppto. Fliar."/>
      <sheetName val="Distribucion Gasto Ppto Familia"/>
      <sheetName val="Ppto. Empresarial"/>
      <sheetName val="Resultado Ppto. Empresarial"/>
      <sheetName val="RESUMEN VENTA MENSUAL x POLIZA"/>
      <sheetName val="Ppto. Ingresos"/>
      <sheetName val="Listas"/>
      <sheetName val="Variables Presupuesto"/>
      <sheetName val="Simulador de Crédito Cuota Fi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9">
          <cell r="K19">
            <v>-9650000</v>
          </cell>
        </row>
        <row r="20">
          <cell r="F20">
            <v>150000</v>
          </cell>
          <cell r="K20">
            <v>150708.53718043256</v>
          </cell>
        </row>
        <row r="21">
          <cell r="F21">
            <v>149989.37194229354</v>
          </cell>
          <cell r="K21">
            <v>150708.53718043256</v>
          </cell>
        </row>
        <row r="22">
          <cell r="F22">
            <v>149978.58446372143</v>
          </cell>
          <cell r="K22">
            <v>150708.53718043256</v>
          </cell>
        </row>
        <row r="23">
          <cell r="F23">
            <v>149967.63517297077</v>
          </cell>
          <cell r="K23">
            <v>150708.53718043256</v>
          </cell>
        </row>
        <row r="24">
          <cell r="F24">
            <v>149956.52164285883</v>
          </cell>
          <cell r="K24">
            <v>150708.53718043256</v>
          </cell>
        </row>
        <row r="25">
          <cell r="F25">
            <v>149945.24140979521</v>
          </cell>
          <cell r="K25">
            <v>150708.53718043253</v>
          </cell>
        </row>
        <row r="26">
          <cell r="F26">
            <v>149933.79197323567</v>
          </cell>
          <cell r="K26">
            <v>150708.53718043256</v>
          </cell>
        </row>
        <row r="27">
          <cell r="F27">
            <v>149922.17079512772</v>
          </cell>
          <cell r="K27">
            <v>150708.53718043256</v>
          </cell>
        </row>
        <row r="28">
          <cell r="F28">
            <v>149910.37529934812</v>
          </cell>
          <cell r="K28">
            <v>150708.53718043253</v>
          </cell>
        </row>
        <row r="29">
          <cell r="F29">
            <v>149898.40287113187</v>
          </cell>
          <cell r="K29">
            <v>150708.53718043253</v>
          </cell>
        </row>
        <row r="30">
          <cell r="F30">
            <v>149886.25085649235</v>
          </cell>
          <cell r="K30">
            <v>150708.53718043253</v>
          </cell>
        </row>
        <row r="31">
          <cell r="F31">
            <v>149873.91656163326</v>
          </cell>
          <cell r="K31">
            <v>150708.53718043253</v>
          </cell>
        </row>
        <row r="32">
          <cell r="F32">
            <v>149861.39725235128</v>
          </cell>
          <cell r="K32">
            <v>150708.53718043256</v>
          </cell>
        </row>
        <row r="33">
          <cell r="F33">
            <v>149848.69015343004</v>
          </cell>
          <cell r="K33">
            <v>150708.53718043253</v>
          </cell>
        </row>
        <row r="34">
          <cell r="F34">
            <v>149835.79244802502</v>
          </cell>
          <cell r="K34">
            <v>150708.53718043256</v>
          </cell>
        </row>
        <row r="35">
          <cell r="F35">
            <v>149822.7012770389</v>
          </cell>
          <cell r="K35">
            <v>150708.53718043253</v>
          </cell>
        </row>
        <row r="36">
          <cell r="F36">
            <v>149809.41373848799</v>
          </cell>
          <cell r="K36">
            <v>150708.53718043253</v>
          </cell>
        </row>
        <row r="37">
          <cell r="F37">
            <v>149795.92688685883</v>
          </cell>
          <cell r="K37">
            <v>150708.53718043253</v>
          </cell>
        </row>
        <row r="38">
          <cell r="F38">
            <v>149782.23773245522</v>
          </cell>
          <cell r="K38">
            <v>150708.53718043253</v>
          </cell>
        </row>
        <row r="39">
          <cell r="F39">
            <v>149768.34324073556</v>
          </cell>
          <cell r="K39">
            <v>150708.53718043253</v>
          </cell>
        </row>
        <row r="40">
          <cell r="F40">
            <v>149754.24033164012</v>
          </cell>
          <cell r="K40">
            <v>150708.53718043256</v>
          </cell>
        </row>
        <row r="41">
          <cell r="F41">
            <v>149739.92587890822</v>
          </cell>
          <cell r="K41">
            <v>150708.53718043253</v>
          </cell>
        </row>
        <row r="42">
          <cell r="F42">
            <v>149725.39670938539</v>
          </cell>
          <cell r="K42">
            <v>150708.53718043256</v>
          </cell>
        </row>
        <row r="43">
          <cell r="F43">
            <v>149710.64960231964</v>
          </cell>
          <cell r="K43">
            <v>150708.53718043253</v>
          </cell>
        </row>
        <row r="44">
          <cell r="F44">
            <v>149695.68128864796</v>
          </cell>
          <cell r="K44">
            <v>150708.53718043256</v>
          </cell>
        </row>
        <row r="45">
          <cell r="F45">
            <v>149680.48845027119</v>
          </cell>
          <cell r="K45">
            <v>150708.53718043256</v>
          </cell>
        </row>
        <row r="46">
          <cell r="F46">
            <v>149665.06771931876</v>
          </cell>
          <cell r="K46">
            <v>150708.53718043253</v>
          </cell>
        </row>
        <row r="47">
          <cell r="F47">
            <v>149649.41567740208</v>
          </cell>
          <cell r="K47">
            <v>150708.53718043256</v>
          </cell>
        </row>
        <row r="48">
          <cell r="F48">
            <v>149633.52885485662</v>
          </cell>
          <cell r="K48">
            <v>150708.53718043256</v>
          </cell>
        </row>
        <row r="49">
          <cell r="F49">
            <v>149617.40372997298</v>
          </cell>
          <cell r="K49">
            <v>150708.53718043256</v>
          </cell>
        </row>
        <row r="50">
          <cell r="F50">
            <v>149601.03672821607</v>
          </cell>
          <cell r="K50">
            <v>150708.53718043253</v>
          </cell>
        </row>
        <row r="51">
          <cell r="F51">
            <v>149584.42422143283</v>
          </cell>
          <cell r="K51">
            <v>150708.53718043253</v>
          </cell>
        </row>
        <row r="52">
          <cell r="F52">
            <v>149567.56252704782</v>
          </cell>
          <cell r="K52">
            <v>150708.53718043253</v>
          </cell>
        </row>
        <row r="53">
          <cell r="F53">
            <v>149550.44790724706</v>
          </cell>
          <cell r="K53">
            <v>150708.53718043253</v>
          </cell>
        </row>
        <row r="54">
          <cell r="F54">
            <v>149533.07656814929</v>
          </cell>
          <cell r="K54">
            <v>150708.53718043256</v>
          </cell>
        </row>
        <row r="55">
          <cell r="F55">
            <v>149515.44465896505</v>
          </cell>
          <cell r="K55">
            <v>150708.53718043256</v>
          </cell>
        </row>
        <row r="56">
          <cell r="F56">
            <v>149497.54827114302</v>
          </cell>
          <cell r="K56">
            <v>150708.53718043256</v>
          </cell>
        </row>
        <row r="57">
          <cell r="F57">
            <v>149479.38343750368</v>
          </cell>
          <cell r="K57">
            <v>150708.53718043256</v>
          </cell>
        </row>
        <row r="58">
          <cell r="F58">
            <v>149460.94613135976</v>
          </cell>
          <cell r="K58">
            <v>150708.53718043256</v>
          </cell>
        </row>
        <row r="59">
          <cell r="F59">
            <v>149442.23226562366</v>
          </cell>
          <cell r="K59">
            <v>150708.53718043256</v>
          </cell>
        </row>
        <row r="60">
          <cell r="F60">
            <v>149423.23769190151</v>
          </cell>
          <cell r="K60">
            <v>150708.53718043253</v>
          </cell>
        </row>
        <row r="61">
          <cell r="F61">
            <v>149403.95819957354</v>
          </cell>
          <cell r="K61">
            <v>150708.53718043253</v>
          </cell>
        </row>
        <row r="62">
          <cell r="F62">
            <v>149384.38951486067</v>
          </cell>
          <cell r="K62">
            <v>150708.53718043256</v>
          </cell>
        </row>
        <row r="63">
          <cell r="F63">
            <v>149364.52729987708</v>
          </cell>
          <cell r="K63">
            <v>150708.53718043253</v>
          </cell>
        </row>
        <row r="64">
          <cell r="F64">
            <v>149344.36715166876</v>
          </cell>
          <cell r="K64">
            <v>150708.53718043256</v>
          </cell>
        </row>
        <row r="65">
          <cell r="F65">
            <v>149323.9046012373</v>
          </cell>
          <cell r="K65">
            <v>150708.53718043256</v>
          </cell>
        </row>
        <row r="66">
          <cell r="F66">
            <v>149303.13511254938</v>
          </cell>
          <cell r="K66">
            <v>150708.53718043256</v>
          </cell>
        </row>
        <row r="67">
          <cell r="F67">
            <v>149282.0540815311</v>
          </cell>
          <cell r="K67">
            <v>150708.53718043253</v>
          </cell>
        </row>
        <row r="68">
          <cell r="F68">
            <v>149260.65683504762</v>
          </cell>
          <cell r="K68">
            <v>150708.53718043256</v>
          </cell>
        </row>
        <row r="69">
          <cell r="F69">
            <v>149238.93862986681</v>
          </cell>
          <cell r="K69">
            <v>150708.53718043253</v>
          </cell>
        </row>
        <row r="70">
          <cell r="F70">
            <v>149216.89465160834</v>
          </cell>
          <cell r="K70">
            <v>150708.53718043253</v>
          </cell>
        </row>
        <row r="71">
          <cell r="F71">
            <v>149194.52001367597</v>
          </cell>
          <cell r="K71">
            <v>150708.53718043253</v>
          </cell>
        </row>
        <row r="72">
          <cell r="F72">
            <v>149171.80975617463</v>
          </cell>
          <cell r="K72">
            <v>150708.53718043253</v>
          </cell>
        </row>
        <row r="73">
          <cell r="F73">
            <v>149148.75884481074</v>
          </cell>
          <cell r="K73">
            <v>150708.53718043253</v>
          </cell>
        </row>
        <row r="74">
          <cell r="F74">
            <v>149125.36216977643</v>
          </cell>
          <cell r="K74">
            <v>150708.53718043253</v>
          </cell>
        </row>
        <row r="75">
          <cell r="F75">
            <v>149101.6145446166</v>
          </cell>
          <cell r="K75">
            <v>150708.53718043256</v>
          </cell>
        </row>
        <row r="76">
          <cell r="F76">
            <v>149077.51070507933</v>
          </cell>
          <cell r="K76">
            <v>150708.53718043253</v>
          </cell>
        </row>
        <row r="77">
          <cell r="F77">
            <v>149053.04530794907</v>
          </cell>
          <cell r="K77">
            <v>150708.53718043256</v>
          </cell>
        </row>
        <row r="78">
          <cell r="F78">
            <v>149028.21292986182</v>
          </cell>
          <cell r="K78">
            <v>150708.53718043256</v>
          </cell>
        </row>
        <row r="79">
          <cell r="F79">
            <v>149003.00806610324</v>
          </cell>
          <cell r="K79">
            <v>150708.53718043253</v>
          </cell>
        </row>
        <row r="80">
          <cell r="F80">
            <v>148977.42512938831</v>
          </cell>
          <cell r="K80">
            <v>150708.53718043256</v>
          </cell>
        </row>
        <row r="81">
          <cell r="F81">
            <v>148951.45844862264</v>
          </cell>
          <cell r="K81">
            <v>150708.53718043253</v>
          </cell>
        </row>
        <row r="82">
          <cell r="F82">
            <v>148925.1022676455</v>
          </cell>
          <cell r="K82">
            <v>150708.53718043256</v>
          </cell>
        </row>
        <row r="83">
          <cell r="F83">
            <v>148898.35074395369</v>
          </cell>
          <cell r="K83">
            <v>150708.53718043256</v>
          </cell>
        </row>
        <row r="84">
          <cell r="F84">
            <v>148871.1979474065</v>
          </cell>
          <cell r="K84">
            <v>150708.53718043253</v>
          </cell>
        </row>
        <row r="85">
          <cell r="F85">
            <v>148843.63785891113</v>
          </cell>
          <cell r="K85">
            <v>150708.53718043256</v>
          </cell>
        </row>
        <row r="86">
          <cell r="F86">
            <v>148815.66436908828</v>
          </cell>
          <cell r="K86">
            <v>150708.53718043253</v>
          </cell>
        </row>
        <row r="87">
          <cell r="F87">
            <v>148787.27127691812</v>
          </cell>
          <cell r="K87">
            <v>150708.53718043253</v>
          </cell>
        </row>
        <row r="88">
          <cell r="F88">
            <v>148758.4522883654</v>
          </cell>
          <cell r="K88">
            <v>150708.53718043253</v>
          </cell>
        </row>
        <row r="89">
          <cell r="F89">
            <v>148729.2010149844</v>
          </cell>
          <cell r="K89">
            <v>150708.53718043253</v>
          </cell>
        </row>
        <row r="90">
          <cell r="F90">
            <v>148699.5109725027</v>
          </cell>
          <cell r="K90">
            <v>150708.53718043256</v>
          </cell>
        </row>
        <row r="91">
          <cell r="F91">
            <v>148669.37557938372</v>
          </cell>
          <cell r="K91">
            <v>150708.53718043253</v>
          </cell>
        </row>
        <row r="92">
          <cell r="F92">
            <v>148638.78815536798</v>
          </cell>
          <cell r="K92">
            <v>150708.53718043253</v>
          </cell>
        </row>
        <row r="93">
          <cell r="F93">
            <v>148607.74191999203</v>
          </cell>
          <cell r="K93">
            <v>150708.53718043253</v>
          </cell>
        </row>
        <row r="94">
          <cell r="F94">
            <v>148576.22999108542</v>
          </cell>
          <cell r="K94">
            <v>150708.53718043253</v>
          </cell>
        </row>
        <row r="95">
          <cell r="F95">
            <v>148544.2453832452</v>
          </cell>
          <cell r="K95">
            <v>150708.53718043253</v>
          </cell>
        </row>
        <row r="96">
          <cell r="F96">
            <v>148511.78100628741</v>
          </cell>
          <cell r="K96">
            <v>150708.53718043253</v>
          </cell>
        </row>
        <row r="97">
          <cell r="F97">
            <v>148478.82966367522</v>
          </cell>
          <cell r="K97">
            <v>150708.53718043253</v>
          </cell>
        </row>
        <row r="98">
          <cell r="F98">
            <v>148445.38405092387</v>
          </cell>
          <cell r="K98">
            <v>150708.53718043253</v>
          </cell>
        </row>
        <row r="99">
          <cell r="F99">
            <v>148411.43675398125</v>
          </cell>
          <cell r="K99">
            <v>150708.53718043256</v>
          </cell>
        </row>
        <row r="100">
          <cell r="F100">
            <v>148376.98024758446</v>
          </cell>
          <cell r="K100">
            <v>150708.53718043253</v>
          </cell>
        </row>
        <row r="101">
          <cell r="F101">
            <v>148342.00689359175</v>
          </cell>
          <cell r="K101">
            <v>150708.53718043253</v>
          </cell>
        </row>
        <row r="102">
          <cell r="F102">
            <v>148306.50893928914</v>
          </cell>
          <cell r="K102">
            <v>150708.53718043253</v>
          </cell>
        </row>
        <row r="103">
          <cell r="F103">
            <v>148270.478515672</v>
          </cell>
          <cell r="K103">
            <v>150708.53718043256</v>
          </cell>
        </row>
        <row r="104">
          <cell r="F104">
            <v>148233.90763570057</v>
          </cell>
          <cell r="K104">
            <v>150708.53718043253</v>
          </cell>
        </row>
        <row r="105">
          <cell r="F105">
            <v>148196.78819252961</v>
          </cell>
          <cell r="K105">
            <v>150708.53718043256</v>
          </cell>
        </row>
        <row r="106">
          <cell r="F106">
            <v>148159.11195771105</v>
          </cell>
          <cell r="K106">
            <v>150708.53718043253</v>
          </cell>
        </row>
        <row r="107">
          <cell r="F107">
            <v>148120.87057937024</v>
          </cell>
          <cell r="K107">
            <v>150708.53718043256</v>
          </cell>
        </row>
        <row r="108">
          <cell r="F108">
            <v>148082.0555803543</v>
          </cell>
          <cell r="K108">
            <v>150708.53718043253</v>
          </cell>
        </row>
        <row r="109">
          <cell r="F109">
            <v>148042.65835635315</v>
          </cell>
          <cell r="K109">
            <v>150708.53718043256</v>
          </cell>
        </row>
        <row r="110">
          <cell r="F110">
            <v>148002.67017399191</v>
          </cell>
          <cell r="K110">
            <v>150708.53718043253</v>
          </cell>
        </row>
        <row r="111">
          <cell r="F111">
            <v>147962.08216889531</v>
          </cell>
          <cell r="K111">
            <v>150708.53718043253</v>
          </cell>
        </row>
        <row r="112">
          <cell r="F112">
            <v>147920.88534372227</v>
          </cell>
          <cell r="K112">
            <v>150708.53718043256</v>
          </cell>
        </row>
        <row r="113">
          <cell r="F113">
            <v>147879.07056617161</v>
          </cell>
          <cell r="K113">
            <v>150708.53718043253</v>
          </cell>
        </row>
        <row r="114">
          <cell r="F114">
            <v>147836.62856695769</v>
          </cell>
          <cell r="K114">
            <v>150708.53718043253</v>
          </cell>
        </row>
        <row r="115">
          <cell r="F115">
            <v>147793.54993775557</v>
          </cell>
          <cell r="K115">
            <v>150708.53718043253</v>
          </cell>
        </row>
        <row r="116">
          <cell r="F116">
            <v>147749.82512911543</v>
          </cell>
          <cell r="K116">
            <v>150708.53718043256</v>
          </cell>
        </row>
        <row r="117">
          <cell r="F117">
            <v>147705.44444834566</v>
          </cell>
          <cell r="K117">
            <v>150708.53718043253</v>
          </cell>
        </row>
        <row r="118">
          <cell r="F118">
            <v>147660.39805736436</v>
          </cell>
          <cell r="K118">
            <v>150708.53718043256</v>
          </cell>
        </row>
        <row r="119">
          <cell r="F119">
            <v>147614.67597051832</v>
          </cell>
          <cell r="K119">
            <v>150708.53718043253</v>
          </cell>
        </row>
        <row r="120">
          <cell r="F120">
            <v>147568.26805236962</v>
          </cell>
          <cell r="K120">
            <v>150708.53718043253</v>
          </cell>
        </row>
        <row r="121">
          <cell r="F121">
            <v>147521.16401544868</v>
          </cell>
          <cell r="K121">
            <v>150708.53718043253</v>
          </cell>
        </row>
        <row r="122">
          <cell r="F122">
            <v>147473.35341797391</v>
          </cell>
          <cell r="K122">
            <v>150708.53718043253</v>
          </cell>
        </row>
        <row r="123">
          <cell r="F123">
            <v>147424.82566153706</v>
          </cell>
          <cell r="K123">
            <v>150708.53718043256</v>
          </cell>
        </row>
        <row r="124">
          <cell r="F124">
            <v>147375.56998875362</v>
          </cell>
          <cell r="K124">
            <v>150708.53718043256</v>
          </cell>
        </row>
        <row r="125">
          <cell r="F125">
            <v>147325.57548087841</v>
          </cell>
          <cell r="K125">
            <v>150708.53718043253</v>
          </cell>
        </row>
        <row r="126">
          <cell r="F126">
            <v>147274.83105538512</v>
          </cell>
          <cell r="K126">
            <v>150708.53718043253</v>
          </cell>
        </row>
        <row r="127">
          <cell r="F127">
            <v>147223.32546350942</v>
          </cell>
          <cell r="K127">
            <v>150708.53718043256</v>
          </cell>
        </row>
        <row r="128">
          <cell r="F128">
            <v>147171.04728775556</v>
          </cell>
          <cell r="K128">
            <v>150708.53718043253</v>
          </cell>
        </row>
        <row r="129">
          <cell r="F129">
            <v>147117.98493936541</v>
          </cell>
          <cell r="K129">
            <v>150708.53718043256</v>
          </cell>
        </row>
        <row r="130">
          <cell r="F130">
            <v>147064.12665574942</v>
          </cell>
          <cell r="K130">
            <v>150708.53718043256</v>
          </cell>
        </row>
        <row r="131">
          <cell r="F131">
            <v>147009.46049787913</v>
          </cell>
          <cell r="K131">
            <v>150708.53718043253</v>
          </cell>
        </row>
        <row r="132">
          <cell r="F132">
            <v>146953.97434764085</v>
          </cell>
          <cell r="K132">
            <v>150708.53718043253</v>
          </cell>
        </row>
        <row r="133">
          <cell r="F133">
            <v>146897.65590514897</v>
          </cell>
          <cell r="K133">
            <v>150708.53718043253</v>
          </cell>
        </row>
        <row r="134">
          <cell r="F134">
            <v>146840.49268601972</v>
          </cell>
          <cell r="K134">
            <v>150708.53718043253</v>
          </cell>
        </row>
        <row r="135">
          <cell r="F135">
            <v>146782.47201860353</v>
          </cell>
          <cell r="K135">
            <v>150708.53718043253</v>
          </cell>
        </row>
        <row r="136">
          <cell r="F136">
            <v>146723.58104117608</v>
          </cell>
          <cell r="K136">
            <v>150708.53718043253</v>
          </cell>
        </row>
        <row r="137">
          <cell r="F137">
            <v>146663.80669908726</v>
          </cell>
          <cell r="K137">
            <v>150708.53718043256</v>
          </cell>
        </row>
        <row r="138">
          <cell r="F138">
            <v>146603.1357418671</v>
          </cell>
          <cell r="K138">
            <v>150708.53718043256</v>
          </cell>
        </row>
        <row r="139">
          <cell r="F139">
            <v>146541.55472028858</v>
          </cell>
          <cell r="K139">
            <v>150708.53718043253</v>
          </cell>
        </row>
        <row r="140">
          <cell r="F140">
            <v>146479.04998338642</v>
          </cell>
          <cell r="K140">
            <v>150708.53718043253</v>
          </cell>
        </row>
        <row r="141">
          <cell r="F141">
            <v>146415.60767543074</v>
          </cell>
          <cell r="K141">
            <v>150708.53718043256</v>
          </cell>
        </row>
        <row r="142">
          <cell r="F142">
            <v>146351.21373285571</v>
          </cell>
          <cell r="K142">
            <v>150708.53718043256</v>
          </cell>
        </row>
        <row r="143">
          <cell r="F143">
            <v>146285.85388114204</v>
          </cell>
          <cell r="K143">
            <v>150708.53718043253</v>
          </cell>
        </row>
        <row r="144">
          <cell r="F144">
            <v>146219.51363165269</v>
          </cell>
          <cell r="K144">
            <v>150708.53718043253</v>
          </cell>
        </row>
        <row r="145">
          <cell r="F145">
            <v>146152.17827842099</v>
          </cell>
          <cell r="K145">
            <v>150708.53718043253</v>
          </cell>
        </row>
        <row r="146">
          <cell r="F146">
            <v>146083.83289489083</v>
          </cell>
          <cell r="K146">
            <v>150708.53718043256</v>
          </cell>
        </row>
        <row r="147">
          <cell r="F147">
            <v>146014.4623306077</v>
          </cell>
          <cell r="K147">
            <v>150708.53718043253</v>
          </cell>
        </row>
        <row r="148">
          <cell r="F148">
            <v>145944.05120786032</v>
          </cell>
          <cell r="K148">
            <v>150708.53718043253</v>
          </cell>
        </row>
        <row r="149">
          <cell r="F149">
            <v>145872.58391827176</v>
          </cell>
          <cell r="K149">
            <v>150708.53718043256</v>
          </cell>
        </row>
        <row r="150">
          <cell r="F150">
            <v>145800.04461933931</v>
          </cell>
          <cell r="K150">
            <v>150708.53718043253</v>
          </cell>
        </row>
        <row r="151">
          <cell r="F151">
            <v>145726.41723092293</v>
          </cell>
          <cell r="K151">
            <v>150708.53718043253</v>
          </cell>
        </row>
        <row r="152">
          <cell r="F152">
            <v>145651.68543168032</v>
          </cell>
          <cell r="K152">
            <v>150708.53718043256</v>
          </cell>
        </row>
        <row r="153">
          <cell r="F153">
            <v>145575.83265544902</v>
          </cell>
          <cell r="K153">
            <v>150708.53718043256</v>
          </cell>
        </row>
        <row r="154">
          <cell r="F154">
            <v>145498.84208757424</v>
          </cell>
          <cell r="K154">
            <v>150708.53718043253</v>
          </cell>
        </row>
        <row r="155">
          <cell r="F155">
            <v>145420.6966611814</v>
          </cell>
          <cell r="K155">
            <v>150708.53718043256</v>
          </cell>
        </row>
        <row r="156">
          <cell r="F156">
            <v>145341.37905339262</v>
          </cell>
          <cell r="K156">
            <v>150708.53718043256</v>
          </cell>
        </row>
        <row r="157">
          <cell r="F157">
            <v>145260.87168148701</v>
          </cell>
          <cell r="K157">
            <v>150708.53718043253</v>
          </cell>
        </row>
        <row r="158">
          <cell r="F158">
            <v>145179.15669900284</v>
          </cell>
          <cell r="K158">
            <v>150708.53718043256</v>
          </cell>
        </row>
        <row r="159">
          <cell r="F159">
            <v>145096.21599178138</v>
          </cell>
          <cell r="K159">
            <v>150708.53718043253</v>
          </cell>
        </row>
        <row r="160">
          <cell r="F160">
            <v>145012.03117395163</v>
          </cell>
          <cell r="K160">
            <v>150708.53718043256</v>
          </cell>
        </row>
        <row r="161">
          <cell r="F161">
            <v>144926.5835838544</v>
          </cell>
          <cell r="K161">
            <v>150708.53718043253</v>
          </cell>
        </row>
        <row r="162">
          <cell r="F162">
            <v>144839.85427990573</v>
          </cell>
          <cell r="K162">
            <v>150708.53718043253</v>
          </cell>
        </row>
        <row r="163">
          <cell r="F163">
            <v>144751.82403639785</v>
          </cell>
          <cell r="K163">
            <v>150708.53718043256</v>
          </cell>
        </row>
        <row r="164">
          <cell r="F164">
            <v>144662.4733392373</v>
          </cell>
          <cell r="K164">
            <v>150708.53718043253</v>
          </cell>
        </row>
        <row r="165">
          <cell r="F165">
            <v>144571.78238161938</v>
          </cell>
          <cell r="K165">
            <v>150708.53718043256</v>
          </cell>
        </row>
        <row r="166">
          <cell r="F166">
            <v>144479.73105963718</v>
          </cell>
          <cell r="K166">
            <v>150708.53718043253</v>
          </cell>
        </row>
        <row r="167">
          <cell r="F167">
            <v>144386.29896782525</v>
          </cell>
          <cell r="K167">
            <v>150708.53718043253</v>
          </cell>
        </row>
        <row r="168">
          <cell r="F168">
            <v>144291.46539463615</v>
          </cell>
          <cell r="K168">
            <v>150708.53718043256</v>
          </cell>
        </row>
        <row r="169">
          <cell r="F169">
            <v>144195.20931784919</v>
          </cell>
          <cell r="K169">
            <v>150708.53718043253</v>
          </cell>
        </row>
        <row r="170">
          <cell r="F170">
            <v>144097.50939991046</v>
          </cell>
          <cell r="K170">
            <v>150708.53718043256</v>
          </cell>
        </row>
        <row r="171">
          <cell r="F171">
            <v>143998.34398320262</v>
          </cell>
          <cell r="K171">
            <v>150708.53718043253</v>
          </cell>
        </row>
        <row r="172">
          <cell r="F172">
            <v>143897.69108524415</v>
          </cell>
          <cell r="K172">
            <v>150708.53718043253</v>
          </cell>
        </row>
        <row r="173">
          <cell r="F173">
            <v>143795.52839381635</v>
          </cell>
          <cell r="K173">
            <v>150708.53718043256</v>
          </cell>
        </row>
        <row r="174">
          <cell r="F174">
            <v>143691.83326201711</v>
          </cell>
          <cell r="K174">
            <v>150708.53718043256</v>
          </cell>
        </row>
        <row r="175">
          <cell r="F175">
            <v>143586.58270324089</v>
          </cell>
          <cell r="K175">
            <v>150708.53718043256</v>
          </cell>
        </row>
        <row r="176">
          <cell r="F176">
            <v>143479.75338608297</v>
          </cell>
          <cell r="K176">
            <v>150708.53718043253</v>
          </cell>
        </row>
        <row r="177">
          <cell r="F177">
            <v>143371.32162916774</v>
          </cell>
          <cell r="K177">
            <v>150708.53718043253</v>
          </cell>
        </row>
        <row r="178">
          <cell r="F178">
            <v>143261.26339589877</v>
          </cell>
          <cell r="K178">
            <v>150708.53718043253</v>
          </cell>
        </row>
        <row r="179">
          <cell r="F179">
            <v>143149.55428913079</v>
          </cell>
          <cell r="K179">
            <v>150708.53718043256</v>
          </cell>
        </row>
        <row r="180">
          <cell r="F180">
            <v>143036.16954576125</v>
          </cell>
          <cell r="K180">
            <v>150708.53718043256</v>
          </cell>
        </row>
        <row r="181">
          <cell r="F181">
            <v>142921.08403124119</v>
          </cell>
          <cell r="K181">
            <v>150708.53718043256</v>
          </cell>
        </row>
        <row r="182">
          <cell r="F182">
            <v>142804.27223400329</v>
          </cell>
          <cell r="K182">
            <v>150708.53718043253</v>
          </cell>
        </row>
        <row r="183">
          <cell r="F183">
            <v>142685.70825980685</v>
          </cell>
          <cell r="K183">
            <v>150708.53718043253</v>
          </cell>
        </row>
        <row r="184">
          <cell r="F184">
            <v>142565.36582599749</v>
          </cell>
          <cell r="K184">
            <v>150708.53718043256</v>
          </cell>
        </row>
        <row r="185">
          <cell r="F185">
            <v>142443.21825568096</v>
          </cell>
          <cell r="K185">
            <v>150708.53718043253</v>
          </cell>
        </row>
        <row r="186">
          <cell r="F186">
            <v>142319.23847180969</v>
          </cell>
          <cell r="K186">
            <v>150708.53718043256</v>
          </cell>
        </row>
        <row r="187">
          <cell r="F187">
            <v>142193.39899118032</v>
          </cell>
          <cell r="K187">
            <v>150708.53718043253</v>
          </cell>
        </row>
        <row r="188">
          <cell r="F188">
            <v>142065.67191834154</v>
          </cell>
          <cell r="K188">
            <v>150708.53718043253</v>
          </cell>
        </row>
        <row r="189">
          <cell r="F189">
            <v>141936.02893941017</v>
          </cell>
          <cell r="K189">
            <v>150708.53718043253</v>
          </cell>
        </row>
        <row r="190">
          <cell r="F190">
            <v>141804.44131579486</v>
          </cell>
          <cell r="K190">
            <v>150708.53718043253</v>
          </cell>
        </row>
        <row r="191">
          <cell r="F191">
            <v>141670.8798778253</v>
          </cell>
          <cell r="K191">
            <v>150708.53718043256</v>
          </cell>
        </row>
        <row r="192">
          <cell r="F192">
            <v>141535.3150182862</v>
          </cell>
          <cell r="K192">
            <v>150708.53718043256</v>
          </cell>
        </row>
        <row r="193">
          <cell r="F193">
            <v>141397.71668585401</v>
          </cell>
          <cell r="K193">
            <v>150708.53718043256</v>
          </cell>
        </row>
        <row r="194">
          <cell r="F194">
            <v>141258.05437843531</v>
          </cell>
          <cell r="K194">
            <v>150708.53718043253</v>
          </cell>
        </row>
        <row r="195">
          <cell r="F195">
            <v>141116.29713640534</v>
          </cell>
          <cell r="K195">
            <v>150708.53718043253</v>
          </cell>
        </row>
        <row r="196">
          <cell r="F196">
            <v>140972.41353574494</v>
          </cell>
          <cell r="K196">
            <v>150708.53718043253</v>
          </cell>
        </row>
        <row r="197">
          <cell r="F197">
            <v>140826.37168107461</v>
          </cell>
          <cell r="K197">
            <v>150708.53718043253</v>
          </cell>
        </row>
        <row r="198">
          <cell r="F198">
            <v>140678.13919858425</v>
          </cell>
          <cell r="K198">
            <v>150708.53718043253</v>
          </cell>
        </row>
        <row r="199">
          <cell r="F199">
            <v>140527.68322885653</v>
          </cell>
          <cell r="K199">
            <v>150708.53718043253</v>
          </cell>
        </row>
        <row r="200">
          <cell r="F200">
            <v>140374.97041958291</v>
          </cell>
          <cell r="K200">
            <v>150708.53718043256</v>
          </cell>
        </row>
        <row r="201">
          <cell r="F201">
            <v>140219.96691817016</v>
          </cell>
          <cell r="K201">
            <v>150708.53718043256</v>
          </cell>
        </row>
        <row r="202">
          <cell r="F202">
            <v>140062.63836423622</v>
          </cell>
          <cell r="K202">
            <v>150708.53718043253</v>
          </cell>
        </row>
        <row r="203">
          <cell r="F203">
            <v>139902.94988199326</v>
          </cell>
          <cell r="K203">
            <v>150708.53718043253</v>
          </cell>
        </row>
        <row r="204">
          <cell r="F204">
            <v>139740.86607251668</v>
          </cell>
          <cell r="K204">
            <v>150708.53718043253</v>
          </cell>
        </row>
        <row r="205">
          <cell r="F205">
            <v>139576.35100589794</v>
          </cell>
          <cell r="K205">
            <v>150708.53718043253</v>
          </cell>
        </row>
        <row r="206">
          <cell r="F206">
            <v>139409.36821327993</v>
          </cell>
          <cell r="K206">
            <v>150708.53718043253</v>
          </cell>
        </row>
        <row r="207">
          <cell r="F207">
            <v>139239.88067877266</v>
          </cell>
          <cell r="K207">
            <v>150708.53718043256</v>
          </cell>
        </row>
        <row r="208">
          <cell r="F208">
            <v>139067.85083124775</v>
          </cell>
          <cell r="K208">
            <v>150708.53718043256</v>
          </cell>
        </row>
        <row r="209">
          <cell r="F209">
            <v>138893.24053600998</v>
          </cell>
          <cell r="K209">
            <v>150708.53718043256</v>
          </cell>
        </row>
        <row r="210">
          <cell r="F210">
            <v>138716.01108634361</v>
          </cell>
          <cell r="K210">
            <v>150708.53718043253</v>
          </cell>
        </row>
        <row r="211">
          <cell r="F211">
            <v>138536.1231949323</v>
          </cell>
          <cell r="K211">
            <v>150708.53718043253</v>
          </cell>
        </row>
        <row r="212">
          <cell r="F212">
            <v>138353.53698514981</v>
          </cell>
          <cell r="K212">
            <v>150708.53718043256</v>
          </cell>
        </row>
        <row r="213">
          <cell r="F213">
            <v>138168.21198222056</v>
          </cell>
          <cell r="K213">
            <v>150708.53718043256</v>
          </cell>
        </row>
        <row r="214">
          <cell r="F214">
            <v>137980.10710424735</v>
          </cell>
          <cell r="K214">
            <v>150708.53718043253</v>
          </cell>
        </row>
        <row r="215">
          <cell r="F215">
            <v>137789.18065310459</v>
          </cell>
          <cell r="K215">
            <v>150708.53718043253</v>
          </cell>
        </row>
        <row r="216">
          <cell r="F216">
            <v>137595.39030519468</v>
          </cell>
          <cell r="K216">
            <v>150708.53718043256</v>
          </cell>
        </row>
        <row r="217">
          <cell r="F217">
            <v>137398.69310206611</v>
          </cell>
          <cell r="K217">
            <v>150708.53718043256</v>
          </cell>
        </row>
        <row r="218">
          <cell r="F218">
            <v>137199.04544089062</v>
          </cell>
          <cell r="K218">
            <v>150708.53718043256</v>
          </cell>
        </row>
        <row r="219">
          <cell r="F219">
            <v>136996.40306479746</v>
          </cell>
          <cell r="K219">
            <v>150708.53718043253</v>
          </cell>
        </row>
        <row r="220">
          <cell r="F220">
            <v>136790.72105306294</v>
          </cell>
          <cell r="K220">
            <v>150708.53718043253</v>
          </cell>
        </row>
        <row r="221">
          <cell r="F221">
            <v>136581.9538111524</v>
          </cell>
          <cell r="K221">
            <v>150708.53718043253</v>
          </cell>
        </row>
        <row r="222">
          <cell r="F222">
            <v>136370.0550606132</v>
          </cell>
          <cell r="K222">
            <v>150708.53718043253</v>
          </cell>
        </row>
        <row r="223">
          <cell r="F223">
            <v>136154.9778288159</v>
          </cell>
          <cell r="K223">
            <v>150708.53718043253</v>
          </cell>
        </row>
        <row r="224">
          <cell r="F224">
            <v>135936.67443854167</v>
          </cell>
          <cell r="K224">
            <v>150708.53718043253</v>
          </cell>
        </row>
        <row r="225">
          <cell r="F225">
            <v>135715.09649741329</v>
          </cell>
          <cell r="K225">
            <v>150708.53718043253</v>
          </cell>
        </row>
        <row r="226">
          <cell r="F226">
            <v>135490.19488716804</v>
          </cell>
          <cell r="K226">
            <v>150708.53718043256</v>
          </cell>
        </row>
        <row r="227">
          <cell r="F227">
            <v>135261.91975276903</v>
          </cell>
          <cell r="K227">
            <v>150708.53718043253</v>
          </cell>
        </row>
        <row r="228">
          <cell r="F228">
            <v>135030.22049135412</v>
          </cell>
          <cell r="K228">
            <v>150708.53718043256</v>
          </cell>
        </row>
        <row r="229">
          <cell r="F229">
            <v>134795.04574101791</v>
          </cell>
          <cell r="K229">
            <v>150708.53718043253</v>
          </cell>
        </row>
        <row r="230">
          <cell r="F230">
            <v>134556.3433694267</v>
          </cell>
          <cell r="K230">
            <v>150708.53718043253</v>
          </cell>
        </row>
        <row r="231">
          <cell r="F231">
            <v>134314.06046226161</v>
          </cell>
          <cell r="K231">
            <v>150708.53718043253</v>
          </cell>
        </row>
        <row r="232">
          <cell r="F232">
            <v>134068.14331148905</v>
          </cell>
          <cell r="K232">
            <v>150708.53718043256</v>
          </cell>
        </row>
        <row r="233">
          <cell r="F233">
            <v>133818.53740345489</v>
          </cell>
          <cell r="K233">
            <v>150708.53718043253</v>
          </cell>
        </row>
        <row r="234">
          <cell r="F234">
            <v>133565.18740680022</v>
          </cell>
          <cell r="K234">
            <v>150708.53718043253</v>
          </cell>
        </row>
        <row r="235">
          <cell r="F235">
            <v>133308.03716019573</v>
          </cell>
          <cell r="K235">
            <v>150708.53718043253</v>
          </cell>
        </row>
        <row r="236">
          <cell r="F236">
            <v>133047.0296598922</v>
          </cell>
          <cell r="K236">
            <v>150708.53718043256</v>
          </cell>
        </row>
        <row r="237">
          <cell r="F237">
            <v>132782.10704708408</v>
          </cell>
          <cell r="K237">
            <v>150708.53718043253</v>
          </cell>
        </row>
        <row r="238">
          <cell r="F238">
            <v>132513.21059508386</v>
          </cell>
          <cell r="K238">
            <v>150708.53718043253</v>
          </cell>
        </row>
        <row r="239">
          <cell r="F239">
            <v>132240.28069630364</v>
          </cell>
          <cell r="K239">
            <v>150708.53718043256</v>
          </cell>
        </row>
        <row r="240">
          <cell r="F240">
            <v>131963.2568490417</v>
          </cell>
          <cell r="K240">
            <v>150708.53718043253</v>
          </cell>
        </row>
        <row r="241">
          <cell r="F241">
            <v>131682.07764407081</v>
          </cell>
          <cell r="K241">
            <v>150708.53718043253</v>
          </cell>
        </row>
        <row r="242">
          <cell r="F242">
            <v>131396.68075102541</v>
          </cell>
          <cell r="K242">
            <v>150708.53718043253</v>
          </cell>
        </row>
        <row r="243">
          <cell r="F243">
            <v>131107.00290458431</v>
          </cell>
          <cell r="K243">
            <v>150708.53718043256</v>
          </cell>
        </row>
        <row r="244">
          <cell r="F244">
            <v>130812.9798904466</v>
          </cell>
          <cell r="K244">
            <v>150708.53718043256</v>
          </cell>
        </row>
        <row r="245">
          <cell r="F245">
            <v>130514.54653109678</v>
          </cell>
          <cell r="K245">
            <v>150708.53718043253</v>
          </cell>
        </row>
        <row r="246">
          <cell r="F246">
            <v>130211.63667135675</v>
          </cell>
          <cell r="K246">
            <v>150708.53718043253</v>
          </cell>
        </row>
        <row r="247">
          <cell r="F247">
            <v>129904.18316372062</v>
          </cell>
          <cell r="K247">
            <v>150708.53718043253</v>
          </cell>
        </row>
        <row r="248">
          <cell r="F248">
            <v>129592.11785346994</v>
          </cell>
          <cell r="K248">
            <v>150708.53718043253</v>
          </cell>
        </row>
        <row r="249">
          <cell r="F249">
            <v>129275.3715635655</v>
          </cell>
          <cell r="K249">
            <v>150708.53718043253</v>
          </cell>
        </row>
        <row r="250">
          <cell r="F250">
            <v>128953.8740793125</v>
          </cell>
          <cell r="K250">
            <v>150708.53718043256</v>
          </cell>
        </row>
        <row r="251">
          <cell r="F251">
            <v>128627.5541327957</v>
          </cell>
          <cell r="K251">
            <v>150708.53718043256</v>
          </cell>
        </row>
        <row r="252">
          <cell r="F252">
            <v>128296.33938708113</v>
          </cell>
          <cell r="K252">
            <v>150708.53718043253</v>
          </cell>
        </row>
        <row r="253">
          <cell r="F253">
            <v>127960.15642018088</v>
          </cell>
          <cell r="K253">
            <v>150708.53718043256</v>
          </cell>
        </row>
        <row r="254">
          <cell r="F254">
            <v>127618.9307087771</v>
          </cell>
          <cell r="K254">
            <v>150708.53718043256</v>
          </cell>
        </row>
        <row r="255">
          <cell r="F255">
            <v>127272.58661170227</v>
          </cell>
          <cell r="K255">
            <v>150708.53718043253</v>
          </cell>
        </row>
        <row r="256">
          <cell r="F256">
            <v>126921.04735317131</v>
          </cell>
          <cell r="K256">
            <v>150708.53718043253</v>
          </cell>
        </row>
        <row r="257">
          <cell r="F257">
            <v>126564.23500576237</v>
          </cell>
          <cell r="K257">
            <v>150708.53718043253</v>
          </cell>
        </row>
        <row r="258">
          <cell r="F258">
            <v>126202.07047314235</v>
          </cell>
          <cell r="K258">
            <v>150708.53718043256</v>
          </cell>
        </row>
        <row r="259">
          <cell r="F259">
            <v>125834.47347253298</v>
          </cell>
          <cell r="K259">
            <v>150708.53718043253</v>
          </cell>
        </row>
        <row r="260">
          <cell r="F260">
            <v>125461.36251691449</v>
          </cell>
          <cell r="K260">
            <v>150708.53718043253</v>
          </cell>
        </row>
        <row r="261">
          <cell r="F261">
            <v>125082.65489696174</v>
          </cell>
          <cell r="K261">
            <v>150708.53718043256</v>
          </cell>
        </row>
        <row r="262">
          <cell r="F262">
            <v>124698.26666270966</v>
          </cell>
          <cell r="K262">
            <v>150708.53718043253</v>
          </cell>
        </row>
        <row r="263">
          <cell r="F263">
            <v>124308.11260494382</v>
          </cell>
          <cell r="K263">
            <v>150708.53718043253</v>
          </cell>
        </row>
        <row r="264">
          <cell r="F264">
            <v>123912.10623631149</v>
          </cell>
          <cell r="K264">
            <v>150708.53718043253</v>
          </cell>
        </row>
        <row r="265">
          <cell r="F265">
            <v>123510.15977214968</v>
          </cell>
          <cell r="K265">
            <v>150708.53718043256</v>
          </cell>
        </row>
        <row r="266">
          <cell r="F266">
            <v>123102.18411102545</v>
          </cell>
          <cell r="K266">
            <v>150708.53718043256</v>
          </cell>
        </row>
        <row r="267">
          <cell r="F267">
            <v>122688.08881498434</v>
          </cell>
          <cell r="K267">
            <v>150708.53718043256</v>
          </cell>
        </row>
        <row r="268">
          <cell r="F268">
            <v>122267.78208950261</v>
          </cell>
          <cell r="K268">
            <v>150708.53718043256</v>
          </cell>
        </row>
        <row r="269">
          <cell r="F269">
            <v>121841.17076313864</v>
          </cell>
          <cell r="K269">
            <v>150708.53718043253</v>
          </cell>
        </row>
        <row r="270">
          <cell r="F270">
            <v>121408.16026687925</v>
          </cell>
          <cell r="K270">
            <v>150708.53718043256</v>
          </cell>
        </row>
        <row r="271">
          <cell r="F271">
            <v>120968.65461317594</v>
          </cell>
          <cell r="K271">
            <v>150708.53718043253</v>
          </cell>
        </row>
        <row r="272">
          <cell r="F272">
            <v>120522.55637466711</v>
          </cell>
          <cell r="K272">
            <v>150708.53718043256</v>
          </cell>
        </row>
        <row r="273">
          <cell r="F273">
            <v>120069.76666258062</v>
          </cell>
          <cell r="K273">
            <v>150708.53718043253</v>
          </cell>
        </row>
        <row r="274">
          <cell r="F274">
            <v>119610.18510481283</v>
          </cell>
          <cell r="K274">
            <v>150708.53718043253</v>
          </cell>
        </row>
        <row r="275">
          <cell r="F275">
            <v>119143.70982367854</v>
          </cell>
          <cell r="K275">
            <v>150708.53718043253</v>
          </cell>
        </row>
        <row r="276">
          <cell r="F276">
            <v>118670.23741332724</v>
          </cell>
          <cell r="K276">
            <v>150708.53718043256</v>
          </cell>
        </row>
        <row r="277">
          <cell r="F277">
            <v>118189.66291682066</v>
          </cell>
          <cell r="K277">
            <v>150708.53718043256</v>
          </cell>
        </row>
        <row r="278">
          <cell r="F278">
            <v>117701.87980286646</v>
          </cell>
          <cell r="K278">
            <v>150708.53718043253</v>
          </cell>
        </row>
        <row r="279">
          <cell r="F279">
            <v>117206.77994220298</v>
          </cell>
          <cell r="K279">
            <v>150708.53718043253</v>
          </cell>
        </row>
        <row r="280">
          <cell r="F280">
            <v>116704.25358362954</v>
          </cell>
          <cell r="K280">
            <v>150708.53718043256</v>
          </cell>
        </row>
        <row r="281">
          <cell r="F281">
            <v>116194.18932967748</v>
          </cell>
          <cell r="K281">
            <v>150708.53718043253</v>
          </cell>
        </row>
        <row r="282">
          <cell r="F282">
            <v>115676.47411191616</v>
          </cell>
          <cell r="K282">
            <v>150708.53718043253</v>
          </cell>
        </row>
        <row r="283">
          <cell r="F283">
            <v>115150.99316588842</v>
          </cell>
          <cell r="K283">
            <v>150708.53718043253</v>
          </cell>
        </row>
        <row r="284">
          <cell r="F284">
            <v>114617.63000567025</v>
          </cell>
          <cell r="K284">
            <v>150708.53718043253</v>
          </cell>
        </row>
        <row r="285">
          <cell r="F285">
            <v>114076.26639804883</v>
          </cell>
          <cell r="K285">
            <v>150708.53718043253</v>
          </cell>
        </row>
        <row r="286">
          <cell r="F286">
            <v>113526.78233631307</v>
          </cell>
          <cell r="K286">
            <v>150708.53718043256</v>
          </cell>
        </row>
        <row r="287">
          <cell r="F287">
            <v>112969.05601365126</v>
          </cell>
          <cell r="K287">
            <v>150708.53718043253</v>
          </cell>
        </row>
        <row r="288">
          <cell r="F288">
            <v>112402.96379614955</v>
          </cell>
          <cell r="K288">
            <v>150708.53718043253</v>
          </cell>
        </row>
        <row r="289">
          <cell r="F289">
            <v>111828.38019538531</v>
          </cell>
          <cell r="K289">
            <v>150708.53718043253</v>
          </cell>
        </row>
        <row r="290">
          <cell r="F290">
            <v>111245.1778406096</v>
          </cell>
          <cell r="K290">
            <v>150708.53718043253</v>
          </cell>
        </row>
        <row r="291">
          <cell r="F291">
            <v>110653.22745051226</v>
          </cell>
          <cell r="K291">
            <v>150708.53718043256</v>
          </cell>
        </row>
        <row r="292">
          <cell r="F292">
            <v>110052.39780456344</v>
          </cell>
          <cell r="K292">
            <v>150708.53718043253</v>
          </cell>
        </row>
        <row r="293">
          <cell r="F293">
            <v>109442.55571392542</v>
          </cell>
          <cell r="K293">
            <v>150708.53718043253</v>
          </cell>
        </row>
        <row r="294">
          <cell r="F294">
            <v>108823.56599192781</v>
          </cell>
          <cell r="K294">
            <v>150708.53718043253</v>
          </cell>
        </row>
        <row r="295">
          <cell r="F295">
            <v>108195.29142410024</v>
          </cell>
          <cell r="K295">
            <v>150708.53718043253</v>
          </cell>
        </row>
        <row r="296">
          <cell r="F296">
            <v>107557.59273775527</v>
          </cell>
          <cell r="K296">
            <v>150708.53718043256</v>
          </cell>
        </row>
        <row r="297">
          <cell r="F297">
            <v>106910.32857111511</v>
          </cell>
          <cell r="K297">
            <v>150708.53718043256</v>
          </cell>
        </row>
        <row r="298">
          <cell r="F298">
            <v>106253.35544197533</v>
          </cell>
          <cell r="K298">
            <v>150708.53718043253</v>
          </cell>
        </row>
        <row r="299">
          <cell r="F299">
            <v>105586.5277158985</v>
          </cell>
          <cell r="K299">
            <v>150708.53718043256</v>
          </cell>
        </row>
        <row r="300">
          <cell r="F300">
            <v>104909.69757393046</v>
          </cell>
          <cell r="K300">
            <v>150708.53718043253</v>
          </cell>
        </row>
        <row r="301">
          <cell r="F301">
            <v>104222.71497983295</v>
          </cell>
          <cell r="K301">
            <v>150708.53718043256</v>
          </cell>
        </row>
        <row r="302">
          <cell r="F302">
            <v>103525.42764682394</v>
          </cell>
          <cell r="K302">
            <v>150708.53718043253</v>
          </cell>
        </row>
        <row r="303">
          <cell r="F303">
            <v>102817.6810038198</v>
          </cell>
          <cell r="K303">
            <v>150708.53718043253</v>
          </cell>
        </row>
        <row r="304">
          <cell r="F304">
            <v>102099.31816117062</v>
          </cell>
          <cell r="K304">
            <v>150708.53718043256</v>
          </cell>
        </row>
        <row r="305">
          <cell r="F305">
            <v>101370.1798758817</v>
          </cell>
          <cell r="K305">
            <v>150708.53718043256</v>
          </cell>
        </row>
        <row r="306">
          <cell r="F306">
            <v>100630.10451631343</v>
          </cell>
          <cell r="K306">
            <v>150708.53718043253</v>
          </cell>
        </row>
        <row r="307">
          <cell r="F307">
            <v>99878.928026351627</v>
          </cell>
          <cell r="K307">
            <v>150708.53718043253</v>
          </cell>
        </row>
        <row r="308">
          <cell r="F308">
            <v>99116.483889040421</v>
          </cell>
          <cell r="K308">
            <v>150708.53718043253</v>
          </cell>
        </row>
        <row r="309">
          <cell r="F309">
            <v>98342.603089669559</v>
          </cell>
          <cell r="K309">
            <v>150708.53718043256</v>
          </cell>
        </row>
        <row r="310">
          <cell r="F310">
            <v>97557.114078308106</v>
          </cell>
          <cell r="K310">
            <v>150708.53718043256</v>
          </cell>
        </row>
        <row r="311">
          <cell r="F311">
            <v>96759.842731776254</v>
          </cell>
          <cell r="K311">
            <v>150708.53718043256</v>
          </cell>
        </row>
        <row r="312">
          <cell r="F312">
            <v>95950.612315046397</v>
          </cell>
          <cell r="K312">
            <v>150708.53718043253</v>
          </cell>
        </row>
        <row r="313">
          <cell r="F313">
            <v>95129.243442065606</v>
          </cell>
          <cell r="K313">
            <v>150708.53718043253</v>
          </cell>
        </row>
        <row r="314">
          <cell r="F314">
            <v>94295.554035990106</v>
          </cell>
          <cell r="K314">
            <v>150708.53718043256</v>
          </cell>
        </row>
        <row r="315">
          <cell r="F315">
            <v>93449.359288823442</v>
          </cell>
          <cell r="K315">
            <v>150708.53718043253</v>
          </cell>
        </row>
        <row r="316">
          <cell r="F316">
            <v>92590.471620449331</v>
          </cell>
          <cell r="K316">
            <v>150708.53718043256</v>
          </cell>
        </row>
        <row r="317">
          <cell r="F317">
            <v>91718.70063704958</v>
          </cell>
          <cell r="K317">
            <v>150708.53718043256</v>
          </cell>
        </row>
        <row r="318">
          <cell r="F318">
            <v>90833.853088898832</v>
          </cell>
          <cell r="K318">
            <v>150708.53718043253</v>
          </cell>
        </row>
        <row r="319">
          <cell r="F319">
            <v>89935.732827525833</v>
          </cell>
          <cell r="K319">
            <v>150708.53718043253</v>
          </cell>
        </row>
        <row r="320">
          <cell r="F320">
            <v>89024.140762232244</v>
          </cell>
          <cell r="K320">
            <v>150708.53718043256</v>
          </cell>
        </row>
        <row r="321">
          <cell r="F321">
            <v>88098.874815959221</v>
          </cell>
          <cell r="K321">
            <v>150708.53718043253</v>
          </cell>
        </row>
        <row r="322">
          <cell r="F322">
            <v>87159.729880492145</v>
          </cell>
          <cell r="K322">
            <v>150708.53718043256</v>
          </cell>
        </row>
        <row r="323">
          <cell r="F323">
            <v>86206.497770993024</v>
          </cell>
          <cell r="K323">
            <v>150708.53718043253</v>
          </cell>
        </row>
        <row r="324">
          <cell r="F324">
            <v>85238.967179851417</v>
          </cell>
          <cell r="K324">
            <v>150708.53718043253</v>
          </cell>
        </row>
        <row r="325">
          <cell r="F325">
            <v>84256.923629842684</v>
          </cell>
          <cell r="K325">
            <v>150708.53718043253</v>
          </cell>
        </row>
        <row r="326">
          <cell r="F326">
            <v>83260.149426583885</v>
          </cell>
          <cell r="K326">
            <v>150708.53718043258</v>
          </cell>
        </row>
        <row r="327">
          <cell r="F327">
            <v>82248.42361027615</v>
          </cell>
          <cell r="K327">
            <v>150708.53718043256</v>
          </cell>
        </row>
        <row r="328">
          <cell r="F328">
            <v>81221.521906723778</v>
          </cell>
          <cell r="K328">
            <v>150708.53718043253</v>
          </cell>
        </row>
        <row r="329">
          <cell r="F329">
            <v>80179.216677618155</v>
          </cell>
          <cell r="K329">
            <v>150708.53718043253</v>
          </cell>
        </row>
        <row r="330">
          <cell r="F330">
            <v>79121.276870075948</v>
          </cell>
          <cell r="K330">
            <v>150708.53718043256</v>
          </cell>
        </row>
        <row r="331">
          <cell r="F331">
            <v>78047.467965420597</v>
          </cell>
          <cell r="K331">
            <v>150708.53718043253</v>
          </cell>
        </row>
        <row r="332">
          <cell r="F332">
            <v>76957.551927195411</v>
          </cell>
          <cell r="K332">
            <v>150708.53718043253</v>
          </cell>
        </row>
        <row r="333">
          <cell r="F333">
            <v>75851.287148396848</v>
          </cell>
          <cell r="K333">
            <v>150708.53718043253</v>
          </cell>
        </row>
        <row r="334">
          <cell r="F334">
            <v>74728.428397916316</v>
          </cell>
          <cell r="K334">
            <v>150708.53718043253</v>
          </cell>
        </row>
        <row r="335">
          <cell r="F335">
            <v>73588.726766178574</v>
          </cell>
          <cell r="K335">
            <v>150708.53718043253</v>
          </cell>
        </row>
        <row r="336">
          <cell r="F336">
            <v>72431.929609964762</v>
          </cell>
          <cell r="K336">
            <v>150708.53718043253</v>
          </cell>
        </row>
        <row r="337">
          <cell r="F337">
            <v>71257.780496407737</v>
          </cell>
          <cell r="K337">
            <v>150708.53718043253</v>
          </cell>
        </row>
        <row r="338">
          <cell r="F338">
            <v>70066.019146147373</v>
          </cell>
          <cell r="K338">
            <v>150708.53718043253</v>
          </cell>
        </row>
        <row r="339">
          <cell r="F339">
            <v>68856.381375633093</v>
          </cell>
          <cell r="K339">
            <v>150708.53718043253</v>
          </cell>
        </row>
        <row r="340">
          <cell r="F340">
            <v>67628.599038561093</v>
          </cell>
          <cell r="K340">
            <v>150708.53718043253</v>
          </cell>
        </row>
        <row r="341">
          <cell r="F341">
            <v>66382.399966433048</v>
          </cell>
          <cell r="K341">
            <v>150708.53718043256</v>
          </cell>
        </row>
        <row r="342">
          <cell r="F342">
            <v>65117.507908223037</v>
          </cell>
          <cell r="K342">
            <v>150708.53718043253</v>
          </cell>
        </row>
        <row r="343">
          <cell r="F343">
            <v>63833.642469139901</v>
          </cell>
          <cell r="K343">
            <v>150708.53718043253</v>
          </cell>
        </row>
        <row r="344">
          <cell r="F344">
            <v>62530.519048470509</v>
          </cell>
          <cell r="K344">
            <v>150708.53718043253</v>
          </cell>
        </row>
        <row r="345">
          <cell r="F345">
            <v>61207.848776491082</v>
          </cell>
          <cell r="K345">
            <v>150708.53718043253</v>
          </cell>
        </row>
        <row r="346">
          <cell r="F346">
            <v>59865.338450431969</v>
          </cell>
          <cell r="K346">
            <v>150708.53718043256</v>
          </cell>
        </row>
        <row r="347">
          <cell r="F347">
            <v>58502.690469481953</v>
          </cell>
          <cell r="K347">
            <v>150708.53718043253</v>
          </cell>
        </row>
        <row r="348">
          <cell r="F348">
            <v>57119.602768817691</v>
          </cell>
          <cell r="K348">
            <v>150708.53718043253</v>
          </cell>
        </row>
        <row r="349">
          <cell r="F349">
            <v>55715.768752643467</v>
          </cell>
          <cell r="K349">
            <v>150708.53718043253</v>
          </cell>
        </row>
        <row r="350">
          <cell r="F350">
            <v>54290.877226226636</v>
          </cell>
          <cell r="K350">
            <v>150708.53718043253</v>
          </cell>
        </row>
        <row r="351">
          <cell r="F351">
            <v>52844.612326913535</v>
          </cell>
          <cell r="K351">
            <v>150708.53718043256</v>
          </cell>
        </row>
        <row r="352">
          <cell r="F352">
            <v>51376.653454110754</v>
          </cell>
          <cell r="K352">
            <v>150708.53718043253</v>
          </cell>
        </row>
        <row r="353">
          <cell r="F353">
            <v>49886.675198215933</v>
          </cell>
          <cell r="K353">
            <v>150708.53718043253</v>
          </cell>
        </row>
        <row r="354">
          <cell r="F354">
            <v>48374.347268482685</v>
          </cell>
          <cell r="K354">
            <v>150708.53718043256</v>
          </cell>
        </row>
        <row r="355">
          <cell r="F355">
            <v>46839.334419803432</v>
          </cell>
          <cell r="K355">
            <v>150708.53718043253</v>
          </cell>
        </row>
        <row r="356">
          <cell r="F356">
            <v>45281.296378393999</v>
          </cell>
          <cell r="K356">
            <v>150708.53718043253</v>
          </cell>
        </row>
        <row r="357">
          <cell r="F357">
            <v>43699.887766363427</v>
          </cell>
          <cell r="K357">
            <v>150708.53718043256</v>
          </cell>
        </row>
        <row r="358">
          <cell r="F358">
            <v>42094.758025152383</v>
          </cell>
          <cell r="K358">
            <v>150708.53718043253</v>
          </cell>
        </row>
        <row r="359">
          <cell r="F359">
            <v>40465.551337823177</v>
          </cell>
          <cell r="K359">
            <v>150708.53718043253</v>
          </cell>
        </row>
        <row r="360">
          <cell r="F360">
            <v>38811.906550184045</v>
          </cell>
          <cell r="K360">
            <v>150708.53718043256</v>
          </cell>
        </row>
        <row r="361">
          <cell r="F361">
            <v>37133.45709073032</v>
          </cell>
          <cell r="K361">
            <v>150708.53718043256</v>
          </cell>
        </row>
        <row r="362">
          <cell r="F362">
            <v>35429.830889384786</v>
          </cell>
          <cell r="K362">
            <v>150708.53718043256</v>
          </cell>
        </row>
        <row r="363">
          <cell r="F363">
            <v>33700.65029501907</v>
          </cell>
          <cell r="K363">
            <v>150708.53718043253</v>
          </cell>
        </row>
        <row r="364">
          <cell r="F364">
            <v>31945.531991737866</v>
          </cell>
          <cell r="K364">
            <v>150708.53718043256</v>
          </cell>
        </row>
        <row r="365">
          <cell r="F365">
            <v>30164.086913907446</v>
          </cell>
          <cell r="K365">
            <v>150708.53718043256</v>
          </cell>
        </row>
        <row r="366">
          <cell r="F366">
            <v>28355.920159909572</v>
          </cell>
          <cell r="K366">
            <v>150708.53718043256</v>
          </cell>
        </row>
        <row r="367">
          <cell r="F367">
            <v>26520.630904601716</v>
          </cell>
          <cell r="K367">
            <v>150708.53718043256</v>
          </cell>
        </row>
        <row r="368">
          <cell r="F368">
            <v>24657.812310464262</v>
          </cell>
          <cell r="K368">
            <v>150708.53718043256</v>
          </cell>
        </row>
        <row r="369">
          <cell r="F369">
            <v>22767.051437414735</v>
          </cell>
          <cell r="K369">
            <v>150708.53718043256</v>
          </cell>
        </row>
        <row r="370">
          <cell r="F370">
            <v>20847.929151269465</v>
          </cell>
          <cell r="K370">
            <v>150708.53718043256</v>
          </cell>
        </row>
        <row r="371">
          <cell r="F371">
            <v>18900.020030832024</v>
          </cell>
          <cell r="K371">
            <v>150708.53718043256</v>
          </cell>
        </row>
        <row r="372">
          <cell r="F372">
            <v>16922.892273588015</v>
          </cell>
          <cell r="K372">
            <v>150708.53718043256</v>
          </cell>
        </row>
        <row r="373">
          <cell r="F373">
            <v>14916.107599985347</v>
          </cell>
          <cell r="K373">
            <v>150708.53718043256</v>
          </cell>
        </row>
        <row r="374">
          <cell r="F374">
            <v>12879.221156278638</v>
          </cell>
          <cell r="K374">
            <v>150708.53718043253</v>
          </cell>
        </row>
        <row r="375">
          <cell r="F375">
            <v>10811.781415916328</v>
          </cell>
          <cell r="K375">
            <v>150708.53718043256</v>
          </cell>
        </row>
        <row r="376">
          <cell r="F376">
            <v>8713.3300794485876</v>
          </cell>
          <cell r="K376">
            <v>150708.53718043253</v>
          </cell>
        </row>
        <row r="377">
          <cell r="F377">
            <v>6583.4019729338288</v>
          </cell>
          <cell r="K377">
            <v>150708.53718043253</v>
          </cell>
        </row>
        <row r="378">
          <cell r="F378">
            <v>4421.524944821349</v>
          </cell>
          <cell r="K378">
            <v>150708.53718043253</v>
          </cell>
        </row>
        <row r="379">
          <cell r="F379">
            <v>2227.2197612871805</v>
          </cell>
          <cell r="K379">
            <v>150708.53718043256</v>
          </cell>
        </row>
        <row r="380">
          <cell r="F380" t="e">
            <v>#NUM!</v>
          </cell>
          <cell r="K380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999"/>
  </sheetPr>
  <dimension ref="C17:D18"/>
  <sheetViews>
    <sheetView showGridLines="0" showRowColHeaders="0" workbookViewId="0">
      <selection activeCell="K13" sqref="K13"/>
    </sheetView>
  </sheetViews>
  <sheetFormatPr baseColWidth="10" defaultColWidth="11.42578125" defaultRowHeight="15"/>
  <sheetData>
    <row r="17" spans="3:4" ht="20.25">
      <c r="C17" s="1"/>
      <c r="D17" s="1"/>
    </row>
    <row r="18" spans="3:4" ht="20.25">
      <c r="C18" s="1"/>
      <c r="D18" s="1"/>
    </row>
  </sheetData>
  <sheetProtection algorithmName="SHA-512" hashValue="JUValrqU3bC87/Vjk5nkWlikvXujayihuokzKbI4IFHEqc9BdflWTycQZUU/3EOntRQHE2VU31XhbYsCOOsVdg==" saltValue="Le5k/sKLuA010Uhfp7XhXg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3"/>
  <sheetViews>
    <sheetView topLeftCell="A25" workbookViewId="0">
      <selection activeCell="C45" sqref="C45"/>
    </sheetView>
  </sheetViews>
  <sheetFormatPr baseColWidth="10" defaultColWidth="11.42578125" defaultRowHeight="15.75"/>
  <cols>
    <col min="1" max="1" width="11.42578125" style="2"/>
    <col min="2" max="2" width="76" style="2" bestFit="1" customWidth="1"/>
    <col min="3" max="3" width="13.85546875" style="2" bestFit="1" customWidth="1"/>
    <col min="4" max="4" width="15.42578125" style="2" customWidth="1"/>
    <col min="5" max="5" width="19.28515625" style="2" bestFit="1" customWidth="1"/>
    <col min="6" max="16384" width="11.42578125" style="2"/>
  </cols>
  <sheetData>
    <row r="1" spans="2:5">
      <c r="B1" s="62"/>
      <c r="C1" s="62"/>
      <c r="D1" s="62"/>
      <c r="E1" s="62"/>
    </row>
    <row r="2" spans="2:5">
      <c r="B2" s="62"/>
      <c r="C2" s="62"/>
      <c r="D2" s="62"/>
      <c r="E2" s="62"/>
    </row>
    <row r="3" spans="2:5">
      <c r="B3" s="62"/>
      <c r="C3" s="62"/>
      <c r="D3" s="62"/>
      <c r="E3" s="62"/>
    </row>
    <row r="4" spans="2:5">
      <c r="B4" s="62"/>
      <c r="C4" s="62"/>
      <c r="D4" s="62"/>
      <c r="E4" s="62"/>
    </row>
    <row r="5" spans="2:5">
      <c r="B5" s="62"/>
      <c r="C5" s="62"/>
      <c r="D5" s="62"/>
      <c r="E5" s="62"/>
    </row>
    <row r="6" spans="2:5">
      <c r="C6" s="3"/>
    </row>
    <row r="7" spans="2:5">
      <c r="B7" s="28" t="s">
        <v>81</v>
      </c>
      <c r="C7" s="4" t="s">
        <v>112</v>
      </c>
      <c r="D7" s="5" t="s">
        <v>82</v>
      </c>
      <c r="E7" s="4" t="s">
        <v>16</v>
      </c>
    </row>
    <row r="8" spans="2:5">
      <c r="B8" s="25" t="s">
        <v>152</v>
      </c>
      <c r="C8" s="50">
        <v>0</v>
      </c>
      <c r="D8" s="51">
        <v>0</v>
      </c>
      <c r="E8" s="6">
        <f t="shared" ref="E8:E14" si="0">SUM(C8:D8)</f>
        <v>0</v>
      </c>
    </row>
    <row r="9" spans="2:5">
      <c r="B9" s="25" t="s">
        <v>83</v>
      </c>
      <c r="C9" s="50">
        <v>0</v>
      </c>
      <c r="D9" s="51">
        <v>0</v>
      </c>
      <c r="E9" s="6">
        <f t="shared" si="0"/>
        <v>0</v>
      </c>
    </row>
    <row r="10" spans="2:5">
      <c r="B10" s="25" t="s">
        <v>84</v>
      </c>
      <c r="C10" s="50">
        <v>0</v>
      </c>
      <c r="D10" s="51">
        <v>0</v>
      </c>
      <c r="E10" s="6">
        <f t="shared" si="0"/>
        <v>0</v>
      </c>
    </row>
    <row r="11" spans="2:5">
      <c r="B11" s="25" t="s">
        <v>85</v>
      </c>
      <c r="C11" s="50">
        <v>0</v>
      </c>
      <c r="D11" s="51">
        <v>0</v>
      </c>
      <c r="E11" s="6">
        <f t="shared" si="0"/>
        <v>0</v>
      </c>
    </row>
    <row r="12" spans="2:5">
      <c r="B12" s="25" t="s">
        <v>86</v>
      </c>
      <c r="C12" s="50">
        <v>0</v>
      </c>
      <c r="D12" s="51">
        <v>0</v>
      </c>
      <c r="E12" s="6">
        <f t="shared" si="0"/>
        <v>0</v>
      </c>
    </row>
    <row r="13" spans="2:5">
      <c r="B13" s="25" t="s">
        <v>242</v>
      </c>
      <c r="C13" s="50">
        <v>0</v>
      </c>
      <c r="D13" s="51">
        <v>0</v>
      </c>
      <c r="E13" s="6">
        <f t="shared" si="0"/>
        <v>0</v>
      </c>
    </row>
    <row r="14" spans="2:5">
      <c r="B14" s="25" t="s">
        <v>87</v>
      </c>
      <c r="C14" s="50">
        <v>0</v>
      </c>
      <c r="D14" s="51">
        <v>0</v>
      </c>
      <c r="E14" s="6">
        <f t="shared" si="0"/>
        <v>0</v>
      </c>
    </row>
    <row r="15" spans="2:5">
      <c r="B15" s="28" t="s">
        <v>88</v>
      </c>
      <c r="C15" s="7">
        <f>SUM(C8:C14)</f>
        <v>0</v>
      </c>
      <c r="D15" s="7">
        <f>SUM(D8:D14)</f>
        <v>0</v>
      </c>
      <c r="E15" s="8">
        <f>SUM(E8:E14)</f>
        <v>0</v>
      </c>
    </row>
    <row r="16" spans="2:5">
      <c r="B16" s="9"/>
      <c r="C16" s="3"/>
    </row>
    <row r="17" spans="2:5">
      <c r="B17" s="38" t="s">
        <v>89</v>
      </c>
      <c r="C17" s="4" t="s">
        <v>112</v>
      </c>
      <c r="D17" s="5" t="s">
        <v>82</v>
      </c>
      <c r="E17" s="4" t="s">
        <v>54</v>
      </c>
    </row>
    <row r="18" spans="2:5">
      <c r="B18" s="26" t="s">
        <v>57</v>
      </c>
      <c r="C18" s="10"/>
      <c r="D18" s="11"/>
      <c r="E18" s="12">
        <f>SUM(E19:E30)</f>
        <v>0</v>
      </c>
    </row>
    <row r="19" spans="2:5">
      <c r="B19" s="24" t="s">
        <v>151</v>
      </c>
      <c r="C19" s="51">
        <v>0</v>
      </c>
      <c r="D19" s="51">
        <v>0</v>
      </c>
      <c r="E19" s="13">
        <f t="shared" ref="E19:E30" si="1">SUM(C19:D19)</f>
        <v>0</v>
      </c>
    </row>
    <row r="20" spans="2:5">
      <c r="B20" s="24" t="s">
        <v>153</v>
      </c>
      <c r="C20" s="51">
        <v>0</v>
      </c>
      <c r="D20" s="51">
        <v>0</v>
      </c>
      <c r="E20" s="13">
        <f t="shared" si="1"/>
        <v>0</v>
      </c>
    </row>
    <row r="21" spans="2:5">
      <c r="B21" s="24" t="s">
        <v>147</v>
      </c>
      <c r="C21" s="51">
        <v>0</v>
      </c>
      <c r="D21" s="51">
        <v>0</v>
      </c>
      <c r="E21" s="13">
        <f t="shared" si="1"/>
        <v>0</v>
      </c>
    </row>
    <row r="22" spans="2:5">
      <c r="B22" s="24" t="s">
        <v>154</v>
      </c>
      <c r="C22" s="51">
        <v>0</v>
      </c>
      <c r="D22" s="51">
        <v>0</v>
      </c>
      <c r="E22" s="13">
        <f t="shared" si="1"/>
        <v>0</v>
      </c>
    </row>
    <row r="23" spans="2:5">
      <c r="B23" s="24" t="s">
        <v>215</v>
      </c>
      <c r="C23" s="51">
        <v>0</v>
      </c>
      <c r="D23" s="51">
        <v>0</v>
      </c>
      <c r="E23" s="13">
        <f t="shared" si="1"/>
        <v>0</v>
      </c>
    </row>
    <row r="24" spans="2:5">
      <c r="B24" s="24" t="s">
        <v>155</v>
      </c>
      <c r="C24" s="51">
        <v>0</v>
      </c>
      <c r="D24" s="51">
        <v>0</v>
      </c>
      <c r="E24" s="13">
        <f t="shared" si="1"/>
        <v>0</v>
      </c>
    </row>
    <row r="25" spans="2:5">
      <c r="B25" s="24" t="s">
        <v>156</v>
      </c>
      <c r="C25" s="51">
        <v>0</v>
      </c>
      <c r="D25" s="51">
        <v>0</v>
      </c>
      <c r="E25" s="13">
        <f t="shared" si="1"/>
        <v>0</v>
      </c>
    </row>
    <row r="26" spans="2:5">
      <c r="B26" s="24" t="s">
        <v>19</v>
      </c>
      <c r="C26" s="51">
        <v>0</v>
      </c>
      <c r="D26" s="51">
        <v>0</v>
      </c>
      <c r="E26" s="13">
        <f t="shared" si="1"/>
        <v>0</v>
      </c>
    </row>
    <row r="27" spans="2:5">
      <c r="B27" s="24" t="s">
        <v>20</v>
      </c>
      <c r="C27" s="51">
        <v>0</v>
      </c>
      <c r="D27" s="51">
        <v>0</v>
      </c>
      <c r="E27" s="13">
        <f t="shared" si="1"/>
        <v>0</v>
      </c>
    </row>
    <row r="28" spans="2:5">
      <c r="B28" s="24" t="s">
        <v>157</v>
      </c>
      <c r="C28" s="51">
        <v>0</v>
      </c>
      <c r="D28" s="51">
        <v>0</v>
      </c>
      <c r="E28" s="13">
        <f t="shared" si="1"/>
        <v>0</v>
      </c>
    </row>
    <row r="29" spans="2:5">
      <c r="B29" s="24" t="s">
        <v>216</v>
      </c>
      <c r="C29" s="51">
        <v>0</v>
      </c>
      <c r="D29" s="51">
        <v>0</v>
      </c>
      <c r="E29" s="13">
        <f t="shared" si="1"/>
        <v>0</v>
      </c>
    </row>
    <row r="30" spans="2:5">
      <c r="B30" s="24" t="s">
        <v>90</v>
      </c>
      <c r="C30" s="51">
        <v>0</v>
      </c>
      <c r="D30" s="51">
        <v>0</v>
      </c>
      <c r="E30" s="13">
        <f t="shared" si="1"/>
        <v>0</v>
      </c>
    </row>
    <row r="31" spans="2:5">
      <c r="B31" s="26" t="s">
        <v>24</v>
      </c>
      <c r="C31" s="14"/>
      <c r="D31" s="15"/>
      <c r="E31" s="12">
        <f>SUM(E32:E35)</f>
        <v>0</v>
      </c>
    </row>
    <row r="32" spans="2:5">
      <c r="B32" s="24" t="s">
        <v>58</v>
      </c>
      <c r="C32" s="51">
        <v>0</v>
      </c>
      <c r="D32" s="51">
        <v>0</v>
      </c>
      <c r="E32" s="13">
        <f>SUM(C32:D32)</f>
        <v>0</v>
      </c>
    </row>
    <row r="33" spans="2:5">
      <c r="B33" s="24" t="s">
        <v>218</v>
      </c>
      <c r="C33" s="51">
        <v>0</v>
      </c>
      <c r="D33" s="51">
        <v>0</v>
      </c>
      <c r="E33" s="13">
        <f>SUM(C33:D33)</f>
        <v>0</v>
      </c>
    </row>
    <row r="34" spans="2:5">
      <c r="B34" s="24" t="s">
        <v>217</v>
      </c>
      <c r="C34" s="51">
        <v>0</v>
      </c>
      <c r="D34" s="51">
        <v>0</v>
      </c>
      <c r="E34" s="13">
        <f>SUM(C34:D34)</f>
        <v>0</v>
      </c>
    </row>
    <row r="35" spans="2:5">
      <c r="B35" s="24" t="s">
        <v>27</v>
      </c>
      <c r="C35" s="51">
        <v>0</v>
      </c>
      <c r="D35" s="51">
        <v>0</v>
      </c>
      <c r="E35" s="13">
        <f>SUM(C35:D35)</f>
        <v>0</v>
      </c>
    </row>
    <row r="36" spans="2:5">
      <c r="B36" s="26" t="s">
        <v>219</v>
      </c>
      <c r="C36" s="14"/>
      <c r="D36" s="14"/>
      <c r="E36" s="12">
        <f>SUM(E37:E41)</f>
        <v>0</v>
      </c>
    </row>
    <row r="37" spans="2:5">
      <c r="B37" s="24" t="s">
        <v>220</v>
      </c>
      <c r="C37" s="51">
        <v>0</v>
      </c>
      <c r="D37" s="51">
        <v>0</v>
      </c>
      <c r="E37" s="13">
        <f>SUM(C37:D37)</f>
        <v>0</v>
      </c>
    </row>
    <row r="38" spans="2:5">
      <c r="B38" s="24" t="s">
        <v>91</v>
      </c>
      <c r="C38" s="51">
        <v>0</v>
      </c>
      <c r="D38" s="51">
        <v>0</v>
      </c>
      <c r="E38" s="13">
        <f>SUM(C38:D38)</f>
        <v>0</v>
      </c>
    </row>
    <row r="39" spans="2:5">
      <c r="B39" s="24" t="s">
        <v>29</v>
      </c>
      <c r="C39" s="51">
        <v>0</v>
      </c>
      <c r="D39" s="51">
        <v>0</v>
      </c>
      <c r="E39" s="13">
        <f>SUM(C39:D39)</f>
        <v>0</v>
      </c>
    </row>
    <row r="40" spans="2:5">
      <c r="B40" s="24" t="s">
        <v>221</v>
      </c>
      <c r="C40" s="51">
        <v>0</v>
      </c>
      <c r="D40" s="51">
        <v>0</v>
      </c>
      <c r="E40" s="13">
        <f>SUM(C40:D40)</f>
        <v>0</v>
      </c>
    </row>
    <row r="41" spans="2:5">
      <c r="B41" s="24" t="s">
        <v>23</v>
      </c>
      <c r="C41" s="51">
        <v>0</v>
      </c>
      <c r="D41" s="51">
        <v>0</v>
      </c>
      <c r="E41" s="13">
        <f>SUM(C41:D41)</f>
        <v>0</v>
      </c>
    </row>
    <row r="42" spans="2:5">
      <c r="B42" s="26" t="s">
        <v>92</v>
      </c>
      <c r="C42" s="14"/>
      <c r="D42" s="14"/>
      <c r="E42" s="12">
        <f>SUM(E43:E49)</f>
        <v>0</v>
      </c>
    </row>
    <row r="43" spans="2:5">
      <c r="B43" s="24" t="s">
        <v>59</v>
      </c>
      <c r="C43" s="51">
        <v>0</v>
      </c>
      <c r="D43" s="51">
        <v>0</v>
      </c>
      <c r="E43" s="13">
        <f t="shared" ref="E43:E49" si="2">SUM(C43:D43)</f>
        <v>0</v>
      </c>
    </row>
    <row r="44" spans="2:5">
      <c r="B44" s="24" t="s">
        <v>93</v>
      </c>
      <c r="C44" s="51">
        <v>0</v>
      </c>
      <c r="D44" s="51">
        <v>0</v>
      </c>
      <c r="E44" s="13">
        <f t="shared" si="2"/>
        <v>0</v>
      </c>
    </row>
    <row r="45" spans="2:5">
      <c r="B45" s="24" t="s">
        <v>2</v>
      </c>
      <c r="C45" s="51">
        <v>0</v>
      </c>
      <c r="D45" s="51">
        <v>0</v>
      </c>
      <c r="E45" s="13">
        <f t="shared" si="2"/>
        <v>0</v>
      </c>
    </row>
    <row r="46" spans="2:5">
      <c r="B46" s="24" t="s">
        <v>94</v>
      </c>
      <c r="C46" s="51">
        <v>0</v>
      </c>
      <c r="D46" s="51">
        <v>0</v>
      </c>
      <c r="E46" s="13">
        <f t="shared" si="2"/>
        <v>0</v>
      </c>
    </row>
    <row r="47" spans="2:5">
      <c r="B47" s="24" t="s">
        <v>95</v>
      </c>
      <c r="C47" s="51">
        <v>0</v>
      </c>
      <c r="D47" s="51">
        <v>0</v>
      </c>
      <c r="E47" s="13">
        <f t="shared" si="2"/>
        <v>0</v>
      </c>
    </row>
    <row r="48" spans="2:5">
      <c r="B48" s="24" t="s">
        <v>222</v>
      </c>
      <c r="C48" s="51">
        <v>0</v>
      </c>
      <c r="D48" s="51">
        <v>0</v>
      </c>
      <c r="E48" s="13">
        <f t="shared" si="2"/>
        <v>0</v>
      </c>
    </row>
    <row r="49" spans="2:5">
      <c r="B49" s="24" t="s">
        <v>96</v>
      </c>
      <c r="C49" s="51">
        <v>0</v>
      </c>
      <c r="D49" s="51">
        <v>0</v>
      </c>
      <c r="E49" s="13">
        <f t="shared" si="2"/>
        <v>0</v>
      </c>
    </row>
    <row r="50" spans="2:5">
      <c r="B50" s="26" t="s">
        <v>117</v>
      </c>
      <c r="C50" s="14"/>
      <c r="D50" s="14"/>
      <c r="E50" s="12">
        <f>SUM(E51:E58)</f>
        <v>0</v>
      </c>
    </row>
    <row r="51" spans="2:5">
      <c r="B51" s="24" t="s">
        <v>158</v>
      </c>
      <c r="C51" s="51">
        <v>0</v>
      </c>
      <c r="D51" s="51">
        <v>0</v>
      </c>
      <c r="E51" s="13">
        <f t="shared" ref="E51:E58" si="3">SUM(C51:D51)</f>
        <v>0</v>
      </c>
    </row>
    <row r="52" spans="2:5">
      <c r="B52" s="24" t="s">
        <v>162</v>
      </c>
      <c r="C52" s="51">
        <v>0</v>
      </c>
      <c r="D52" s="51">
        <v>0</v>
      </c>
      <c r="E52" s="13">
        <f t="shared" si="3"/>
        <v>0</v>
      </c>
    </row>
    <row r="53" spans="2:5">
      <c r="B53" s="24" t="s">
        <v>211</v>
      </c>
      <c r="C53" s="51">
        <v>0</v>
      </c>
      <c r="D53" s="51">
        <v>0</v>
      </c>
      <c r="E53" s="13">
        <f t="shared" si="3"/>
        <v>0</v>
      </c>
    </row>
    <row r="54" spans="2:5">
      <c r="B54" s="24" t="s">
        <v>159</v>
      </c>
      <c r="C54" s="51">
        <v>0</v>
      </c>
      <c r="D54" s="51">
        <v>0</v>
      </c>
      <c r="E54" s="13">
        <f t="shared" si="3"/>
        <v>0</v>
      </c>
    </row>
    <row r="55" spans="2:5">
      <c r="B55" s="24" t="s">
        <v>160</v>
      </c>
      <c r="C55" s="51">
        <v>0</v>
      </c>
      <c r="D55" s="51">
        <v>0</v>
      </c>
      <c r="E55" s="13">
        <f t="shared" si="3"/>
        <v>0</v>
      </c>
    </row>
    <row r="56" spans="2:5">
      <c r="B56" s="24" t="s">
        <v>161</v>
      </c>
      <c r="C56" s="51">
        <v>0</v>
      </c>
      <c r="D56" s="51">
        <v>0</v>
      </c>
      <c r="E56" s="13">
        <f t="shared" si="3"/>
        <v>0</v>
      </c>
    </row>
    <row r="57" spans="2:5">
      <c r="B57" s="24" t="s">
        <v>61</v>
      </c>
      <c r="C57" s="51">
        <v>0</v>
      </c>
      <c r="D57" s="51">
        <v>0</v>
      </c>
      <c r="E57" s="13">
        <f t="shared" si="3"/>
        <v>0</v>
      </c>
    </row>
    <row r="58" spans="2:5">
      <c r="B58" s="24" t="s">
        <v>212</v>
      </c>
      <c r="C58" s="51">
        <v>0</v>
      </c>
      <c r="D58" s="51">
        <v>0</v>
      </c>
      <c r="E58" s="13">
        <f t="shared" si="3"/>
        <v>0</v>
      </c>
    </row>
    <row r="59" spans="2:5">
      <c r="B59" s="26" t="s">
        <v>97</v>
      </c>
      <c r="C59" s="14"/>
      <c r="D59" s="14"/>
      <c r="E59" s="12">
        <f>SUM(E60:E67)</f>
        <v>0</v>
      </c>
    </row>
    <row r="60" spans="2:5">
      <c r="B60" s="24" t="s">
        <v>158</v>
      </c>
      <c r="C60" s="51">
        <v>0</v>
      </c>
      <c r="D60" s="51">
        <v>0</v>
      </c>
      <c r="E60" s="13">
        <f t="shared" ref="E60:E67" si="4">SUM(C60:D60)</f>
        <v>0</v>
      </c>
    </row>
    <row r="61" spans="2:5">
      <c r="B61" s="24" t="s">
        <v>162</v>
      </c>
      <c r="C61" s="51">
        <v>0</v>
      </c>
      <c r="D61" s="51">
        <v>0</v>
      </c>
      <c r="E61" s="13">
        <f t="shared" si="4"/>
        <v>0</v>
      </c>
    </row>
    <row r="62" spans="2:5">
      <c r="B62" s="24" t="s">
        <v>211</v>
      </c>
      <c r="C62" s="51">
        <v>0</v>
      </c>
      <c r="D62" s="51">
        <v>0</v>
      </c>
      <c r="E62" s="13">
        <f t="shared" si="4"/>
        <v>0</v>
      </c>
    </row>
    <row r="63" spans="2:5">
      <c r="B63" s="24" t="s">
        <v>159</v>
      </c>
      <c r="C63" s="51">
        <v>0</v>
      </c>
      <c r="D63" s="51">
        <v>0</v>
      </c>
      <c r="E63" s="13">
        <f t="shared" si="4"/>
        <v>0</v>
      </c>
    </row>
    <row r="64" spans="2:5">
      <c r="B64" s="24" t="s">
        <v>160</v>
      </c>
      <c r="C64" s="51">
        <v>0</v>
      </c>
      <c r="D64" s="51">
        <v>0</v>
      </c>
      <c r="E64" s="13">
        <f>SUM(C64:D64)</f>
        <v>0</v>
      </c>
    </row>
    <row r="65" spans="2:5">
      <c r="B65" s="24" t="s">
        <v>161</v>
      </c>
      <c r="C65" s="51">
        <v>0</v>
      </c>
      <c r="D65" s="51">
        <v>0</v>
      </c>
      <c r="E65" s="13">
        <f>SUM(C65:D65)</f>
        <v>0</v>
      </c>
    </row>
    <row r="66" spans="2:5">
      <c r="B66" s="24" t="s">
        <v>61</v>
      </c>
      <c r="C66" s="51">
        <v>0</v>
      </c>
      <c r="D66" s="51">
        <v>0</v>
      </c>
      <c r="E66" s="13">
        <f t="shared" si="4"/>
        <v>0</v>
      </c>
    </row>
    <row r="67" spans="2:5">
      <c r="B67" s="24" t="s">
        <v>213</v>
      </c>
      <c r="C67" s="51">
        <v>0</v>
      </c>
      <c r="D67" s="51">
        <v>0</v>
      </c>
      <c r="E67" s="13">
        <f t="shared" si="4"/>
        <v>0</v>
      </c>
    </row>
    <row r="68" spans="2:5">
      <c r="B68" s="26" t="s">
        <v>22</v>
      </c>
      <c r="C68" s="14"/>
      <c r="D68" s="14"/>
      <c r="E68" s="12">
        <f>SUM(E69:E71)</f>
        <v>0</v>
      </c>
    </row>
    <row r="69" spans="2:5">
      <c r="B69" s="24" t="s">
        <v>163</v>
      </c>
      <c r="C69" s="51">
        <v>0</v>
      </c>
      <c r="D69" s="51">
        <v>0</v>
      </c>
      <c r="E69" s="13">
        <f>SUM(C69:D69)</f>
        <v>0</v>
      </c>
    </row>
    <row r="70" spans="2:5">
      <c r="B70" s="24" t="s">
        <v>214</v>
      </c>
      <c r="C70" s="51">
        <v>0</v>
      </c>
      <c r="D70" s="51">
        <v>0</v>
      </c>
      <c r="E70" s="13">
        <f>SUM(C70:D70)</f>
        <v>0</v>
      </c>
    </row>
    <row r="71" spans="2:5">
      <c r="B71" s="24" t="s">
        <v>23</v>
      </c>
      <c r="C71" s="51">
        <v>0</v>
      </c>
      <c r="D71" s="51">
        <v>0</v>
      </c>
      <c r="E71" s="13">
        <f>SUM(C71:D71)</f>
        <v>0</v>
      </c>
    </row>
    <row r="72" spans="2:5">
      <c r="B72" s="26" t="s">
        <v>1</v>
      </c>
      <c r="C72" s="14"/>
      <c r="D72" s="14"/>
      <c r="E72" s="12">
        <f>SUM(E73:E83)</f>
        <v>0</v>
      </c>
    </row>
    <row r="73" spans="2:5">
      <c r="B73" s="24" t="s">
        <v>30</v>
      </c>
      <c r="C73" s="51">
        <v>0</v>
      </c>
      <c r="D73" s="51">
        <v>0</v>
      </c>
      <c r="E73" s="13">
        <f t="shared" ref="E73:E83" si="5">SUM(C73:D73)</f>
        <v>0</v>
      </c>
    </row>
    <row r="74" spans="2:5">
      <c r="B74" s="24" t="s">
        <v>223</v>
      </c>
      <c r="C74" s="51">
        <v>0</v>
      </c>
      <c r="D74" s="51">
        <v>0</v>
      </c>
      <c r="E74" s="13">
        <f t="shared" si="5"/>
        <v>0</v>
      </c>
    </row>
    <row r="75" spans="2:5">
      <c r="B75" s="24" t="s">
        <v>164</v>
      </c>
      <c r="C75" s="51">
        <v>0</v>
      </c>
      <c r="D75" s="51">
        <v>0</v>
      </c>
      <c r="E75" s="13">
        <f t="shared" si="5"/>
        <v>0</v>
      </c>
    </row>
    <row r="76" spans="2:5">
      <c r="B76" s="24" t="s">
        <v>31</v>
      </c>
      <c r="C76" s="51">
        <v>0</v>
      </c>
      <c r="D76" s="51">
        <v>0</v>
      </c>
      <c r="E76" s="13">
        <f t="shared" si="5"/>
        <v>0</v>
      </c>
    </row>
    <row r="77" spans="2:5">
      <c r="B77" s="24" t="s">
        <v>32</v>
      </c>
      <c r="C77" s="51">
        <v>0</v>
      </c>
      <c r="D77" s="51">
        <v>0</v>
      </c>
      <c r="E77" s="13">
        <f t="shared" si="5"/>
        <v>0</v>
      </c>
    </row>
    <row r="78" spans="2:5">
      <c r="B78" s="24" t="s">
        <v>165</v>
      </c>
      <c r="C78" s="51">
        <v>0</v>
      </c>
      <c r="D78" s="51">
        <v>0</v>
      </c>
      <c r="E78" s="13">
        <f t="shared" si="5"/>
        <v>0</v>
      </c>
    </row>
    <row r="79" spans="2:5">
      <c r="B79" s="24" t="s">
        <v>166</v>
      </c>
      <c r="C79" s="51">
        <v>0</v>
      </c>
      <c r="D79" s="51">
        <v>0</v>
      </c>
      <c r="E79" s="13">
        <f t="shared" si="5"/>
        <v>0</v>
      </c>
    </row>
    <row r="80" spans="2:5">
      <c r="B80" s="24" t="s">
        <v>167</v>
      </c>
      <c r="C80" s="51">
        <v>0</v>
      </c>
      <c r="D80" s="51">
        <v>0</v>
      </c>
      <c r="E80" s="13">
        <f t="shared" si="5"/>
        <v>0</v>
      </c>
    </row>
    <row r="81" spans="2:5">
      <c r="B81" s="24" t="s">
        <v>33</v>
      </c>
      <c r="C81" s="51">
        <v>0</v>
      </c>
      <c r="D81" s="51">
        <v>0</v>
      </c>
      <c r="E81" s="13">
        <f t="shared" si="5"/>
        <v>0</v>
      </c>
    </row>
    <row r="82" spans="2:5">
      <c r="B82" s="24" t="s">
        <v>34</v>
      </c>
      <c r="C82" s="51">
        <v>0</v>
      </c>
      <c r="D82" s="51">
        <v>0</v>
      </c>
      <c r="E82" s="13">
        <f t="shared" si="5"/>
        <v>0</v>
      </c>
    </row>
    <row r="83" spans="2:5">
      <c r="B83" s="24" t="s">
        <v>35</v>
      </c>
      <c r="C83" s="51">
        <v>0</v>
      </c>
      <c r="D83" s="51">
        <v>0</v>
      </c>
      <c r="E83" s="13">
        <f t="shared" si="5"/>
        <v>0</v>
      </c>
    </row>
    <row r="84" spans="2:5">
      <c r="B84" s="26" t="s">
        <v>0</v>
      </c>
      <c r="C84" s="14"/>
      <c r="D84" s="14"/>
      <c r="E84" s="12">
        <f>SUM(E85:E89)</f>
        <v>0</v>
      </c>
    </row>
    <row r="85" spans="2:5">
      <c r="B85" s="24" t="s">
        <v>168</v>
      </c>
      <c r="C85" s="51">
        <v>0</v>
      </c>
      <c r="D85" s="51">
        <v>0</v>
      </c>
      <c r="E85" s="13">
        <f>SUM(C85:D85)</f>
        <v>0</v>
      </c>
    </row>
    <row r="86" spans="2:5">
      <c r="B86" s="24" t="s">
        <v>169</v>
      </c>
      <c r="C86" s="51">
        <v>0</v>
      </c>
      <c r="D86" s="51">
        <v>0</v>
      </c>
      <c r="E86" s="13">
        <f>SUM(C86:D86)</f>
        <v>0</v>
      </c>
    </row>
    <row r="87" spans="2:5">
      <c r="B87" s="24" t="s">
        <v>170</v>
      </c>
      <c r="C87" s="51">
        <v>0</v>
      </c>
      <c r="D87" s="51">
        <v>0</v>
      </c>
      <c r="E87" s="13">
        <f>SUM(C87:D87)</f>
        <v>0</v>
      </c>
    </row>
    <row r="88" spans="2:5">
      <c r="B88" s="24" t="s">
        <v>62</v>
      </c>
      <c r="C88" s="51">
        <v>0</v>
      </c>
      <c r="D88" s="51">
        <v>0</v>
      </c>
      <c r="E88" s="13">
        <f>SUM(C88:D88)</f>
        <v>0</v>
      </c>
    </row>
    <row r="89" spans="2:5">
      <c r="B89" s="24" t="s">
        <v>63</v>
      </c>
      <c r="C89" s="51">
        <v>0</v>
      </c>
      <c r="D89" s="51">
        <v>0</v>
      </c>
      <c r="E89" s="13">
        <f>SUM(C89:D89)</f>
        <v>0</v>
      </c>
    </row>
    <row r="90" spans="2:5">
      <c r="B90" s="26" t="s">
        <v>37</v>
      </c>
      <c r="C90" s="14"/>
      <c r="D90" s="14"/>
      <c r="E90" s="12">
        <f>SUM(E91:E97)</f>
        <v>0</v>
      </c>
    </row>
    <row r="91" spans="2:5">
      <c r="B91" s="24" t="s">
        <v>115</v>
      </c>
      <c r="C91" s="51">
        <v>0</v>
      </c>
      <c r="D91" s="51">
        <v>0</v>
      </c>
      <c r="E91" s="13">
        <f t="shared" ref="E91:E97" si="6">SUM(C91:D91)</f>
        <v>0</v>
      </c>
    </row>
    <row r="92" spans="2:5">
      <c r="B92" s="24" t="s">
        <v>64</v>
      </c>
      <c r="C92" s="51">
        <v>0</v>
      </c>
      <c r="D92" s="51">
        <v>0</v>
      </c>
      <c r="E92" s="13">
        <f t="shared" si="6"/>
        <v>0</v>
      </c>
    </row>
    <row r="93" spans="2:5">
      <c r="B93" s="24" t="s">
        <v>190</v>
      </c>
      <c r="C93" s="51">
        <v>0</v>
      </c>
      <c r="D93" s="51">
        <v>0</v>
      </c>
      <c r="E93" s="13">
        <f t="shared" si="6"/>
        <v>0</v>
      </c>
    </row>
    <row r="94" spans="2:5">
      <c r="B94" s="24" t="s">
        <v>65</v>
      </c>
      <c r="C94" s="51">
        <v>0</v>
      </c>
      <c r="D94" s="51">
        <v>0</v>
      </c>
      <c r="E94" s="13">
        <f t="shared" si="6"/>
        <v>0</v>
      </c>
    </row>
    <row r="95" spans="2:5">
      <c r="B95" s="24" t="s">
        <v>119</v>
      </c>
      <c r="C95" s="51">
        <v>0</v>
      </c>
      <c r="D95" s="51">
        <v>0</v>
      </c>
      <c r="E95" s="13">
        <f t="shared" si="6"/>
        <v>0</v>
      </c>
    </row>
    <row r="96" spans="2:5">
      <c r="B96" s="24" t="s">
        <v>118</v>
      </c>
      <c r="C96" s="51">
        <v>0</v>
      </c>
      <c r="D96" s="51">
        <v>0</v>
      </c>
      <c r="E96" s="13">
        <f t="shared" si="6"/>
        <v>0</v>
      </c>
    </row>
    <row r="97" spans="2:5">
      <c r="B97" s="24" t="s">
        <v>39</v>
      </c>
      <c r="C97" s="51">
        <v>0</v>
      </c>
      <c r="D97" s="51">
        <v>0</v>
      </c>
      <c r="E97" s="13">
        <f t="shared" si="6"/>
        <v>0</v>
      </c>
    </row>
    <row r="98" spans="2:5">
      <c r="B98" s="26" t="s">
        <v>181</v>
      </c>
      <c r="C98" s="14"/>
      <c r="D98" s="14"/>
      <c r="E98" s="12">
        <f>SUM(E99:E106)</f>
        <v>0</v>
      </c>
    </row>
    <row r="99" spans="2:5">
      <c r="B99" s="24" t="s">
        <v>182</v>
      </c>
      <c r="C99" s="51">
        <v>0</v>
      </c>
      <c r="D99" s="51">
        <v>0</v>
      </c>
      <c r="E99" s="13">
        <f t="shared" ref="E99:E106" si="7">SUM(C99:D99)</f>
        <v>0</v>
      </c>
    </row>
    <row r="100" spans="2:5">
      <c r="B100" s="24" t="s">
        <v>183</v>
      </c>
      <c r="C100" s="51">
        <v>0</v>
      </c>
      <c r="D100" s="51">
        <v>0</v>
      </c>
      <c r="E100" s="13">
        <f t="shared" si="7"/>
        <v>0</v>
      </c>
    </row>
    <row r="101" spans="2:5">
      <c r="B101" s="24" t="s">
        <v>185</v>
      </c>
      <c r="C101" s="51">
        <v>0</v>
      </c>
      <c r="D101" s="51">
        <v>0</v>
      </c>
      <c r="E101" s="13">
        <f t="shared" si="7"/>
        <v>0</v>
      </c>
    </row>
    <row r="102" spans="2:5">
      <c r="B102" s="24" t="s">
        <v>186</v>
      </c>
      <c r="C102" s="51">
        <v>0</v>
      </c>
      <c r="D102" s="51">
        <v>0</v>
      </c>
      <c r="E102" s="13">
        <f t="shared" si="7"/>
        <v>0</v>
      </c>
    </row>
    <row r="103" spans="2:5">
      <c r="B103" s="24" t="s">
        <v>184</v>
      </c>
      <c r="C103" s="51">
        <v>0</v>
      </c>
      <c r="D103" s="51">
        <v>0</v>
      </c>
      <c r="E103" s="13">
        <f t="shared" si="7"/>
        <v>0</v>
      </c>
    </row>
    <row r="104" spans="2:5">
      <c r="B104" s="24" t="s">
        <v>67</v>
      </c>
      <c r="C104" s="51">
        <v>0</v>
      </c>
      <c r="D104" s="51">
        <v>0</v>
      </c>
      <c r="E104" s="13">
        <f t="shared" si="7"/>
        <v>0</v>
      </c>
    </row>
    <row r="105" spans="2:5">
      <c r="B105" s="24" t="s">
        <v>68</v>
      </c>
      <c r="C105" s="51">
        <v>0</v>
      </c>
      <c r="D105" s="51">
        <v>0</v>
      </c>
      <c r="E105" s="13">
        <f t="shared" si="7"/>
        <v>0</v>
      </c>
    </row>
    <row r="106" spans="2:5">
      <c r="B106" s="24" t="s">
        <v>224</v>
      </c>
      <c r="C106" s="51">
        <v>0</v>
      </c>
      <c r="D106" s="51">
        <v>0</v>
      </c>
      <c r="E106" s="13">
        <f t="shared" si="7"/>
        <v>0</v>
      </c>
    </row>
    <row r="107" spans="2:5">
      <c r="B107" s="26" t="s">
        <v>171</v>
      </c>
      <c r="C107" s="14"/>
      <c r="D107" s="14"/>
      <c r="E107" s="12">
        <f>SUM(E108:E121)</f>
        <v>0</v>
      </c>
    </row>
    <row r="108" spans="2:5">
      <c r="B108" s="24" t="s">
        <v>172</v>
      </c>
      <c r="C108" s="51">
        <v>0</v>
      </c>
      <c r="D108" s="51">
        <v>0</v>
      </c>
      <c r="E108" s="13">
        <f t="shared" ref="E108:E121" si="8">SUM(C108:D108)</f>
        <v>0</v>
      </c>
    </row>
    <row r="109" spans="2:5">
      <c r="B109" s="24" t="s">
        <v>241</v>
      </c>
      <c r="C109" s="51">
        <v>0</v>
      </c>
      <c r="D109" s="51">
        <v>0</v>
      </c>
      <c r="E109" s="13">
        <f t="shared" si="8"/>
        <v>0</v>
      </c>
    </row>
    <row r="110" spans="2:5">
      <c r="B110" s="24" t="s">
        <v>209</v>
      </c>
      <c r="C110" s="51">
        <v>0</v>
      </c>
      <c r="D110" s="51">
        <v>0</v>
      </c>
      <c r="E110" s="13">
        <f t="shared" si="8"/>
        <v>0</v>
      </c>
    </row>
    <row r="111" spans="2:5">
      <c r="B111" s="24" t="s">
        <v>173</v>
      </c>
      <c r="C111" s="51">
        <v>0</v>
      </c>
      <c r="D111" s="51">
        <v>0</v>
      </c>
      <c r="E111" s="13">
        <f t="shared" si="8"/>
        <v>0</v>
      </c>
    </row>
    <row r="112" spans="2:5">
      <c r="B112" s="24" t="s">
        <v>66</v>
      </c>
      <c r="C112" s="51">
        <v>0</v>
      </c>
      <c r="D112" s="51">
        <v>0</v>
      </c>
      <c r="E112" s="13">
        <f t="shared" si="8"/>
        <v>0</v>
      </c>
    </row>
    <row r="113" spans="2:5">
      <c r="B113" s="24" t="s">
        <v>174</v>
      </c>
      <c r="C113" s="51">
        <v>0</v>
      </c>
      <c r="D113" s="51">
        <v>0</v>
      </c>
      <c r="E113" s="13">
        <f t="shared" si="8"/>
        <v>0</v>
      </c>
    </row>
    <row r="114" spans="2:5">
      <c r="B114" s="24" t="s">
        <v>175</v>
      </c>
      <c r="C114" s="51">
        <v>0</v>
      </c>
      <c r="D114" s="51">
        <v>0</v>
      </c>
      <c r="E114" s="13">
        <f t="shared" si="8"/>
        <v>0</v>
      </c>
    </row>
    <row r="115" spans="2:5">
      <c r="B115" s="24" t="s">
        <v>176</v>
      </c>
      <c r="C115" s="51">
        <v>0</v>
      </c>
      <c r="D115" s="51">
        <v>0</v>
      </c>
      <c r="E115" s="13">
        <f t="shared" si="8"/>
        <v>0</v>
      </c>
    </row>
    <row r="116" spans="2:5">
      <c r="B116" s="24" t="s">
        <v>177</v>
      </c>
      <c r="C116" s="51">
        <v>0</v>
      </c>
      <c r="D116" s="51">
        <v>0</v>
      </c>
      <c r="E116" s="13">
        <f t="shared" si="8"/>
        <v>0</v>
      </c>
    </row>
    <row r="117" spans="2:5">
      <c r="B117" s="24" t="s">
        <v>52</v>
      </c>
      <c r="C117" s="51">
        <v>0</v>
      </c>
      <c r="D117" s="51">
        <v>0</v>
      </c>
      <c r="E117" s="13">
        <f t="shared" si="8"/>
        <v>0</v>
      </c>
    </row>
    <row r="118" spans="2:5">
      <c r="B118" s="24" t="s">
        <v>178</v>
      </c>
      <c r="C118" s="51">
        <v>0</v>
      </c>
      <c r="D118" s="51">
        <v>0</v>
      </c>
      <c r="E118" s="13">
        <f t="shared" si="8"/>
        <v>0</v>
      </c>
    </row>
    <row r="119" spans="2:5">
      <c r="B119" s="24" t="s">
        <v>179</v>
      </c>
      <c r="C119" s="51">
        <v>0</v>
      </c>
      <c r="D119" s="51">
        <v>0</v>
      </c>
      <c r="E119" s="13">
        <f t="shared" si="8"/>
        <v>0</v>
      </c>
    </row>
    <row r="120" spans="2:5">
      <c r="B120" s="24" t="s">
        <v>180</v>
      </c>
      <c r="C120" s="51">
        <v>0</v>
      </c>
      <c r="D120" s="51">
        <v>0</v>
      </c>
      <c r="E120" s="13">
        <f t="shared" si="8"/>
        <v>0</v>
      </c>
    </row>
    <row r="121" spans="2:5">
      <c r="B121" s="24" t="s">
        <v>187</v>
      </c>
      <c r="C121" s="51">
        <v>0</v>
      </c>
      <c r="D121" s="51">
        <v>0</v>
      </c>
      <c r="E121" s="13">
        <f t="shared" si="8"/>
        <v>0</v>
      </c>
    </row>
    <row r="122" spans="2:5">
      <c r="B122" s="26" t="s">
        <v>69</v>
      </c>
      <c r="C122" s="14"/>
      <c r="D122" s="14"/>
      <c r="E122" s="12">
        <f>SUM(E123:E129)</f>
        <v>0</v>
      </c>
    </row>
    <row r="123" spans="2:5">
      <c r="B123" s="24" t="s">
        <v>188</v>
      </c>
      <c r="C123" s="51">
        <v>0</v>
      </c>
      <c r="D123" s="51">
        <v>0</v>
      </c>
      <c r="E123" s="13">
        <f t="shared" ref="E123:E129" si="9">SUM(C123:D123)</f>
        <v>0</v>
      </c>
    </row>
    <row r="124" spans="2:5">
      <c r="B124" s="24" t="s">
        <v>60</v>
      </c>
      <c r="C124" s="51">
        <v>0</v>
      </c>
      <c r="D124" s="51">
        <v>0</v>
      </c>
      <c r="E124" s="13">
        <f t="shared" si="9"/>
        <v>0</v>
      </c>
    </row>
    <row r="125" spans="2:5">
      <c r="B125" s="24" t="s">
        <v>121</v>
      </c>
      <c r="C125" s="51">
        <v>0</v>
      </c>
      <c r="D125" s="51">
        <v>0</v>
      </c>
      <c r="E125" s="13">
        <f t="shared" si="9"/>
        <v>0</v>
      </c>
    </row>
    <row r="126" spans="2:5">
      <c r="B126" s="24" t="s">
        <v>120</v>
      </c>
      <c r="C126" s="51">
        <v>0</v>
      </c>
      <c r="D126" s="51">
        <v>0</v>
      </c>
      <c r="E126" s="13">
        <f t="shared" si="9"/>
        <v>0</v>
      </c>
    </row>
    <row r="127" spans="2:5">
      <c r="B127" s="29" t="s">
        <v>225</v>
      </c>
      <c r="C127" s="51">
        <v>0</v>
      </c>
      <c r="D127" s="51">
        <v>0</v>
      </c>
      <c r="E127" s="13">
        <f t="shared" si="9"/>
        <v>0</v>
      </c>
    </row>
    <row r="128" spans="2:5">
      <c r="B128" s="24" t="s">
        <v>70</v>
      </c>
      <c r="C128" s="51">
        <v>0</v>
      </c>
      <c r="D128" s="51">
        <v>0</v>
      </c>
      <c r="E128" s="13">
        <f t="shared" si="9"/>
        <v>0</v>
      </c>
    </row>
    <row r="129" spans="2:5">
      <c r="B129" s="24" t="s">
        <v>189</v>
      </c>
      <c r="C129" s="51">
        <v>0</v>
      </c>
      <c r="D129" s="51">
        <v>0</v>
      </c>
      <c r="E129" s="13">
        <f t="shared" si="9"/>
        <v>0</v>
      </c>
    </row>
    <row r="130" spans="2:5">
      <c r="B130" s="26" t="s">
        <v>46</v>
      </c>
      <c r="C130" s="14"/>
      <c r="D130" s="14"/>
      <c r="E130" s="12">
        <f>SUM(E131:E137)</f>
        <v>0</v>
      </c>
    </row>
    <row r="131" spans="2:5">
      <c r="B131" s="24" t="s">
        <v>71</v>
      </c>
      <c r="C131" s="51">
        <v>0</v>
      </c>
      <c r="D131" s="51">
        <v>0</v>
      </c>
      <c r="E131" s="13">
        <f t="shared" ref="E131:E137" si="10">SUM(C131:D131)</f>
        <v>0</v>
      </c>
    </row>
    <row r="132" spans="2:5">
      <c r="B132" s="24" t="s">
        <v>47</v>
      </c>
      <c r="C132" s="51">
        <v>0</v>
      </c>
      <c r="D132" s="51">
        <v>0</v>
      </c>
      <c r="E132" s="13">
        <f t="shared" si="10"/>
        <v>0</v>
      </c>
    </row>
    <row r="133" spans="2:5">
      <c r="B133" s="24" t="s">
        <v>48</v>
      </c>
      <c r="C133" s="51">
        <v>0</v>
      </c>
      <c r="D133" s="51">
        <v>0</v>
      </c>
      <c r="E133" s="13">
        <f t="shared" si="10"/>
        <v>0</v>
      </c>
    </row>
    <row r="134" spans="2:5">
      <c r="B134" s="24" t="s">
        <v>191</v>
      </c>
      <c r="C134" s="51">
        <v>0</v>
      </c>
      <c r="D134" s="51">
        <v>0</v>
      </c>
      <c r="E134" s="13">
        <f t="shared" si="10"/>
        <v>0</v>
      </c>
    </row>
    <row r="135" spans="2:5">
      <c r="B135" s="24" t="s">
        <v>98</v>
      </c>
      <c r="C135" s="51">
        <v>0</v>
      </c>
      <c r="D135" s="51">
        <v>0</v>
      </c>
      <c r="E135" s="13">
        <f t="shared" si="10"/>
        <v>0</v>
      </c>
    </row>
    <row r="136" spans="2:5">
      <c r="B136" s="24" t="s">
        <v>226</v>
      </c>
      <c r="C136" s="51">
        <v>0</v>
      </c>
      <c r="D136" s="51">
        <v>0</v>
      </c>
      <c r="E136" s="13">
        <f t="shared" si="10"/>
        <v>0</v>
      </c>
    </row>
    <row r="137" spans="2:5">
      <c r="B137" s="24" t="s">
        <v>49</v>
      </c>
      <c r="C137" s="51">
        <v>0</v>
      </c>
      <c r="D137" s="51">
        <v>0</v>
      </c>
      <c r="E137" s="13">
        <f t="shared" si="10"/>
        <v>0</v>
      </c>
    </row>
    <row r="138" spans="2:5">
      <c r="B138" s="26" t="s">
        <v>50</v>
      </c>
      <c r="C138" s="14"/>
      <c r="D138" s="14"/>
      <c r="E138" s="12">
        <f>SUM(E139:E142)</f>
        <v>0</v>
      </c>
    </row>
    <row r="139" spans="2:5">
      <c r="B139" s="24" t="s">
        <v>192</v>
      </c>
      <c r="C139" s="51">
        <v>0</v>
      </c>
      <c r="D139" s="51">
        <v>0</v>
      </c>
      <c r="E139" s="13">
        <f>SUM(C139:D139)</f>
        <v>0</v>
      </c>
    </row>
    <row r="140" spans="2:5">
      <c r="B140" s="24" t="s">
        <v>227</v>
      </c>
      <c r="C140" s="51">
        <v>0</v>
      </c>
      <c r="D140" s="51">
        <v>0</v>
      </c>
      <c r="E140" s="13">
        <f>SUM(C140:D140)</f>
        <v>0</v>
      </c>
    </row>
    <row r="141" spans="2:5">
      <c r="B141" s="24" t="s">
        <v>99</v>
      </c>
      <c r="C141" s="51">
        <v>0</v>
      </c>
      <c r="D141" s="51">
        <v>0</v>
      </c>
      <c r="E141" s="13">
        <f>SUM(C141:D141)</f>
        <v>0</v>
      </c>
    </row>
    <row r="142" spans="2:5">
      <c r="B142" s="24" t="s">
        <v>51</v>
      </c>
      <c r="C142" s="51">
        <v>0</v>
      </c>
      <c r="D142" s="51">
        <v>0</v>
      </c>
      <c r="E142" s="13">
        <f>SUM(C142:D142)</f>
        <v>0</v>
      </c>
    </row>
    <row r="143" spans="2:5">
      <c r="B143" s="26" t="s">
        <v>123</v>
      </c>
      <c r="C143" s="14"/>
      <c r="D143" s="15"/>
      <c r="E143" s="12">
        <f>SUM(E144:E149)</f>
        <v>0</v>
      </c>
    </row>
    <row r="144" spans="2:5">
      <c r="B144" s="23" t="s">
        <v>122</v>
      </c>
      <c r="C144" s="51">
        <v>0</v>
      </c>
      <c r="D144" s="51">
        <v>0</v>
      </c>
      <c r="E144" s="13">
        <f t="shared" ref="E144:E150" si="11">SUM(C144:D144)</f>
        <v>0</v>
      </c>
    </row>
    <row r="145" spans="2:5" ht="15.75" customHeight="1">
      <c r="B145" s="23" t="s">
        <v>228</v>
      </c>
      <c r="C145" s="51">
        <v>0</v>
      </c>
      <c r="D145" s="51">
        <v>0</v>
      </c>
      <c r="E145" s="13">
        <f t="shared" si="11"/>
        <v>0</v>
      </c>
    </row>
    <row r="146" spans="2:5" ht="15.75" customHeight="1">
      <c r="B146" s="23" t="s">
        <v>193</v>
      </c>
      <c r="C146" s="51">
        <v>0</v>
      </c>
      <c r="D146" s="51">
        <v>0</v>
      </c>
      <c r="E146" s="13">
        <f t="shared" si="11"/>
        <v>0</v>
      </c>
    </row>
    <row r="147" spans="2:5" ht="15.75" customHeight="1">
      <c r="B147" s="23" t="s">
        <v>194</v>
      </c>
      <c r="C147" s="51">
        <v>0</v>
      </c>
      <c r="D147" s="51">
        <v>0</v>
      </c>
      <c r="E147" s="13">
        <f t="shared" si="11"/>
        <v>0</v>
      </c>
    </row>
    <row r="148" spans="2:5" ht="15.75" customHeight="1">
      <c r="B148" s="23" t="s">
        <v>198</v>
      </c>
      <c r="C148" s="51">
        <v>0</v>
      </c>
      <c r="D148" s="51">
        <v>0</v>
      </c>
      <c r="E148" s="13">
        <f t="shared" si="11"/>
        <v>0</v>
      </c>
    </row>
    <row r="149" spans="2:5">
      <c r="B149" s="24" t="s">
        <v>124</v>
      </c>
      <c r="C149" s="51">
        <v>0</v>
      </c>
      <c r="D149" s="51">
        <v>0</v>
      </c>
      <c r="E149" s="13">
        <f t="shared" si="11"/>
        <v>0</v>
      </c>
    </row>
    <row r="150" spans="2:5">
      <c r="B150" s="39" t="s">
        <v>54</v>
      </c>
      <c r="C150" s="40">
        <f>SUM(C19:C149)</f>
        <v>0</v>
      </c>
      <c r="D150" s="40">
        <f>SUM(D19:D149)</f>
        <v>0</v>
      </c>
      <c r="E150" s="41">
        <f t="shared" si="11"/>
        <v>0</v>
      </c>
    </row>
    <row r="151" spans="2:5">
      <c r="C151" s="16"/>
      <c r="D151" s="17"/>
    </row>
    <row r="152" spans="2:5">
      <c r="B152" s="42" t="s">
        <v>100</v>
      </c>
      <c r="C152" s="43" t="s">
        <v>112</v>
      </c>
      <c r="D152" s="44" t="s">
        <v>82</v>
      </c>
      <c r="E152" s="43" t="s">
        <v>101</v>
      </c>
    </row>
    <row r="153" spans="2:5">
      <c r="B153" s="25" t="s">
        <v>102</v>
      </c>
      <c r="C153" s="52">
        <v>0</v>
      </c>
      <c r="D153" s="53">
        <v>0</v>
      </c>
      <c r="E153" s="18">
        <f t="shared" ref="E153:E160" si="12">SUM(C153:D153)</f>
        <v>0</v>
      </c>
    </row>
    <row r="154" spans="2:5">
      <c r="B154" s="25" t="s">
        <v>103</v>
      </c>
      <c r="C154" s="51">
        <v>0</v>
      </c>
      <c r="D154" s="50">
        <v>0</v>
      </c>
      <c r="E154" s="18">
        <f t="shared" si="12"/>
        <v>0</v>
      </c>
    </row>
    <row r="155" spans="2:5">
      <c r="B155" s="25" t="s">
        <v>125</v>
      </c>
      <c r="C155" s="51">
        <v>0</v>
      </c>
      <c r="D155" s="50">
        <v>0</v>
      </c>
      <c r="E155" s="18">
        <f t="shared" si="12"/>
        <v>0</v>
      </c>
    </row>
    <row r="156" spans="2:5">
      <c r="B156" s="25" t="s">
        <v>104</v>
      </c>
      <c r="C156" s="51">
        <v>0</v>
      </c>
      <c r="D156" s="50">
        <v>0</v>
      </c>
      <c r="E156" s="18">
        <f t="shared" si="12"/>
        <v>0</v>
      </c>
    </row>
    <row r="157" spans="2:5">
      <c r="B157" s="25" t="s">
        <v>126</v>
      </c>
      <c r="C157" s="51">
        <v>0</v>
      </c>
      <c r="D157" s="50">
        <v>0</v>
      </c>
      <c r="E157" s="18">
        <f t="shared" si="12"/>
        <v>0</v>
      </c>
    </row>
    <row r="158" spans="2:5">
      <c r="B158" s="25" t="s">
        <v>105</v>
      </c>
      <c r="C158" s="51">
        <v>0</v>
      </c>
      <c r="D158" s="50">
        <v>0</v>
      </c>
      <c r="E158" s="18">
        <f t="shared" si="12"/>
        <v>0</v>
      </c>
    </row>
    <row r="159" spans="2:5">
      <c r="B159" s="25" t="s">
        <v>106</v>
      </c>
      <c r="C159" s="51">
        <v>0</v>
      </c>
      <c r="D159" s="50">
        <v>0</v>
      </c>
      <c r="E159" s="18">
        <f t="shared" si="12"/>
        <v>0</v>
      </c>
    </row>
    <row r="160" spans="2:5">
      <c r="B160" s="45" t="s">
        <v>107</v>
      </c>
      <c r="C160" s="46">
        <f>SUM(C153:C159)</f>
        <v>0</v>
      </c>
      <c r="D160" s="46">
        <f>SUM(D153:D159)</f>
        <v>0</v>
      </c>
      <c r="E160" s="46">
        <f t="shared" si="12"/>
        <v>0</v>
      </c>
    </row>
    <row r="161" spans="2:5">
      <c r="C161" s="19"/>
    </row>
    <row r="162" spans="2:5">
      <c r="B162" s="47" t="s">
        <v>108</v>
      </c>
      <c r="C162" s="48" t="s">
        <v>112</v>
      </c>
      <c r="D162" s="49" t="s">
        <v>82</v>
      </c>
      <c r="E162" s="48" t="s">
        <v>3</v>
      </c>
    </row>
    <row r="163" spans="2:5">
      <c r="B163" s="25" t="s">
        <v>16</v>
      </c>
      <c r="C163" s="54">
        <f>+C15</f>
        <v>0</v>
      </c>
      <c r="D163" s="54">
        <f>+D15</f>
        <v>0</v>
      </c>
      <c r="E163" s="20">
        <f>+E15</f>
        <v>0</v>
      </c>
    </row>
    <row r="164" spans="2:5">
      <c r="B164" s="25" t="s">
        <v>54</v>
      </c>
      <c r="C164" s="54">
        <f>+C150</f>
        <v>0</v>
      </c>
      <c r="D164" s="54">
        <f>+D150</f>
        <v>0</v>
      </c>
      <c r="E164" s="20">
        <f>+E150</f>
        <v>0</v>
      </c>
    </row>
    <row r="165" spans="2:5">
      <c r="B165" s="26" t="s">
        <v>116</v>
      </c>
      <c r="C165" s="21">
        <f>+C163-C164</f>
        <v>0</v>
      </c>
      <c r="D165" s="21">
        <f>+D163-D164</f>
        <v>0</v>
      </c>
      <c r="E165" s="21">
        <f>+E163-E164</f>
        <v>0</v>
      </c>
    </row>
    <row r="166" spans="2:5">
      <c r="C166" s="3"/>
    </row>
    <row r="167" spans="2:5">
      <c r="B167" s="25" t="s">
        <v>127</v>
      </c>
      <c r="C167" s="22">
        <f>+C150*6</f>
        <v>0</v>
      </c>
      <c r="D167" s="22">
        <f>+D150*6</f>
        <v>0</v>
      </c>
      <c r="E167" s="22">
        <f>+E150*6</f>
        <v>0</v>
      </c>
    </row>
    <row r="168" spans="2:5">
      <c r="C168" s="3"/>
    </row>
    <row r="169" spans="2:5">
      <c r="B169" s="25" t="s">
        <v>128</v>
      </c>
      <c r="C169" s="22">
        <v>0</v>
      </c>
      <c r="D169" s="22">
        <v>0</v>
      </c>
      <c r="E169" s="22">
        <v>0</v>
      </c>
    </row>
    <row r="170" spans="2:5">
      <c r="B170" s="25" t="s">
        <v>210</v>
      </c>
      <c r="C170" s="22">
        <v>0</v>
      </c>
      <c r="D170" s="22">
        <v>0</v>
      </c>
      <c r="E170" s="22">
        <v>0</v>
      </c>
    </row>
    <row r="171" spans="2:5">
      <c r="B171" s="27" t="s">
        <v>111</v>
      </c>
      <c r="C171" s="30" t="e">
        <f>(C169/C170)</f>
        <v>#DIV/0!</v>
      </c>
      <c r="D171" s="30" t="e">
        <f>(D169/D170)</f>
        <v>#DIV/0!</v>
      </c>
      <c r="E171" s="30" t="e">
        <f>(E169/E170)</f>
        <v>#DIV/0!</v>
      </c>
    </row>
    <row r="172" spans="2:5">
      <c r="B172" s="25" t="s">
        <v>109</v>
      </c>
      <c r="C172" s="22">
        <v>0</v>
      </c>
      <c r="D172" s="22">
        <v>1</v>
      </c>
      <c r="E172" s="22">
        <v>2</v>
      </c>
    </row>
    <row r="173" spans="2:5">
      <c r="B173" s="25" t="s">
        <v>110</v>
      </c>
      <c r="C173" s="22">
        <f>+C169-C172</f>
        <v>0</v>
      </c>
      <c r="D173" s="22">
        <f>+D169-D172</f>
        <v>-1</v>
      </c>
      <c r="E173" s="22">
        <f>+E169-E172</f>
        <v>-2</v>
      </c>
    </row>
  </sheetData>
  <mergeCells count="1">
    <mergeCell ref="B1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3"/>
  <sheetViews>
    <sheetView tabSelected="1" workbookViewId="0">
      <pane xSplit="2" ySplit="8" topLeftCell="V9" activePane="bottomRight" state="frozen"/>
      <selection pane="topRight" activeCell="C1" sqref="C1"/>
      <selection pane="bottomLeft" activeCell="A9" sqref="A9"/>
      <selection pane="bottomRight" sqref="A1:AB5"/>
    </sheetView>
  </sheetViews>
  <sheetFormatPr baseColWidth="10" defaultColWidth="11.42578125" defaultRowHeight="15.75"/>
  <cols>
    <col min="1" max="1" width="4.140625" style="2" customWidth="1"/>
    <col min="2" max="2" width="63.7109375" style="2" bestFit="1" customWidth="1"/>
    <col min="3" max="3" width="19" style="57" bestFit="1" customWidth="1"/>
    <col min="4" max="4" width="19.28515625" style="57" bestFit="1" customWidth="1"/>
    <col min="5" max="5" width="19" style="57" bestFit="1" customWidth="1"/>
    <col min="6" max="6" width="17" style="57" bestFit="1" customWidth="1"/>
    <col min="7" max="7" width="19" style="57" bestFit="1" customWidth="1"/>
    <col min="8" max="8" width="17" style="57" bestFit="1" customWidth="1"/>
    <col min="9" max="9" width="19" style="57" bestFit="1" customWidth="1"/>
    <col min="10" max="10" width="18.140625" style="57" bestFit="1" customWidth="1"/>
    <col min="11" max="11" width="19" style="57" bestFit="1" customWidth="1"/>
    <col min="12" max="12" width="18.140625" style="57" bestFit="1" customWidth="1"/>
    <col min="13" max="13" width="19" style="57" bestFit="1" customWidth="1"/>
    <col min="14" max="14" width="17" style="57" bestFit="1" customWidth="1"/>
    <col min="15" max="15" width="19" style="57" bestFit="1" customWidth="1"/>
    <col min="16" max="16" width="15.7109375" style="57" customWidth="1"/>
    <col min="17" max="17" width="19" style="57" bestFit="1" customWidth="1"/>
    <col min="18" max="18" width="17" style="57" bestFit="1" customWidth="1"/>
    <col min="19" max="19" width="19" style="57" bestFit="1" customWidth="1"/>
    <col min="20" max="20" width="17" style="57" bestFit="1" customWidth="1"/>
    <col min="21" max="21" width="19" style="57" bestFit="1" customWidth="1"/>
    <col min="22" max="22" width="17" style="57" bestFit="1" customWidth="1"/>
    <col min="23" max="23" width="19" style="57" bestFit="1" customWidth="1"/>
    <col min="24" max="24" width="17" style="57" bestFit="1" customWidth="1"/>
    <col min="25" max="25" width="19" style="57" bestFit="1" customWidth="1"/>
    <col min="26" max="26" width="19.42578125" style="57" customWidth="1"/>
    <col min="27" max="27" width="20.28515625" style="57" bestFit="1" customWidth="1"/>
    <col min="28" max="28" width="19" style="57" bestFit="1" customWidth="1"/>
    <col min="29" max="16384" width="11.42578125" style="2"/>
  </cols>
  <sheetData>
    <row r="1" spans="1:28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28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 spans="1:28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28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>
      <c r="D6" s="57">
        <f>+((SUM(D9:D12)-D35-D63-D64-D66-D65))*40%</f>
        <v>1632280.8</v>
      </c>
      <c r="F6" s="57">
        <f>+((SUM(F9:F12)-F35-F63-F64-F66-F65))*40%</f>
        <v>1993044.8</v>
      </c>
      <c r="H6" s="57">
        <f>+((SUM(H9:H12)-H35-H63-H64-H66-H65))*40%</f>
        <v>1791502.4000000001</v>
      </c>
      <c r="J6" s="57">
        <f>+((SUM(J9:J12)-J35-J63-J64-J66-J65))*40%</f>
        <v>2070188.4000000001</v>
      </c>
      <c r="L6" s="57">
        <f>+((SUM(L9:L12)-L35-L63-L64-L66-L65))*40%</f>
        <v>3062622</v>
      </c>
      <c r="M6" s="61">
        <v>1800000</v>
      </c>
      <c r="N6" s="57">
        <f>+((SUM(N9:N12)-N35-N63-N64-N66-N65))*40%</f>
        <v>2546157.6</v>
      </c>
      <c r="O6" s="61">
        <v>1800000</v>
      </c>
      <c r="P6" s="57">
        <f>+((SUM(P9:P12)-P35-P63-P64-P66-P65))*40%</f>
        <v>2147944</v>
      </c>
      <c r="R6" s="57">
        <f>+((SUM(R9:R12)-R35-R63-R64-R66-R65))*40%</f>
        <v>-104000</v>
      </c>
      <c r="T6" s="57">
        <f>+((SUM(T9:T12)-T35-T63-T64-T66-T65))*40%</f>
        <v>0</v>
      </c>
      <c r="V6" s="57">
        <f>+((SUM(V9:V12)-V35-V63-V64-V66-V65))*40%</f>
        <v>-489600</v>
      </c>
      <c r="X6" s="57">
        <f>+((SUM(X9:X12)-X35-X63-X64-X66-X65))*40%</f>
        <v>1176149.2</v>
      </c>
      <c r="Z6" s="57">
        <f>+((SUM(Z9:Z12)-Z35-Z63-Z64-Z66-X66-Z65))*40%</f>
        <v>-545200</v>
      </c>
    </row>
    <row r="7" spans="1:28">
      <c r="A7" s="31"/>
      <c r="B7" s="65" t="s">
        <v>15</v>
      </c>
      <c r="C7" s="63" t="s">
        <v>4</v>
      </c>
      <c r="D7" s="64"/>
      <c r="E7" s="63" t="s">
        <v>131</v>
      </c>
      <c r="F7" s="64"/>
      <c r="G7" s="63" t="s">
        <v>5</v>
      </c>
      <c r="H7" s="64"/>
      <c r="I7" s="63" t="s">
        <v>6</v>
      </c>
      <c r="J7" s="64"/>
      <c r="K7" s="63" t="s">
        <v>7</v>
      </c>
      <c r="L7" s="64"/>
      <c r="M7" s="63" t="s">
        <v>8</v>
      </c>
      <c r="N7" s="64"/>
      <c r="O7" s="63" t="s">
        <v>9</v>
      </c>
      <c r="P7" s="64"/>
      <c r="Q7" s="63" t="s">
        <v>10</v>
      </c>
      <c r="R7" s="64"/>
      <c r="S7" s="63" t="s">
        <v>11</v>
      </c>
      <c r="T7" s="64"/>
      <c r="U7" s="63" t="s">
        <v>12</v>
      </c>
      <c r="V7" s="64"/>
      <c r="W7" s="63" t="s">
        <v>13</v>
      </c>
      <c r="X7" s="64"/>
      <c r="Y7" s="63" t="s">
        <v>14</v>
      </c>
      <c r="Z7" s="64"/>
      <c r="AA7" s="63" t="s">
        <v>3</v>
      </c>
      <c r="AB7" s="64"/>
    </row>
    <row r="8" spans="1:28">
      <c r="A8" s="31"/>
      <c r="B8" s="66"/>
      <c r="C8" s="55" t="s">
        <v>146</v>
      </c>
      <c r="D8" s="55" t="s">
        <v>132</v>
      </c>
      <c r="E8" s="55" t="s">
        <v>146</v>
      </c>
      <c r="F8" s="55" t="s">
        <v>132</v>
      </c>
      <c r="G8" s="55" t="s">
        <v>146</v>
      </c>
      <c r="H8" s="55" t="s">
        <v>132</v>
      </c>
      <c r="I8" s="55" t="s">
        <v>146</v>
      </c>
      <c r="J8" s="55" t="s">
        <v>132</v>
      </c>
      <c r="K8" s="55" t="s">
        <v>146</v>
      </c>
      <c r="L8" s="55" t="s">
        <v>132</v>
      </c>
      <c r="M8" s="55" t="s">
        <v>146</v>
      </c>
      <c r="N8" s="55" t="s">
        <v>132</v>
      </c>
      <c r="O8" s="55" t="s">
        <v>146</v>
      </c>
      <c r="P8" s="55" t="s">
        <v>132</v>
      </c>
      <c r="Q8" s="55" t="s">
        <v>146</v>
      </c>
      <c r="R8" s="55" t="s">
        <v>132</v>
      </c>
      <c r="S8" s="55" t="s">
        <v>146</v>
      </c>
      <c r="T8" s="55" t="s">
        <v>132</v>
      </c>
      <c r="U8" s="55" t="s">
        <v>146</v>
      </c>
      <c r="V8" s="55" t="s">
        <v>132</v>
      </c>
      <c r="W8" s="55" t="s">
        <v>146</v>
      </c>
      <c r="X8" s="55" t="s">
        <v>132</v>
      </c>
      <c r="Y8" s="55" t="s">
        <v>146</v>
      </c>
      <c r="Z8" s="55" t="s">
        <v>132</v>
      </c>
      <c r="AA8" s="55" t="s">
        <v>146</v>
      </c>
      <c r="AB8" s="55" t="s">
        <v>132</v>
      </c>
    </row>
    <row r="9" spans="1:28">
      <c r="B9" s="32" t="s">
        <v>251</v>
      </c>
      <c r="C9" s="13">
        <f>2051699+583227</f>
        <v>2634926</v>
      </c>
      <c r="D9" s="13">
        <f>702288+2078520</f>
        <v>2780808</v>
      </c>
      <c r="E9" s="13">
        <v>960149</v>
      </c>
      <c r="F9" s="13">
        <f>2493251+941711</f>
        <v>3434962</v>
      </c>
      <c r="G9" s="13">
        <f>2453535+1625272+3547080</f>
        <v>7625887</v>
      </c>
      <c r="H9" s="13">
        <f>2560455+883255</f>
        <v>3443710</v>
      </c>
      <c r="I9" s="13">
        <f>4476519+459000</f>
        <v>4935519</v>
      </c>
      <c r="J9" s="13">
        <f>2669157+1538302</f>
        <v>4207459</v>
      </c>
      <c r="K9" s="13">
        <f>122930+1489477</f>
        <v>1612407</v>
      </c>
      <c r="L9" s="13">
        <f>437038+4457834+1704891</f>
        <v>6599763</v>
      </c>
      <c r="M9" s="13">
        <f>3698812+642258</f>
        <v>4341070</v>
      </c>
      <c r="N9" s="13">
        <f>114762+1773479+1056995</f>
        <v>2945236</v>
      </c>
      <c r="O9" s="13">
        <f>1370182+1310800</f>
        <v>2680982</v>
      </c>
      <c r="P9" s="13">
        <f>1608584+1002801</f>
        <v>2611385</v>
      </c>
      <c r="Q9" s="13">
        <f>1485310+956792</f>
        <v>2442102</v>
      </c>
      <c r="R9" s="13"/>
      <c r="S9" s="13">
        <f>245352+449020+786133</f>
        <v>1480505</v>
      </c>
      <c r="T9" s="13">
        <v>0</v>
      </c>
      <c r="U9" s="13">
        <f>2330312+3069000</f>
        <v>5399312</v>
      </c>
      <c r="V9" s="13"/>
      <c r="W9" s="13">
        <f>2968808+2275100</f>
        <v>5243908</v>
      </c>
      <c r="X9" s="13">
        <v>928898</v>
      </c>
      <c r="Y9" s="13">
        <f>104667+1962244+2639915</f>
        <v>4706826</v>
      </c>
      <c r="Z9" s="13"/>
      <c r="AA9" s="13">
        <f t="shared" ref="AA9:AB14" si="0">+C9+E9+G9+I9+K9+M9+O9+Q9+S9+U9+W9+Y9</f>
        <v>44063593</v>
      </c>
      <c r="AB9" s="13">
        <f t="shared" si="0"/>
        <v>26952221</v>
      </c>
    </row>
    <row r="10" spans="1:28">
      <c r="B10" s="32" t="s">
        <v>243</v>
      </c>
      <c r="C10" s="13">
        <f>214238+74651+39663+37349</f>
        <v>365901</v>
      </c>
      <c r="D10" s="13">
        <f>293678+95814+49577+106183</f>
        <v>545252</v>
      </c>
      <c r="E10" s="13">
        <f>280532+115062</f>
        <v>395594</v>
      </c>
      <c r="F10" s="13">
        <f>126201+31074</f>
        <v>157275</v>
      </c>
      <c r="G10" s="13">
        <f>140393+104415+122342</f>
        <v>367150</v>
      </c>
      <c r="H10" s="13">
        <f>167909+38774</f>
        <v>206683</v>
      </c>
      <c r="I10" s="13">
        <v>156350</v>
      </c>
      <c r="J10" s="13">
        <f>300943+328528</f>
        <v>629471</v>
      </c>
      <c r="K10" s="13">
        <f>224536+163010+117476</f>
        <v>505022</v>
      </c>
      <c r="L10" s="13">
        <f>288012+301511+267410</f>
        <v>856933</v>
      </c>
      <c r="M10" s="13">
        <f>333440+397567</f>
        <v>731007</v>
      </c>
      <c r="N10" s="13">
        <f>301642+180278+37709</f>
        <v>519629</v>
      </c>
      <c r="O10" s="13">
        <f>213522+209596+233724</f>
        <v>656842</v>
      </c>
      <c r="P10" s="13">
        <v>0</v>
      </c>
      <c r="Q10" s="13">
        <v>108459</v>
      </c>
      <c r="R10" s="13"/>
      <c r="S10" s="13">
        <v>412252</v>
      </c>
      <c r="T10" s="13">
        <v>0</v>
      </c>
      <c r="U10" s="13">
        <f>39722+255513+41814+151463+340347</f>
        <v>828859</v>
      </c>
      <c r="V10" s="13"/>
      <c r="W10" s="13">
        <f>344555+526791</f>
        <v>871346</v>
      </c>
      <c r="X10" s="13">
        <v>2011475</v>
      </c>
      <c r="Y10" s="13">
        <f>291334+94116+308016+388453</f>
        <v>1081919</v>
      </c>
      <c r="Z10" s="13"/>
      <c r="AA10" s="13">
        <f>+C10+E10+G10+I10+K10+M10+O10+Q10+S10+U10+W10+Y10</f>
        <v>6480701</v>
      </c>
      <c r="AB10" s="13">
        <f>+D10+F10+H10+J10+L10+N10+P10+R10+T10+V10+X10+Z10</f>
        <v>4926718</v>
      </c>
    </row>
    <row r="11" spans="1:28">
      <c r="B11" s="32" t="s">
        <v>244</v>
      </c>
      <c r="C11" s="13">
        <f>218216+212105+21813</f>
        <v>452134</v>
      </c>
      <c r="D11" s="13">
        <f>48508+405038</f>
        <v>453546</v>
      </c>
      <c r="E11" s="13">
        <v>367212</v>
      </c>
      <c r="F11" s="13">
        <v>1752858</v>
      </c>
      <c r="G11" s="13">
        <f>187092+71874+42514</f>
        <v>301480</v>
      </c>
      <c r="H11" s="13">
        <v>1334863</v>
      </c>
      <c r="I11" s="13">
        <f>1067905+190500</f>
        <v>1258405</v>
      </c>
      <c r="J11" s="13">
        <f>392390+426609+912088</f>
        <v>1731087</v>
      </c>
      <c r="K11" s="13">
        <f>212640+302859+459201+1162875</f>
        <v>2137575</v>
      </c>
      <c r="L11" s="13">
        <f>170112+1404932</f>
        <v>1575044</v>
      </c>
      <c r="M11" s="13">
        <f>815736+298508+164353</f>
        <v>1278597</v>
      </c>
      <c r="N11" s="13">
        <f>145303+830625+217973</f>
        <v>1193901</v>
      </c>
      <c r="O11" s="13">
        <f>542103+37212+2400529</f>
        <v>2979844</v>
      </c>
      <c r="P11" s="13">
        <f>37212+524991</f>
        <v>562203</v>
      </c>
      <c r="Q11" s="13">
        <f>724794+606052+1734684</f>
        <v>3065530</v>
      </c>
      <c r="R11" s="13"/>
      <c r="S11" s="13">
        <f>46860+53337+402103</f>
        <v>502300</v>
      </c>
      <c r="T11" s="13">
        <v>0</v>
      </c>
      <c r="U11" s="13">
        <f>47844+453000+1040184</f>
        <v>1541028</v>
      </c>
      <c r="V11" s="13"/>
      <c r="W11" s="13">
        <f>116301+53160+188275+923116</f>
        <v>1280852</v>
      </c>
      <c r="X11" s="13"/>
      <c r="Y11" s="13">
        <f>440147+148848+379364+8813</f>
        <v>977172</v>
      </c>
      <c r="Z11" s="13"/>
      <c r="AA11" s="13">
        <f>+C11+E11+G11+I11+K11+M11+O11+Q11+S11+U11+W11+Y11</f>
        <v>16142129</v>
      </c>
      <c r="AB11" s="13">
        <f>+D11+F11+H11+J11+L11+N11+P11+R11+T11+V11+X11+Z11</f>
        <v>8603502</v>
      </c>
    </row>
    <row r="12" spans="1:28">
      <c r="B12" s="32" t="s">
        <v>256</v>
      </c>
      <c r="C12" s="13">
        <f>303983+239205</f>
        <v>543188</v>
      </c>
      <c r="D12" s="13">
        <f>600618+263478</f>
        <v>864096</v>
      </c>
      <c r="E12" s="13">
        <f>8235+57248</f>
        <v>65483</v>
      </c>
      <c r="F12" s="13">
        <v>237517</v>
      </c>
      <c r="G12" s="13">
        <v>22524</v>
      </c>
      <c r="H12" s="13"/>
      <c r="I12" s="13">
        <v>963300</v>
      </c>
      <c r="J12" s="13">
        <v>22454</v>
      </c>
      <c r="K12" s="13">
        <v>0</v>
      </c>
      <c r="L12" s="13">
        <v>54815</v>
      </c>
      <c r="M12" s="13">
        <v>282415</v>
      </c>
      <c r="N12" s="13">
        <v>1951628</v>
      </c>
      <c r="O12" s="13">
        <v>0</v>
      </c>
      <c r="P12" s="13">
        <f>627016+1569256</f>
        <v>2196272</v>
      </c>
      <c r="Q12" s="13">
        <v>235909</v>
      </c>
      <c r="R12" s="13"/>
      <c r="S12" s="13">
        <v>0</v>
      </c>
      <c r="T12" s="13"/>
      <c r="U12" s="13">
        <v>805703</v>
      </c>
      <c r="V12" s="13"/>
      <c r="W12" s="13">
        <f>485484+261620</f>
        <v>747104</v>
      </c>
      <c r="X12" s="13"/>
      <c r="Y12" s="13">
        <v>882318</v>
      </c>
      <c r="Z12" s="13"/>
      <c r="AA12" s="13">
        <f t="shared" si="0"/>
        <v>4547944</v>
      </c>
      <c r="AB12" s="13">
        <f t="shared" si="0"/>
        <v>5326782</v>
      </c>
    </row>
    <row r="13" spans="1:28">
      <c r="B13" s="32" t="s">
        <v>130</v>
      </c>
      <c r="C13" s="13">
        <v>0</v>
      </c>
      <c r="D13" s="13"/>
      <c r="E13" s="13">
        <v>0</v>
      </c>
      <c r="F13" s="13">
        <v>226618</v>
      </c>
      <c r="G13" s="13">
        <v>0</v>
      </c>
      <c r="H13" s="13">
        <v>154857</v>
      </c>
      <c r="I13" s="13">
        <v>1062973</v>
      </c>
      <c r="J13" s="13"/>
      <c r="K13" s="13">
        <v>0</v>
      </c>
      <c r="L13" s="13"/>
      <c r="M13" s="13">
        <v>176702</v>
      </c>
      <c r="N13" s="13"/>
      <c r="O13" s="13">
        <v>670284</v>
      </c>
      <c r="P13" s="13">
        <v>0</v>
      </c>
      <c r="Q13" s="13">
        <v>0</v>
      </c>
      <c r="R13" s="13"/>
      <c r="S13" s="13">
        <v>0</v>
      </c>
      <c r="T13" s="13">
        <v>0</v>
      </c>
      <c r="U13" s="13">
        <v>0</v>
      </c>
      <c r="V13" s="13"/>
      <c r="W13" s="13">
        <v>637357</v>
      </c>
      <c r="X13" s="13"/>
      <c r="Y13" s="13">
        <v>0</v>
      </c>
      <c r="Z13" s="13"/>
      <c r="AA13" s="13">
        <v>0</v>
      </c>
      <c r="AB13" s="13">
        <f t="shared" si="0"/>
        <v>381475</v>
      </c>
    </row>
    <row r="14" spans="1:28">
      <c r="B14" s="32" t="s">
        <v>150</v>
      </c>
      <c r="C14" s="13">
        <v>0</v>
      </c>
      <c r="D14" s="13"/>
      <c r="E14" s="13"/>
      <c r="F14" s="13"/>
      <c r="G14" s="13"/>
      <c r="H14" s="13"/>
      <c r="I14" s="13">
        <v>0</v>
      </c>
      <c r="J14" s="13"/>
      <c r="K14" s="13">
        <v>0</v>
      </c>
      <c r="L14" s="13"/>
      <c r="M14" s="13">
        <v>0</v>
      </c>
      <c r="N14" s="13"/>
      <c r="O14" s="13">
        <v>0</v>
      </c>
      <c r="P14" s="13">
        <f>139906+1012765</f>
        <v>1152671</v>
      </c>
      <c r="Q14" s="13">
        <v>0</v>
      </c>
      <c r="R14" s="13"/>
      <c r="S14" s="13">
        <v>0</v>
      </c>
      <c r="T14" s="13">
        <v>0</v>
      </c>
      <c r="U14" s="13">
        <v>0</v>
      </c>
      <c r="V14" s="13"/>
      <c r="W14" s="13">
        <v>0</v>
      </c>
      <c r="X14" s="13"/>
      <c r="Y14" s="13">
        <v>0</v>
      </c>
      <c r="Z14" s="13"/>
      <c r="AA14" s="13">
        <f t="shared" si="0"/>
        <v>0</v>
      </c>
      <c r="AB14" s="13">
        <f t="shared" si="0"/>
        <v>1152671</v>
      </c>
    </row>
    <row r="15" spans="1:28">
      <c r="B15" s="33" t="s">
        <v>16</v>
      </c>
      <c r="C15" s="56">
        <f t="shared" ref="C15:AB15" si="1">SUM(C9:C13)-C14</f>
        <v>3996149</v>
      </c>
      <c r="D15" s="56">
        <f t="shared" si="1"/>
        <v>4643702</v>
      </c>
      <c r="E15" s="56">
        <f t="shared" si="1"/>
        <v>1788438</v>
      </c>
      <c r="F15" s="56">
        <f t="shared" si="1"/>
        <v>5809230</v>
      </c>
      <c r="G15" s="56">
        <f t="shared" si="1"/>
        <v>8317041</v>
      </c>
      <c r="H15" s="56">
        <f t="shared" si="1"/>
        <v>5140113</v>
      </c>
      <c r="I15" s="56">
        <f t="shared" si="1"/>
        <v>8376547</v>
      </c>
      <c r="J15" s="56">
        <f t="shared" si="1"/>
        <v>6590471</v>
      </c>
      <c r="K15" s="56">
        <f t="shared" si="1"/>
        <v>4255004</v>
      </c>
      <c r="L15" s="56">
        <f t="shared" si="1"/>
        <v>9086555</v>
      </c>
      <c r="M15" s="56">
        <f t="shared" si="1"/>
        <v>6809791</v>
      </c>
      <c r="N15" s="56">
        <f t="shared" si="1"/>
        <v>6610394</v>
      </c>
      <c r="O15" s="56">
        <f t="shared" si="1"/>
        <v>6987952</v>
      </c>
      <c r="P15" s="56">
        <f>SUM(P9:P13)</f>
        <v>5369860</v>
      </c>
      <c r="Q15" s="56">
        <f t="shared" si="1"/>
        <v>5852000</v>
      </c>
      <c r="R15" s="56">
        <f t="shared" si="1"/>
        <v>0</v>
      </c>
      <c r="S15" s="56">
        <f t="shared" si="1"/>
        <v>2395057</v>
      </c>
      <c r="T15" s="56">
        <f t="shared" si="1"/>
        <v>0</v>
      </c>
      <c r="U15" s="56">
        <f t="shared" si="1"/>
        <v>8574902</v>
      </c>
      <c r="V15" s="56">
        <f t="shared" si="1"/>
        <v>0</v>
      </c>
      <c r="W15" s="56">
        <f t="shared" si="1"/>
        <v>8780567</v>
      </c>
      <c r="X15" s="56">
        <f t="shared" si="1"/>
        <v>2940373</v>
      </c>
      <c r="Y15" s="56">
        <f t="shared" si="1"/>
        <v>7648235</v>
      </c>
      <c r="Z15" s="56">
        <f t="shared" si="1"/>
        <v>0</v>
      </c>
      <c r="AA15" s="56">
        <f t="shared" si="1"/>
        <v>71234367</v>
      </c>
      <c r="AB15" s="56">
        <f t="shared" si="1"/>
        <v>45038027</v>
      </c>
    </row>
    <row r="16" spans="1:28">
      <c r="J16" s="57">
        <v>1800000</v>
      </c>
      <c r="L16" s="57">
        <v>2800000</v>
      </c>
    </row>
    <row r="17" spans="2:28">
      <c r="B17" s="69" t="s">
        <v>129</v>
      </c>
      <c r="C17" s="67" t="s">
        <v>4</v>
      </c>
      <c r="D17" s="68"/>
      <c r="E17" s="67" t="s">
        <v>131</v>
      </c>
      <c r="F17" s="68"/>
      <c r="G17" s="67" t="s">
        <v>5</v>
      </c>
      <c r="H17" s="68"/>
      <c r="I17" s="67" t="s">
        <v>6</v>
      </c>
      <c r="J17" s="68"/>
      <c r="K17" s="67" t="s">
        <v>7</v>
      </c>
      <c r="L17" s="68"/>
      <c r="M17" s="67" t="s">
        <v>8</v>
      </c>
      <c r="N17" s="68"/>
      <c r="O17" s="67" t="s">
        <v>9</v>
      </c>
      <c r="P17" s="68"/>
      <c r="Q17" s="67" t="s">
        <v>10</v>
      </c>
      <c r="R17" s="68"/>
      <c r="S17" s="67" t="s">
        <v>11</v>
      </c>
      <c r="T17" s="68"/>
      <c r="U17" s="67" t="s">
        <v>12</v>
      </c>
      <c r="V17" s="68"/>
      <c r="W17" s="67" t="s">
        <v>13</v>
      </c>
      <c r="X17" s="68"/>
      <c r="Y17" s="67" t="s">
        <v>14</v>
      </c>
      <c r="Z17" s="68"/>
      <c r="AA17" s="67" t="s">
        <v>3</v>
      </c>
      <c r="AB17" s="68"/>
    </row>
    <row r="18" spans="2:28">
      <c r="B18" s="69"/>
      <c r="C18" s="55" t="s">
        <v>146</v>
      </c>
      <c r="D18" s="55" t="s">
        <v>132</v>
      </c>
      <c r="E18" s="55" t="s">
        <v>146</v>
      </c>
      <c r="F18" s="55" t="s">
        <v>132</v>
      </c>
      <c r="G18" s="55" t="s">
        <v>146</v>
      </c>
      <c r="H18" s="55" t="s">
        <v>132</v>
      </c>
      <c r="I18" s="55" t="s">
        <v>146</v>
      </c>
      <c r="J18" s="55" t="s">
        <v>132</v>
      </c>
      <c r="K18" s="55" t="s">
        <v>146</v>
      </c>
      <c r="L18" s="55" t="s">
        <v>132</v>
      </c>
      <c r="M18" s="55" t="s">
        <v>146</v>
      </c>
      <c r="N18" s="55" t="s">
        <v>132</v>
      </c>
      <c r="O18" s="55" t="s">
        <v>146</v>
      </c>
      <c r="P18" s="55" t="s">
        <v>132</v>
      </c>
      <c r="Q18" s="55" t="s">
        <v>146</v>
      </c>
      <c r="R18" s="55" t="s">
        <v>132</v>
      </c>
      <c r="S18" s="55" t="s">
        <v>146</v>
      </c>
      <c r="T18" s="55" t="s">
        <v>132</v>
      </c>
      <c r="U18" s="55" t="s">
        <v>146</v>
      </c>
      <c r="V18" s="55" t="s">
        <v>132</v>
      </c>
      <c r="W18" s="55" t="s">
        <v>146</v>
      </c>
      <c r="X18" s="55" t="s">
        <v>132</v>
      </c>
      <c r="Y18" s="55" t="s">
        <v>146</v>
      </c>
      <c r="Z18" s="55" t="s">
        <v>132</v>
      </c>
      <c r="AA18" s="55" t="s">
        <v>146</v>
      </c>
      <c r="AB18" s="55" t="s">
        <v>132</v>
      </c>
    </row>
    <row r="19" spans="2:28">
      <c r="B19" s="34" t="s">
        <v>17</v>
      </c>
      <c r="C19" s="58">
        <f t="shared" ref="C19:AA19" si="2">SUM(C20:C32)</f>
        <v>426580</v>
      </c>
      <c r="D19" s="58">
        <f t="shared" si="2"/>
        <v>285460</v>
      </c>
      <c r="E19" s="58">
        <f t="shared" si="2"/>
        <v>443230</v>
      </c>
      <c r="F19" s="58">
        <f t="shared" si="2"/>
        <v>461270</v>
      </c>
      <c r="G19" s="58">
        <f t="shared" si="2"/>
        <v>489940</v>
      </c>
      <c r="H19" s="58">
        <f t="shared" si="2"/>
        <v>301410</v>
      </c>
      <c r="I19" s="58">
        <f t="shared" si="2"/>
        <v>725070</v>
      </c>
      <c r="J19" s="58">
        <f t="shared" si="2"/>
        <v>393120</v>
      </c>
      <c r="K19" s="58">
        <f t="shared" si="2"/>
        <v>427660</v>
      </c>
      <c r="L19" s="58">
        <f t="shared" si="2"/>
        <v>370220</v>
      </c>
      <c r="M19" s="58">
        <f t="shared" si="2"/>
        <v>658790</v>
      </c>
      <c r="N19" s="58">
        <f t="shared" si="2"/>
        <v>412920</v>
      </c>
      <c r="O19" s="58">
        <f t="shared" si="2"/>
        <v>327390</v>
      </c>
      <c r="P19" s="58">
        <f t="shared" si="2"/>
        <v>388870</v>
      </c>
      <c r="Q19" s="58">
        <f t="shared" si="2"/>
        <v>660120</v>
      </c>
      <c r="R19" s="58">
        <f t="shared" si="2"/>
        <v>408030</v>
      </c>
      <c r="S19" s="58">
        <f t="shared" si="2"/>
        <v>424760</v>
      </c>
      <c r="T19" s="58">
        <f t="shared" si="2"/>
        <v>88200</v>
      </c>
      <c r="U19" s="58">
        <f t="shared" si="2"/>
        <v>447280</v>
      </c>
      <c r="V19" s="58">
        <f t="shared" si="2"/>
        <v>136540</v>
      </c>
      <c r="W19" s="58">
        <f t="shared" si="2"/>
        <v>219560</v>
      </c>
      <c r="X19" s="58">
        <f t="shared" si="2"/>
        <v>246690</v>
      </c>
      <c r="Y19" s="58">
        <f t="shared" si="2"/>
        <v>530859</v>
      </c>
      <c r="Z19" s="58">
        <f t="shared" si="2"/>
        <v>441900</v>
      </c>
      <c r="AA19" s="58">
        <f t="shared" si="2"/>
        <v>5781239</v>
      </c>
      <c r="AB19" s="58">
        <f>SUM(AB20:AB32)</f>
        <v>3934630</v>
      </c>
    </row>
    <row r="20" spans="2:28">
      <c r="B20" s="35" t="s">
        <v>151</v>
      </c>
      <c r="C20" s="13"/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/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f>+C20+E20+G20+I20+K20+M20+O20+Q20+S20+U20+W20+Y20</f>
        <v>0</v>
      </c>
      <c r="AB20" s="13">
        <f>+D20+F20+H20+J20+L20+N20+P20+R20+T20+V20+X20+Z20</f>
        <v>0</v>
      </c>
    </row>
    <row r="21" spans="2:28">
      <c r="B21" s="35" t="s">
        <v>153</v>
      </c>
      <c r="C21" s="13">
        <v>193620</v>
      </c>
      <c r="D21" s="13">
        <v>0</v>
      </c>
      <c r="E21" s="13">
        <v>170000</v>
      </c>
      <c r="F21" s="13">
        <v>0</v>
      </c>
      <c r="G21" s="13">
        <v>170000</v>
      </c>
      <c r="H21" s="13">
        <v>0</v>
      </c>
      <c r="I21" s="13">
        <f>193620+205000</f>
        <v>398620</v>
      </c>
      <c r="J21" s="13">
        <v>0</v>
      </c>
      <c r="K21" s="13">
        <v>193620</v>
      </c>
      <c r="L21" s="13">
        <v>0</v>
      </c>
      <c r="M21" s="13">
        <v>193620</v>
      </c>
      <c r="N21" s="13">
        <v>0</v>
      </c>
      <c r="O21" s="13">
        <v>0</v>
      </c>
      <c r="P21" s="13">
        <v>0</v>
      </c>
      <c r="Q21" s="13">
        <v>193620</v>
      </c>
      <c r="R21" s="13">
        <v>0</v>
      </c>
      <c r="S21" s="13">
        <v>193620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f t="shared" ref="AA21:AA31" si="3">+C21+E21+G21+I21+K21+M21+O21+Q21+S21+U21+W21+Y21</f>
        <v>1706720</v>
      </c>
      <c r="AB21" s="13">
        <f>+D21+F21+H21+J21+L21+N21+P21+R21+T21+V21+X21+Z21</f>
        <v>0</v>
      </c>
    </row>
    <row r="22" spans="2:28">
      <c r="B22" s="35" t="s">
        <v>147</v>
      </c>
      <c r="C22" s="13"/>
      <c r="D22" s="13">
        <v>0</v>
      </c>
      <c r="E22" s="13">
        <v>0</v>
      </c>
      <c r="F22" s="13">
        <v>143200</v>
      </c>
      <c r="G22" s="13"/>
      <c r="H22" s="13">
        <v>0</v>
      </c>
      <c r="I22" s="13"/>
      <c r="J22" s="13">
        <v>163090</v>
      </c>
      <c r="K22" s="13">
        <v>0</v>
      </c>
      <c r="L22" s="13">
        <v>0</v>
      </c>
      <c r="M22" s="13">
        <v>137860</v>
      </c>
      <c r="N22" s="13">
        <v>143450</v>
      </c>
      <c r="O22" s="13">
        <v>0</v>
      </c>
      <c r="P22" s="13">
        <v>112580</v>
      </c>
      <c r="Q22" s="13">
        <v>138000</v>
      </c>
      <c r="R22" s="13">
        <v>145810</v>
      </c>
      <c r="S22" s="13">
        <v>0</v>
      </c>
      <c r="T22" s="13">
        <v>0</v>
      </c>
      <c r="U22" s="13">
        <v>131800</v>
      </c>
      <c r="V22" s="13">
        <v>0</v>
      </c>
      <c r="W22" s="13">
        <v>0</v>
      </c>
      <c r="X22" s="13">
        <v>0</v>
      </c>
      <c r="Y22" s="13">
        <f>140669+59980</f>
        <v>200649</v>
      </c>
      <c r="Z22" s="13">
        <v>124180</v>
      </c>
      <c r="AA22" s="13">
        <f t="shared" si="3"/>
        <v>608309</v>
      </c>
      <c r="AB22" s="13">
        <f t="shared" ref="AB22:AB31" si="4">+D22+F22+H22+J22+L22+N22+P22+R22+T22+V22+X22+Z22</f>
        <v>832310</v>
      </c>
    </row>
    <row r="23" spans="2:28">
      <c r="B23" s="35" t="s">
        <v>18</v>
      </c>
      <c r="C23" s="13">
        <v>42780</v>
      </c>
      <c r="D23" s="13">
        <v>52000</v>
      </c>
      <c r="E23" s="13">
        <v>23620</v>
      </c>
      <c r="F23" s="13">
        <v>65120</v>
      </c>
      <c r="G23" s="13">
        <v>39390</v>
      </c>
      <c r="H23" s="13">
        <v>65120</v>
      </c>
      <c r="I23" s="13">
        <v>41580</v>
      </c>
      <c r="J23" s="13">
        <v>66740</v>
      </c>
      <c r="K23" s="13">
        <v>38590</v>
      </c>
      <c r="L23" s="13">
        <v>131910</v>
      </c>
      <c r="M23" s="13">
        <v>49250</v>
      </c>
      <c r="N23" s="13">
        <v>35650</v>
      </c>
      <c r="O23" s="13">
        <v>43920</v>
      </c>
      <c r="P23" s="13">
        <v>41380</v>
      </c>
      <c r="Q23" s="13">
        <v>54600</v>
      </c>
      <c r="R23" s="13">
        <v>50000</v>
      </c>
      <c r="S23" s="13">
        <v>47730</v>
      </c>
      <c r="T23" s="13">
        <v>0</v>
      </c>
      <c r="U23" s="13">
        <v>40540</v>
      </c>
      <c r="V23" s="13">
        <v>48340</v>
      </c>
      <c r="W23" s="13">
        <v>48010</v>
      </c>
      <c r="X23" s="13">
        <v>50150</v>
      </c>
      <c r="Y23" s="13">
        <v>41310</v>
      </c>
      <c r="Z23" s="13">
        <v>51700</v>
      </c>
      <c r="AA23" s="13">
        <f t="shared" si="3"/>
        <v>511320</v>
      </c>
      <c r="AB23" s="13">
        <f t="shared" si="4"/>
        <v>658110</v>
      </c>
    </row>
    <row r="24" spans="2:28">
      <c r="B24" s="35" t="s">
        <v>148</v>
      </c>
      <c r="C24" s="13">
        <v>103730</v>
      </c>
      <c r="D24" s="13">
        <v>130460</v>
      </c>
      <c r="E24" s="13">
        <v>83710</v>
      </c>
      <c r="F24" s="13">
        <v>104410</v>
      </c>
      <c r="G24" s="13">
        <v>111240</v>
      </c>
      <c r="H24" s="13">
        <v>137350</v>
      </c>
      <c r="I24" s="13">
        <v>118880</v>
      </c>
      <c r="J24" s="13">
        <v>113820</v>
      </c>
      <c r="K24" s="13">
        <v>107500</v>
      </c>
      <c r="L24" s="13">
        <v>139370</v>
      </c>
      <c r="M24" s="13">
        <v>112160</v>
      </c>
      <c r="N24" s="13">
        <v>134880</v>
      </c>
      <c r="O24" s="13">
        <v>117570</v>
      </c>
      <c r="P24" s="13">
        <v>135970</v>
      </c>
      <c r="Q24" s="13">
        <v>108000</v>
      </c>
      <c r="R24" s="13">
        <v>124020</v>
      </c>
      <c r="S24" s="13">
        <v>95410</v>
      </c>
      <c r="T24" s="13">
        <v>0</v>
      </c>
      <c r="U24" s="13">
        <v>109040</v>
      </c>
      <c r="V24" s="13">
        <v>0</v>
      </c>
      <c r="W24" s="13">
        <v>101550</v>
      </c>
      <c r="X24" s="13">
        <v>108340</v>
      </c>
      <c r="Y24" s="13">
        <v>123000</v>
      </c>
      <c r="Z24" s="13">
        <v>131000</v>
      </c>
      <c r="AA24" s="13">
        <f t="shared" si="3"/>
        <v>1291790</v>
      </c>
      <c r="AB24" s="13">
        <f t="shared" si="4"/>
        <v>1259620</v>
      </c>
    </row>
    <row r="25" spans="2:28">
      <c r="B25" s="35" t="s">
        <v>215</v>
      </c>
      <c r="C25" s="13"/>
      <c r="D25" s="13">
        <v>0</v>
      </c>
      <c r="E25" s="13">
        <v>0</v>
      </c>
      <c r="F25" s="13">
        <v>0</v>
      </c>
      <c r="G25" s="13"/>
      <c r="H25" s="13">
        <v>0</v>
      </c>
      <c r="I25" s="13"/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f t="shared" si="3"/>
        <v>0</v>
      </c>
      <c r="AB25" s="13">
        <f t="shared" si="4"/>
        <v>0</v>
      </c>
    </row>
    <row r="26" spans="2:28">
      <c r="B26" s="35" t="s">
        <v>155</v>
      </c>
      <c r="C26" s="13"/>
      <c r="D26" s="13">
        <v>0</v>
      </c>
      <c r="E26" s="13">
        <v>0</v>
      </c>
      <c r="F26" s="13">
        <v>0</v>
      </c>
      <c r="G26" s="13"/>
      <c r="H26" s="13">
        <v>0</v>
      </c>
      <c r="I26" s="13"/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f t="shared" si="3"/>
        <v>0</v>
      </c>
      <c r="AB26" s="13">
        <f t="shared" si="4"/>
        <v>0</v>
      </c>
    </row>
    <row r="27" spans="2:28">
      <c r="B27" s="35" t="s">
        <v>250</v>
      </c>
      <c r="C27" s="13">
        <v>86450</v>
      </c>
      <c r="D27" s="13">
        <v>103000</v>
      </c>
      <c r="E27" s="13">
        <v>165900</v>
      </c>
      <c r="F27" s="13">
        <v>148540</v>
      </c>
      <c r="G27" s="13">
        <v>169310</v>
      </c>
      <c r="H27" s="13">
        <v>98940</v>
      </c>
      <c r="I27" s="13">
        <v>165990</v>
      </c>
      <c r="J27" s="13">
        <v>49470</v>
      </c>
      <c r="K27" s="13">
        <v>87950</v>
      </c>
      <c r="L27" s="13">
        <v>98940</v>
      </c>
      <c r="M27" s="13">
        <v>165900</v>
      </c>
      <c r="N27" s="13">
        <v>98940</v>
      </c>
      <c r="O27" s="13">
        <v>165900</v>
      </c>
      <c r="P27" s="13">
        <v>98940</v>
      </c>
      <c r="Q27" s="13">
        <v>165900</v>
      </c>
      <c r="R27" s="13">
        <v>88200</v>
      </c>
      <c r="S27" s="13">
        <v>88000</v>
      </c>
      <c r="T27" s="13">
        <v>88200</v>
      </c>
      <c r="U27" s="13">
        <v>165900</v>
      </c>
      <c r="V27" s="13">
        <v>88200</v>
      </c>
      <c r="W27" s="13">
        <v>70000</v>
      </c>
      <c r="X27" s="13">
        <v>88200</v>
      </c>
      <c r="Y27" s="13">
        <v>165900</v>
      </c>
      <c r="Z27" s="13">
        <v>135020</v>
      </c>
      <c r="AA27" s="13">
        <f t="shared" si="3"/>
        <v>1663100</v>
      </c>
      <c r="AB27" s="13">
        <f t="shared" si="4"/>
        <v>1184590</v>
      </c>
    </row>
    <row r="28" spans="2:28">
      <c r="B28" s="35" t="s">
        <v>19</v>
      </c>
      <c r="C28" s="13"/>
      <c r="D28" s="13">
        <v>0</v>
      </c>
      <c r="E28" s="13">
        <v>0</v>
      </c>
      <c r="F28" s="13">
        <v>0</v>
      </c>
      <c r="G28" s="13"/>
      <c r="H28" s="13">
        <v>0</v>
      </c>
      <c r="I28" s="13"/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f t="shared" si="3"/>
        <v>0</v>
      </c>
      <c r="AB28" s="13">
        <f t="shared" si="4"/>
        <v>0</v>
      </c>
    </row>
    <row r="29" spans="2:28">
      <c r="B29" s="35" t="s">
        <v>20</v>
      </c>
      <c r="C29" s="13"/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/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f t="shared" si="3"/>
        <v>0</v>
      </c>
      <c r="AB29" s="13">
        <f t="shared" si="4"/>
        <v>0</v>
      </c>
    </row>
    <row r="30" spans="2:28">
      <c r="B30" s="35" t="s">
        <v>199</v>
      </c>
      <c r="C30" s="13"/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/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f t="shared" si="3"/>
        <v>0</v>
      </c>
      <c r="AB30" s="13">
        <f t="shared" si="4"/>
        <v>0</v>
      </c>
    </row>
    <row r="31" spans="2:28">
      <c r="B31" s="35" t="s">
        <v>229</v>
      </c>
      <c r="C31" s="13"/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f t="shared" si="3"/>
        <v>0</v>
      </c>
      <c r="AB31" s="13">
        <f t="shared" si="4"/>
        <v>0</v>
      </c>
    </row>
    <row r="32" spans="2:28">
      <c r="B32" s="35" t="s">
        <v>21</v>
      </c>
      <c r="C32" s="13"/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f>+K32</f>
        <v>0</v>
      </c>
      <c r="N32" s="13">
        <v>0</v>
      </c>
      <c r="O32" s="13">
        <v>0</v>
      </c>
      <c r="P32" s="13">
        <v>0</v>
      </c>
      <c r="Q32" s="13">
        <f>+O32</f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f>+W32</f>
        <v>0</v>
      </c>
      <c r="Z32" s="13">
        <v>0</v>
      </c>
      <c r="AA32" s="13">
        <f>+C32+E32+G32+I32+K32+M32+O32+Q32+S32+U32+W32+Y32</f>
        <v>0</v>
      </c>
      <c r="AB32" s="13">
        <f>+D32+F32+H32+J32+L32+N32+P32+R32+T32+V32+X32+Z32</f>
        <v>0</v>
      </c>
    </row>
    <row r="33" spans="2:28">
      <c r="B33" s="34" t="s">
        <v>22</v>
      </c>
      <c r="C33" s="58">
        <f t="shared" ref="C33:AA33" si="5">SUM(C34:C37)</f>
        <v>76000</v>
      </c>
      <c r="D33" s="58">
        <f t="shared" si="5"/>
        <v>30000</v>
      </c>
      <c r="E33" s="58">
        <f t="shared" si="5"/>
        <v>116000</v>
      </c>
      <c r="F33" s="58">
        <f t="shared" si="5"/>
        <v>30000</v>
      </c>
      <c r="G33" s="58">
        <f t="shared" si="5"/>
        <v>530000</v>
      </c>
      <c r="H33" s="58">
        <f t="shared" si="5"/>
        <v>30000</v>
      </c>
      <c r="I33" s="58">
        <f t="shared" si="5"/>
        <v>40000</v>
      </c>
      <c r="J33" s="58">
        <f t="shared" si="5"/>
        <v>30000</v>
      </c>
      <c r="K33" s="58">
        <f t="shared" si="5"/>
        <v>40000</v>
      </c>
      <c r="L33" s="58">
        <f t="shared" si="5"/>
        <v>30000</v>
      </c>
      <c r="M33" s="58">
        <f t="shared" si="5"/>
        <v>40000</v>
      </c>
      <c r="N33" s="58">
        <f t="shared" si="5"/>
        <v>30000</v>
      </c>
      <c r="O33" s="58">
        <f t="shared" si="5"/>
        <v>40000</v>
      </c>
      <c r="P33" s="58">
        <f t="shared" si="5"/>
        <v>30000</v>
      </c>
      <c r="Q33" s="58">
        <f t="shared" si="5"/>
        <v>40000</v>
      </c>
      <c r="R33" s="58">
        <f t="shared" si="5"/>
        <v>30000</v>
      </c>
      <c r="S33" s="58">
        <f t="shared" si="5"/>
        <v>90000</v>
      </c>
      <c r="T33" s="58">
        <f t="shared" si="5"/>
        <v>30000</v>
      </c>
      <c r="U33" s="58">
        <f t="shared" si="5"/>
        <v>40000</v>
      </c>
      <c r="V33" s="58">
        <f t="shared" si="5"/>
        <v>30000</v>
      </c>
      <c r="W33" s="58">
        <f t="shared" si="5"/>
        <v>40000</v>
      </c>
      <c r="X33" s="58">
        <f t="shared" si="5"/>
        <v>30000</v>
      </c>
      <c r="Y33" s="58">
        <f t="shared" si="5"/>
        <v>40000</v>
      </c>
      <c r="Z33" s="58">
        <f t="shared" si="5"/>
        <v>30000</v>
      </c>
      <c r="AA33" s="58">
        <f t="shared" si="5"/>
        <v>1132000</v>
      </c>
      <c r="AB33" s="58">
        <f>SUM(AB34:AB37)</f>
        <v>360000</v>
      </c>
    </row>
    <row r="34" spans="2:28">
      <c r="B34" s="35" t="s">
        <v>200</v>
      </c>
      <c r="C34" s="13">
        <v>76000</v>
      </c>
      <c r="D34" s="13">
        <v>30000</v>
      </c>
      <c r="E34" s="13">
        <f>76000+40000</f>
        <v>116000</v>
      </c>
      <c r="F34" s="13">
        <v>30000</v>
      </c>
      <c r="G34" s="13">
        <v>30000</v>
      </c>
      <c r="H34" s="13">
        <v>30000</v>
      </c>
      <c r="I34" s="13">
        <v>40000</v>
      </c>
      <c r="J34" s="13">
        <v>30000</v>
      </c>
      <c r="K34" s="13">
        <f>+I34</f>
        <v>40000</v>
      </c>
      <c r="L34" s="13">
        <v>30000</v>
      </c>
      <c r="M34" s="13">
        <f>+K34</f>
        <v>40000</v>
      </c>
      <c r="N34" s="13">
        <v>30000</v>
      </c>
      <c r="O34" s="13">
        <f>+M34</f>
        <v>40000</v>
      </c>
      <c r="P34" s="13">
        <v>30000</v>
      </c>
      <c r="Q34" s="13">
        <f>+O34</f>
        <v>40000</v>
      </c>
      <c r="R34" s="13">
        <v>30000</v>
      </c>
      <c r="S34" s="13">
        <f>+Q34</f>
        <v>40000</v>
      </c>
      <c r="T34" s="13">
        <v>30000</v>
      </c>
      <c r="U34" s="13">
        <f>+S34</f>
        <v>40000</v>
      </c>
      <c r="V34" s="13">
        <v>30000</v>
      </c>
      <c r="W34" s="13">
        <f>+U34</f>
        <v>40000</v>
      </c>
      <c r="X34" s="13">
        <v>30000</v>
      </c>
      <c r="Y34" s="13">
        <f>+W34</f>
        <v>40000</v>
      </c>
      <c r="Z34" s="13">
        <v>30000</v>
      </c>
      <c r="AA34" s="13">
        <f t="shared" ref="AA34:AB37" si="6">+C34+E34+G34+I34+K34+M34+O34+Q34+S34+U34+W34+Y34</f>
        <v>582000</v>
      </c>
      <c r="AB34" s="13">
        <f t="shared" si="6"/>
        <v>360000</v>
      </c>
    </row>
    <row r="35" spans="2:28">
      <c r="B35" s="35" t="s">
        <v>245</v>
      </c>
      <c r="C35" s="13"/>
      <c r="D35" s="13">
        <v>0</v>
      </c>
      <c r="E35" s="13">
        <v>0</v>
      </c>
      <c r="F35" s="13">
        <v>0</v>
      </c>
      <c r="G35" s="13">
        <v>500000</v>
      </c>
      <c r="H35" s="13">
        <v>0</v>
      </c>
      <c r="I35" s="13">
        <v>0</v>
      </c>
      <c r="J35" s="13"/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f t="shared" si="6"/>
        <v>500000</v>
      </c>
      <c r="AB35" s="13">
        <f t="shared" si="6"/>
        <v>0</v>
      </c>
    </row>
    <row r="36" spans="2:28">
      <c r="B36" s="35" t="s">
        <v>201</v>
      </c>
      <c r="C36" s="13"/>
      <c r="D36" s="13">
        <v>0</v>
      </c>
      <c r="E36" s="13">
        <v>0</v>
      </c>
      <c r="F36" s="13">
        <v>0</v>
      </c>
      <c r="G36" s="13"/>
      <c r="H36" s="13">
        <v>0</v>
      </c>
      <c r="I36" s="13">
        <v>0</v>
      </c>
      <c r="J36" s="13"/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f t="shared" si="6"/>
        <v>0</v>
      </c>
      <c r="AB36" s="13">
        <f t="shared" si="6"/>
        <v>0</v>
      </c>
    </row>
    <row r="37" spans="2:28">
      <c r="B37" s="35" t="s">
        <v>252</v>
      </c>
      <c r="C37" s="13"/>
      <c r="D37" s="13">
        <v>0</v>
      </c>
      <c r="E37" s="13">
        <v>0</v>
      </c>
      <c r="F37" s="13">
        <v>0</v>
      </c>
      <c r="G37" s="13"/>
      <c r="H37" s="13">
        <v>0</v>
      </c>
      <c r="I37" s="13">
        <v>0</v>
      </c>
      <c r="J37" s="13"/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50000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f t="shared" si="6"/>
        <v>50000</v>
      </c>
      <c r="AB37" s="13">
        <f t="shared" si="6"/>
        <v>0</v>
      </c>
    </row>
    <row r="38" spans="2:28">
      <c r="B38" s="34" t="s">
        <v>24</v>
      </c>
      <c r="C38" s="58">
        <f>SUM(C39:C41)</f>
        <v>700000</v>
      </c>
      <c r="D38" s="58">
        <f>SUM(D39:D41)</f>
        <v>2127680</v>
      </c>
      <c r="E38" s="58">
        <f t="shared" ref="E38:Z38" si="7">SUM(E39:E41)</f>
        <v>669515</v>
      </c>
      <c r="F38" s="58">
        <f t="shared" si="7"/>
        <v>3638273</v>
      </c>
      <c r="G38" s="58">
        <f t="shared" si="7"/>
        <v>821000</v>
      </c>
      <c r="H38" s="58">
        <f t="shared" si="7"/>
        <v>2295469</v>
      </c>
      <c r="I38" s="58">
        <f t="shared" si="7"/>
        <v>1221340</v>
      </c>
      <c r="J38" s="58">
        <f t="shared" si="7"/>
        <v>2555900</v>
      </c>
      <c r="K38" s="58">
        <f t="shared" si="7"/>
        <v>1266375</v>
      </c>
      <c r="L38" s="58">
        <f t="shared" si="7"/>
        <v>4680330</v>
      </c>
      <c r="M38" s="58">
        <f t="shared" si="7"/>
        <v>1375120</v>
      </c>
      <c r="N38" s="58">
        <f t="shared" si="7"/>
        <v>2570966</v>
      </c>
      <c r="O38" s="58">
        <f t="shared" si="7"/>
        <v>399688</v>
      </c>
      <c r="P38" s="58">
        <f t="shared" si="7"/>
        <v>3365169</v>
      </c>
      <c r="Q38" s="58">
        <f t="shared" si="7"/>
        <v>1068326</v>
      </c>
      <c r="R38" s="58">
        <f t="shared" si="7"/>
        <v>1758050</v>
      </c>
      <c r="S38" s="58">
        <f t="shared" si="7"/>
        <v>1068326</v>
      </c>
      <c r="T38" s="58">
        <f t="shared" si="7"/>
        <v>0</v>
      </c>
      <c r="U38" s="58">
        <f t="shared" si="7"/>
        <v>2315470</v>
      </c>
      <c r="V38" s="58">
        <f t="shared" si="7"/>
        <v>0</v>
      </c>
      <c r="W38" s="58">
        <f t="shared" si="7"/>
        <v>2315470</v>
      </c>
      <c r="X38" s="58">
        <f t="shared" si="7"/>
        <v>1496500</v>
      </c>
      <c r="Y38" s="58">
        <f t="shared" si="7"/>
        <v>4893033</v>
      </c>
      <c r="Z38" s="58">
        <f t="shared" si="7"/>
        <v>4354485</v>
      </c>
      <c r="AA38" s="58">
        <f>SUM(AA39:AA41)</f>
        <v>18113663</v>
      </c>
      <c r="AB38" s="58">
        <f>SUM(AB39:AB41)</f>
        <v>28842822</v>
      </c>
    </row>
    <row r="39" spans="2:28">
      <c r="B39" s="35" t="s">
        <v>25</v>
      </c>
      <c r="C39" s="13">
        <v>0</v>
      </c>
      <c r="D39" s="13">
        <f>42800+56000+60030+19900+51500+98500+27600+66000+44150+189000+72200</f>
        <v>727680</v>
      </c>
      <c r="E39" s="13">
        <v>0</v>
      </c>
      <c r="F39" s="13">
        <f>99900+28450+73100+102922+115990+122900+76100+334000+24911</f>
        <v>978273</v>
      </c>
      <c r="G39" s="13"/>
      <c r="H39" s="13">
        <f>897609+38500+41000+82500+104300+36750+82800+108050+41960+21000+41000</f>
        <v>1495469</v>
      </c>
      <c r="I39" s="13">
        <f>18900+67100+155000+60165+75000</f>
        <v>376165</v>
      </c>
      <c r="J39" s="13">
        <f>34000+25300+76600+26000+38550+71100+27600+55700+72000+49500+52550+107500+19500</f>
        <v>655900</v>
      </c>
      <c r="K39" s="13">
        <f>42700+111990+802385</f>
        <v>957075</v>
      </c>
      <c r="L39" s="13">
        <f>32900+24100+22900+62900+470000+53280+150650+61800+51000+31800+130300+80000+74900+110000+28900+21900+173000</f>
        <v>1580330</v>
      </c>
      <c r="M39" s="13">
        <v>1000000</v>
      </c>
      <c r="N39" s="13">
        <f>300000+500000+500000</f>
        <v>1300000</v>
      </c>
      <c r="O39" s="13">
        <v>0</v>
      </c>
      <c r="P39" s="13">
        <f>500000+1000000+600000</f>
        <v>2100000</v>
      </c>
      <c r="Q39" s="13">
        <f>178425+293000+51521+169580</f>
        <v>692526</v>
      </c>
      <c r="R39" s="13">
        <f>300000+500000</f>
        <v>800000</v>
      </c>
      <c r="S39" s="13">
        <f>+Q39</f>
        <v>692526</v>
      </c>
      <c r="T39" s="13">
        <v>0</v>
      </c>
      <c r="U39" s="13">
        <v>2000000</v>
      </c>
      <c r="V39" s="13">
        <v>0</v>
      </c>
      <c r="W39" s="13">
        <f>+U39</f>
        <v>2000000</v>
      </c>
      <c r="X39" s="13">
        <f>136000+72000+76300+49000+63200</f>
        <v>396500</v>
      </c>
      <c r="Y39" s="13">
        <f>28840+170000+44000+32900+48060+156893+66200+34900+134900+86450+169000+103740+63000+158900+269700+66900+103200+121700+195798+104000+133952</f>
        <v>2293033</v>
      </c>
      <c r="Z39" s="13">
        <f>143750+151100+103100+69600+82800+113035+43200+150000+270000+38500+102700+86700</f>
        <v>1354485</v>
      </c>
      <c r="AA39" s="13">
        <f t="shared" ref="AA39:AB41" si="8">+C39+E39+G39+I39+K39+M39+O39+Q39+S39+U39+W39+Y39</f>
        <v>10011325</v>
      </c>
      <c r="AB39" s="13">
        <f t="shared" si="8"/>
        <v>11388637</v>
      </c>
    </row>
    <row r="40" spans="2:28">
      <c r="B40" s="35" t="s">
        <v>26</v>
      </c>
      <c r="C40" s="13">
        <v>700000</v>
      </c>
      <c r="D40" s="13">
        <f>300000+500000+600000</f>
        <v>1400000</v>
      </c>
      <c r="E40" s="13">
        <f>123751+80000</f>
        <v>203751</v>
      </c>
      <c r="F40" s="13">
        <f>1060000+600000+1000000</f>
        <v>2660000</v>
      </c>
      <c r="G40" s="13">
        <f>100000+21000+700000</f>
        <v>821000</v>
      </c>
      <c r="H40" s="13">
        <f>500000+300000</f>
        <v>800000</v>
      </c>
      <c r="I40" s="13">
        <f>28600+42301+14900+62000+400000+86774+210600</f>
        <v>845175</v>
      </c>
      <c r="J40" s="13">
        <f>200000+500000+200000+500000+500000</f>
        <v>1900000</v>
      </c>
      <c r="K40" s="13">
        <f>49950+57065+59250+46930+21550+74555</f>
        <v>309300</v>
      </c>
      <c r="L40" s="13">
        <f>300000+300000+600000+500000+600000+300000+500000</f>
        <v>3100000</v>
      </c>
      <c r="M40" s="13">
        <f>16000+8000+46000+18000+90000+78710+29400+32750+56260</f>
        <v>375120</v>
      </c>
      <c r="N40" s="13">
        <f>22600+136076+49200+111050+70000+79300+55900+49800+35000+38960+26700+30400+36050+63700+32500+136660+68500+55400+30000+71500+23700+47970</f>
        <v>1270966</v>
      </c>
      <c r="O40" s="13">
        <f>100340+24000+25000+74000+22800+22500+41048+90000</f>
        <v>399688</v>
      </c>
      <c r="P40" s="13">
        <f>43500+80000+20000+130619+47400+35400+91780+67650+150000+26000+100000+72000+37400+20000+77360+56000+50000+31520+79400+49140</f>
        <v>1265169</v>
      </c>
      <c r="Q40" s="13">
        <f>120000+29000+42290+24000+29900+33820+32800+63990</f>
        <v>375800</v>
      </c>
      <c r="R40" s="13">
        <f>19100+35000+37000+27050+87900</f>
        <v>206050</v>
      </c>
      <c r="S40" s="13">
        <f>+Q40</f>
        <v>375800</v>
      </c>
      <c r="T40" s="13">
        <v>0</v>
      </c>
      <c r="U40" s="13">
        <f>29900+35370+100650+24400+35750+44400+45000</f>
        <v>315470</v>
      </c>
      <c r="V40" s="13">
        <v>0</v>
      </c>
      <c r="W40" s="13">
        <f>+U40</f>
        <v>315470</v>
      </c>
      <c r="X40" s="13">
        <f>300000+700000+100000</f>
        <v>1100000</v>
      </c>
      <c r="Y40" s="13">
        <f>1000000+500000+100000+500000+500000</f>
        <v>2600000</v>
      </c>
      <c r="Z40" s="13">
        <f>1000000+500000+500000+1000000</f>
        <v>3000000</v>
      </c>
      <c r="AA40" s="13">
        <f t="shared" si="8"/>
        <v>7636574</v>
      </c>
      <c r="AB40" s="13">
        <f t="shared" si="8"/>
        <v>16702185</v>
      </c>
    </row>
    <row r="41" spans="2:28">
      <c r="B41" s="35" t="s">
        <v>27</v>
      </c>
      <c r="C41" s="13"/>
      <c r="D41" s="13"/>
      <c r="E41" s="13">
        <v>465764</v>
      </c>
      <c r="F41" s="13">
        <v>0</v>
      </c>
      <c r="G41" s="13"/>
      <c r="H41" s="13">
        <v>0</v>
      </c>
      <c r="I41" s="13">
        <v>0</v>
      </c>
      <c r="J41" s="13">
        <v>0</v>
      </c>
      <c r="K41" s="13">
        <f>+I41</f>
        <v>0</v>
      </c>
      <c r="L41" s="13">
        <v>0</v>
      </c>
      <c r="M41" s="13">
        <f>+K41</f>
        <v>0</v>
      </c>
      <c r="N41" s="13">
        <v>0</v>
      </c>
      <c r="O41" s="13">
        <v>0</v>
      </c>
      <c r="P41" s="13">
        <v>0</v>
      </c>
      <c r="Q41" s="13">
        <v>0</v>
      </c>
      <c r="R41" s="13">
        <v>752000</v>
      </c>
      <c r="S41" s="13">
        <f>+Q41</f>
        <v>0</v>
      </c>
      <c r="T41" s="13">
        <v>0</v>
      </c>
      <c r="U41" s="13">
        <v>0</v>
      </c>
      <c r="V41" s="13">
        <v>0</v>
      </c>
      <c r="W41" s="13">
        <f>+U41</f>
        <v>0</v>
      </c>
      <c r="X41" s="13">
        <v>0</v>
      </c>
      <c r="Y41" s="13">
        <f>+W41</f>
        <v>0</v>
      </c>
      <c r="Z41" s="13">
        <v>0</v>
      </c>
      <c r="AA41" s="13">
        <f t="shared" si="8"/>
        <v>465764</v>
      </c>
      <c r="AB41" s="13">
        <f t="shared" si="8"/>
        <v>752000</v>
      </c>
    </row>
    <row r="42" spans="2:28">
      <c r="B42" s="34" t="s">
        <v>28</v>
      </c>
      <c r="C42" s="58">
        <f>SUM(C43:C46)</f>
        <v>0</v>
      </c>
      <c r="D42" s="58">
        <f>SUM(D43:D46)</f>
        <v>0</v>
      </c>
      <c r="E42" s="58">
        <f t="shared" ref="E42:Z42" si="9">SUM(E43:E46)</f>
        <v>0</v>
      </c>
      <c r="F42" s="58">
        <f t="shared" si="9"/>
        <v>0</v>
      </c>
      <c r="G42" s="58">
        <f t="shared" si="9"/>
        <v>0</v>
      </c>
      <c r="H42" s="58">
        <f t="shared" si="9"/>
        <v>0</v>
      </c>
      <c r="I42" s="58">
        <f t="shared" si="9"/>
        <v>0</v>
      </c>
      <c r="J42" s="58">
        <f t="shared" si="9"/>
        <v>0</v>
      </c>
      <c r="K42" s="58">
        <f t="shared" si="9"/>
        <v>0</v>
      </c>
      <c r="L42" s="58">
        <f t="shared" si="9"/>
        <v>0</v>
      </c>
      <c r="M42" s="58">
        <f t="shared" si="9"/>
        <v>0</v>
      </c>
      <c r="N42" s="58">
        <f t="shared" si="9"/>
        <v>0</v>
      </c>
      <c r="O42" s="58">
        <f t="shared" si="9"/>
        <v>0</v>
      </c>
      <c r="P42" s="58">
        <f t="shared" si="9"/>
        <v>0</v>
      </c>
      <c r="Q42" s="58">
        <f t="shared" si="9"/>
        <v>0</v>
      </c>
      <c r="R42" s="58">
        <f t="shared" si="9"/>
        <v>0</v>
      </c>
      <c r="S42" s="58">
        <f t="shared" si="9"/>
        <v>0</v>
      </c>
      <c r="T42" s="58">
        <f t="shared" si="9"/>
        <v>0</v>
      </c>
      <c r="U42" s="58">
        <f t="shared" si="9"/>
        <v>0</v>
      </c>
      <c r="V42" s="58">
        <f t="shared" si="9"/>
        <v>0</v>
      </c>
      <c r="W42" s="58">
        <f t="shared" si="9"/>
        <v>0</v>
      </c>
      <c r="X42" s="58">
        <f t="shared" si="9"/>
        <v>0</v>
      </c>
      <c r="Y42" s="58">
        <f t="shared" si="9"/>
        <v>0</v>
      </c>
      <c r="Z42" s="58">
        <f t="shared" si="9"/>
        <v>0</v>
      </c>
      <c r="AA42" s="58">
        <f>SUM(AA43:AA46)</f>
        <v>0</v>
      </c>
      <c r="AB42" s="58">
        <f>SUM(AB43:AB46)</f>
        <v>0</v>
      </c>
    </row>
    <row r="43" spans="2:28">
      <c r="B43" s="35" t="s">
        <v>29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f t="shared" ref="AA43:AB46" si="10">+C43+E43+G43+I43+K43+M43+O43+Q43+S43+U43+W43+Y43</f>
        <v>0</v>
      </c>
      <c r="AB43" s="13">
        <f t="shared" si="10"/>
        <v>0</v>
      </c>
    </row>
    <row r="44" spans="2:28">
      <c r="B44" s="35" t="s">
        <v>202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f t="shared" si="10"/>
        <v>0</v>
      </c>
      <c r="AB44" s="13">
        <f t="shared" si="10"/>
        <v>0</v>
      </c>
    </row>
    <row r="45" spans="2:28">
      <c r="B45" s="35" t="s">
        <v>133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f t="shared" si="10"/>
        <v>0</v>
      </c>
      <c r="AB45" s="13">
        <f t="shared" si="10"/>
        <v>0</v>
      </c>
    </row>
    <row r="46" spans="2:28">
      <c r="B46" s="35" t="s">
        <v>233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f t="shared" si="10"/>
        <v>0</v>
      </c>
      <c r="AB46" s="13">
        <f t="shared" si="10"/>
        <v>0</v>
      </c>
    </row>
    <row r="47" spans="2:28">
      <c r="B47" s="34" t="s">
        <v>1</v>
      </c>
      <c r="C47" s="58">
        <f t="shared" ref="C47:AA47" si="11">SUM(C48:C58)</f>
        <v>210000</v>
      </c>
      <c r="D47" s="58">
        <f t="shared" si="11"/>
        <v>120000</v>
      </c>
      <c r="E47" s="58">
        <f t="shared" si="11"/>
        <v>230000</v>
      </c>
      <c r="F47" s="58">
        <f t="shared" si="11"/>
        <v>0</v>
      </c>
      <c r="G47" s="58">
        <f t="shared" si="11"/>
        <v>250000</v>
      </c>
      <c r="H47" s="58">
        <f t="shared" si="11"/>
        <v>90036</v>
      </c>
      <c r="I47" s="58">
        <f t="shared" si="11"/>
        <v>210000</v>
      </c>
      <c r="J47" s="58">
        <f t="shared" si="11"/>
        <v>150000</v>
      </c>
      <c r="K47" s="58">
        <f t="shared" si="11"/>
        <v>210000</v>
      </c>
      <c r="L47" s="58">
        <f t="shared" si="11"/>
        <v>122000</v>
      </c>
      <c r="M47" s="58">
        <f t="shared" si="11"/>
        <v>215000</v>
      </c>
      <c r="N47" s="58">
        <f t="shared" si="11"/>
        <v>120000</v>
      </c>
      <c r="O47" s="58">
        <f t="shared" si="11"/>
        <v>215000</v>
      </c>
      <c r="P47" s="58">
        <f t="shared" si="11"/>
        <v>0</v>
      </c>
      <c r="Q47" s="58">
        <f t="shared" si="11"/>
        <v>255000</v>
      </c>
      <c r="R47" s="58">
        <f t="shared" si="11"/>
        <v>74998</v>
      </c>
      <c r="S47" s="58">
        <f t="shared" si="11"/>
        <v>255000</v>
      </c>
      <c r="T47" s="58">
        <f t="shared" si="11"/>
        <v>0</v>
      </c>
      <c r="U47" s="58">
        <f t="shared" si="11"/>
        <v>255000</v>
      </c>
      <c r="V47" s="58">
        <f t="shared" si="11"/>
        <v>0</v>
      </c>
      <c r="W47" s="58">
        <f t="shared" si="11"/>
        <v>255000</v>
      </c>
      <c r="X47" s="58">
        <f t="shared" si="11"/>
        <v>150000</v>
      </c>
      <c r="Y47" s="58">
        <f t="shared" si="11"/>
        <v>255000</v>
      </c>
      <c r="Z47" s="58">
        <f t="shared" si="11"/>
        <v>0</v>
      </c>
      <c r="AA47" s="58">
        <f t="shared" si="11"/>
        <v>2815000</v>
      </c>
      <c r="AB47" s="58">
        <f>SUM(AB48:AB58)</f>
        <v>827034</v>
      </c>
    </row>
    <row r="48" spans="2:28">
      <c r="B48" s="35" t="s">
        <v>30</v>
      </c>
      <c r="C48" s="13"/>
      <c r="D48" s="13">
        <v>0</v>
      </c>
      <c r="E48" s="13">
        <v>0</v>
      </c>
      <c r="F48" s="13">
        <v>0</v>
      </c>
      <c r="G48" s="13"/>
      <c r="H48" s="13">
        <v>0</v>
      </c>
      <c r="I48" s="13">
        <v>0</v>
      </c>
      <c r="J48" s="13">
        <v>0</v>
      </c>
      <c r="K48" s="13">
        <f t="shared" ref="K48:K58" si="12">+I48</f>
        <v>0</v>
      </c>
      <c r="L48" s="13">
        <v>0</v>
      </c>
      <c r="M48" s="13">
        <f>+K48</f>
        <v>0</v>
      </c>
      <c r="N48" s="13">
        <v>0</v>
      </c>
      <c r="O48" s="13">
        <f t="shared" ref="O48:O58" si="13">+M48</f>
        <v>0</v>
      </c>
      <c r="P48" s="13">
        <v>0</v>
      </c>
      <c r="Q48" s="13">
        <f>+O48</f>
        <v>0</v>
      </c>
      <c r="R48" s="13">
        <v>0</v>
      </c>
      <c r="S48" s="13">
        <f t="shared" ref="S48:S58" si="14">+Q48</f>
        <v>0</v>
      </c>
      <c r="T48" s="13">
        <v>0</v>
      </c>
      <c r="U48" s="13">
        <f t="shared" ref="U48:U58" si="15">+S48</f>
        <v>0</v>
      </c>
      <c r="V48" s="13">
        <v>0</v>
      </c>
      <c r="W48" s="13">
        <f t="shared" ref="W48:W58" si="16">+U48</f>
        <v>0</v>
      </c>
      <c r="X48" s="13">
        <v>0</v>
      </c>
      <c r="Y48" s="13">
        <f t="shared" ref="Y48:Y58" si="17">+W48</f>
        <v>0</v>
      </c>
      <c r="Z48" s="13">
        <v>0</v>
      </c>
      <c r="AA48" s="13">
        <f t="shared" ref="AA48:AA58" si="18">+C48+E48+G48+I48+K48+M48+O48+Q48+S48+U48+W48+Y48</f>
        <v>0</v>
      </c>
      <c r="AB48" s="13">
        <f t="shared" ref="AB48:AB58" si="19">+D48+F48+H48+J48+L48+N48+P48+R48+T48+V48+X48+Z48</f>
        <v>0</v>
      </c>
    </row>
    <row r="49" spans="2:28">
      <c r="B49" s="35" t="s">
        <v>223</v>
      </c>
      <c r="C49" s="13">
        <v>0</v>
      </c>
      <c r="D49" s="13">
        <v>0</v>
      </c>
      <c r="E49" s="13">
        <v>0</v>
      </c>
      <c r="F49" s="13">
        <v>0</v>
      </c>
      <c r="G49" s="13"/>
      <c r="H49" s="13">
        <v>0</v>
      </c>
      <c r="I49" s="13">
        <v>0</v>
      </c>
      <c r="J49" s="13">
        <v>0</v>
      </c>
      <c r="K49" s="13">
        <f t="shared" si="12"/>
        <v>0</v>
      </c>
      <c r="L49" s="13">
        <v>0</v>
      </c>
      <c r="M49" s="13">
        <f>+K49</f>
        <v>0</v>
      </c>
      <c r="N49" s="13">
        <v>0</v>
      </c>
      <c r="O49" s="13">
        <f t="shared" si="13"/>
        <v>0</v>
      </c>
      <c r="P49" s="13">
        <v>0</v>
      </c>
      <c r="Q49" s="13">
        <v>0</v>
      </c>
      <c r="R49" s="13">
        <v>0</v>
      </c>
      <c r="S49" s="13">
        <f t="shared" si="14"/>
        <v>0</v>
      </c>
      <c r="T49" s="13">
        <v>0</v>
      </c>
      <c r="U49" s="13">
        <f t="shared" si="15"/>
        <v>0</v>
      </c>
      <c r="V49" s="13">
        <v>0</v>
      </c>
      <c r="W49" s="13">
        <f t="shared" si="16"/>
        <v>0</v>
      </c>
      <c r="X49" s="13">
        <v>0</v>
      </c>
      <c r="Y49" s="13">
        <f t="shared" si="17"/>
        <v>0</v>
      </c>
      <c r="Z49" s="13">
        <v>0</v>
      </c>
      <c r="AA49" s="13">
        <f t="shared" si="18"/>
        <v>0</v>
      </c>
      <c r="AB49" s="13">
        <f t="shared" si="19"/>
        <v>0</v>
      </c>
    </row>
    <row r="50" spans="2:28">
      <c r="B50" s="35" t="s">
        <v>164</v>
      </c>
      <c r="C50" s="13">
        <v>0</v>
      </c>
      <c r="D50" s="13">
        <v>0</v>
      </c>
      <c r="E50" s="13">
        <v>20000</v>
      </c>
      <c r="F50" s="13">
        <v>0</v>
      </c>
      <c r="G50" s="13">
        <v>40000</v>
      </c>
      <c r="H50" s="13">
        <v>0</v>
      </c>
      <c r="I50" s="13">
        <v>0</v>
      </c>
      <c r="J50" s="13">
        <v>0</v>
      </c>
      <c r="K50" s="13">
        <f t="shared" si="12"/>
        <v>0</v>
      </c>
      <c r="L50" s="13">
        <v>0</v>
      </c>
      <c r="M50" s="13">
        <f>+K50</f>
        <v>0</v>
      </c>
      <c r="N50" s="13">
        <v>0</v>
      </c>
      <c r="O50" s="13">
        <f t="shared" si="13"/>
        <v>0</v>
      </c>
      <c r="P50" s="13">
        <v>0</v>
      </c>
      <c r="Q50" s="13">
        <v>40000</v>
      </c>
      <c r="R50" s="13">
        <v>0</v>
      </c>
      <c r="S50" s="13">
        <f t="shared" si="14"/>
        <v>40000</v>
      </c>
      <c r="T50" s="13">
        <v>0</v>
      </c>
      <c r="U50" s="13">
        <f t="shared" si="15"/>
        <v>40000</v>
      </c>
      <c r="V50" s="13">
        <v>0</v>
      </c>
      <c r="W50" s="13">
        <f t="shared" si="16"/>
        <v>40000</v>
      </c>
      <c r="X50" s="13">
        <v>150000</v>
      </c>
      <c r="Y50" s="13">
        <f t="shared" si="17"/>
        <v>40000</v>
      </c>
      <c r="Z50" s="13">
        <v>0</v>
      </c>
      <c r="AA50" s="13">
        <f t="shared" si="18"/>
        <v>260000</v>
      </c>
      <c r="AB50" s="13">
        <f t="shared" si="19"/>
        <v>150000</v>
      </c>
    </row>
    <row r="51" spans="2:28">
      <c r="B51" s="35" t="s">
        <v>31</v>
      </c>
      <c r="C51" s="13"/>
      <c r="D51" s="13">
        <v>0</v>
      </c>
      <c r="E51" s="13">
        <v>0</v>
      </c>
      <c r="F51" s="13">
        <v>0</v>
      </c>
      <c r="G51" s="13"/>
      <c r="H51" s="13">
        <v>0</v>
      </c>
      <c r="I51" s="13">
        <v>0</v>
      </c>
      <c r="J51" s="13">
        <v>0</v>
      </c>
      <c r="K51" s="13">
        <f t="shared" si="12"/>
        <v>0</v>
      </c>
      <c r="L51" s="13">
        <v>0</v>
      </c>
      <c r="M51" s="13">
        <f>+K51</f>
        <v>0</v>
      </c>
      <c r="N51" s="13">
        <v>0</v>
      </c>
      <c r="O51" s="13">
        <f t="shared" si="13"/>
        <v>0</v>
      </c>
      <c r="P51" s="13">
        <v>0</v>
      </c>
      <c r="Q51" s="13">
        <v>0</v>
      </c>
      <c r="R51" s="13">
        <v>0</v>
      </c>
      <c r="S51" s="13">
        <f t="shared" si="14"/>
        <v>0</v>
      </c>
      <c r="T51" s="13">
        <v>0</v>
      </c>
      <c r="U51" s="13">
        <f t="shared" si="15"/>
        <v>0</v>
      </c>
      <c r="V51" s="13">
        <v>0</v>
      </c>
      <c r="W51" s="13">
        <f t="shared" si="16"/>
        <v>0</v>
      </c>
      <c r="X51" s="13">
        <v>0</v>
      </c>
      <c r="Y51" s="13">
        <f t="shared" si="17"/>
        <v>0</v>
      </c>
      <c r="Z51" s="13">
        <v>0</v>
      </c>
      <c r="AA51" s="13">
        <f t="shared" si="18"/>
        <v>0</v>
      </c>
      <c r="AB51" s="13">
        <f t="shared" si="19"/>
        <v>0</v>
      </c>
    </row>
    <row r="52" spans="2:28">
      <c r="B52" s="35" t="s">
        <v>32</v>
      </c>
      <c r="C52" s="13">
        <v>100000</v>
      </c>
      <c r="D52" s="13">
        <v>120000</v>
      </c>
      <c r="E52" s="13">
        <v>100000</v>
      </c>
      <c r="F52" s="13">
        <v>0</v>
      </c>
      <c r="G52" s="13">
        <v>100000</v>
      </c>
      <c r="H52" s="13">
        <v>90036</v>
      </c>
      <c r="I52" s="13">
        <v>100000</v>
      </c>
      <c r="J52" s="13">
        <v>150000</v>
      </c>
      <c r="K52" s="13">
        <f t="shared" si="12"/>
        <v>100000</v>
      </c>
      <c r="L52" s="13">
        <v>122000</v>
      </c>
      <c r="M52" s="13">
        <f>+K52</f>
        <v>100000</v>
      </c>
      <c r="N52" s="13">
        <v>120000</v>
      </c>
      <c r="O52" s="13">
        <f t="shared" si="13"/>
        <v>100000</v>
      </c>
      <c r="P52" s="13">
        <v>0</v>
      </c>
      <c r="Q52" s="13">
        <f>+O52</f>
        <v>100000</v>
      </c>
      <c r="R52" s="13">
        <v>74998</v>
      </c>
      <c r="S52" s="13">
        <f t="shared" si="14"/>
        <v>100000</v>
      </c>
      <c r="T52" s="13">
        <v>0</v>
      </c>
      <c r="U52" s="13">
        <f t="shared" si="15"/>
        <v>100000</v>
      </c>
      <c r="V52" s="13">
        <v>0</v>
      </c>
      <c r="W52" s="13">
        <f t="shared" si="16"/>
        <v>100000</v>
      </c>
      <c r="X52" s="13">
        <v>0</v>
      </c>
      <c r="Y52" s="13">
        <f t="shared" si="17"/>
        <v>100000</v>
      </c>
      <c r="Z52" s="13">
        <v>0</v>
      </c>
      <c r="AA52" s="13">
        <f t="shared" si="18"/>
        <v>1200000</v>
      </c>
      <c r="AB52" s="13">
        <f t="shared" si="19"/>
        <v>677034</v>
      </c>
    </row>
    <row r="53" spans="2:28">
      <c r="B53" s="35" t="s">
        <v>165</v>
      </c>
      <c r="C53" s="13">
        <v>110000</v>
      </c>
      <c r="D53" s="13">
        <v>0</v>
      </c>
      <c r="E53" s="13">
        <v>110000</v>
      </c>
      <c r="F53" s="13">
        <v>0</v>
      </c>
      <c r="G53" s="13">
        <v>110000</v>
      </c>
      <c r="H53" s="13">
        <v>0</v>
      </c>
      <c r="I53" s="13">
        <v>110000</v>
      </c>
      <c r="J53" s="13">
        <v>0</v>
      </c>
      <c r="K53" s="13">
        <f t="shared" si="12"/>
        <v>110000</v>
      </c>
      <c r="L53" s="13">
        <v>0</v>
      </c>
      <c r="M53" s="13">
        <v>115000</v>
      </c>
      <c r="N53" s="13">
        <v>0</v>
      </c>
      <c r="O53" s="13">
        <f t="shared" si="13"/>
        <v>115000</v>
      </c>
      <c r="P53" s="13">
        <v>0</v>
      </c>
      <c r="Q53" s="13">
        <f>+O53</f>
        <v>115000</v>
      </c>
      <c r="R53" s="13">
        <v>0</v>
      </c>
      <c r="S53" s="13">
        <f t="shared" si="14"/>
        <v>115000</v>
      </c>
      <c r="T53" s="13">
        <v>0</v>
      </c>
      <c r="U53" s="13">
        <f t="shared" si="15"/>
        <v>115000</v>
      </c>
      <c r="V53" s="13">
        <f>+T53</f>
        <v>0</v>
      </c>
      <c r="W53" s="13">
        <f t="shared" si="16"/>
        <v>115000</v>
      </c>
      <c r="X53" s="13">
        <v>0</v>
      </c>
      <c r="Y53" s="13">
        <f t="shared" si="17"/>
        <v>115000</v>
      </c>
      <c r="Z53" s="13">
        <v>0</v>
      </c>
      <c r="AA53" s="13">
        <f t="shared" si="18"/>
        <v>1355000</v>
      </c>
      <c r="AB53" s="13">
        <f t="shared" si="19"/>
        <v>0</v>
      </c>
    </row>
    <row r="54" spans="2:28">
      <c r="B54" s="35" t="s">
        <v>166</v>
      </c>
      <c r="C54" s="13"/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12"/>
        <v>0</v>
      </c>
      <c r="L54" s="13">
        <v>0</v>
      </c>
      <c r="M54" s="13">
        <f>+K54</f>
        <v>0</v>
      </c>
      <c r="N54" s="13">
        <v>0</v>
      </c>
      <c r="O54" s="13">
        <f t="shared" si="13"/>
        <v>0</v>
      </c>
      <c r="P54" s="13">
        <v>0</v>
      </c>
      <c r="Q54" s="13">
        <v>0</v>
      </c>
      <c r="R54" s="13">
        <v>0</v>
      </c>
      <c r="S54" s="13">
        <f t="shared" si="14"/>
        <v>0</v>
      </c>
      <c r="T54" s="13">
        <v>0</v>
      </c>
      <c r="U54" s="13">
        <f t="shared" si="15"/>
        <v>0</v>
      </c>
      <c r="V54" s="13">
        <v>0</v>
      </c>
      <c r="W54" s="13">
        <f t="shared" si="16"/>
        <v>0</v>
      </c>
      <c r="X54" s="13">
        <v>0</v>
      </c>
      <c r="Y54" s="13">
        <f t="shared" si="17"/>
        <v>0</v>
      </c>
      <c r="Z54" s="13">
        <v>0</v>
      </c>
      <c r="AA54" s="13">
        <f t="shared" si="18"/>
        <v>0</v>
      </c>
      <c r="AB54" s="13">
        <f t="shared" si="19"/>
        <v>0</v>
      </c>
    </row>
    <row r="55" spans="2:28">
      <c r="B55" s="35" t="s">
        <v>167</v>
      </c>
      <c r="C55" s="13"/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12"/>
        <v>0</v>
      </c>
      <c r="L55" s="13">
        <v>0</v>
      </c>
      <c r="M55" s="13">
        <f>+K55</f>
        <v>0</v>
      </c>
      <c r="N55" s="13">
        <v>0</v>
      </c>
      <c r="O55" s="13">
        <f t="shared" si="13"/>
        <v>0</v>
      </c>
      <c r="P55" s="13">
        <v>0</v>
      </c>
      <c r="Q55" s="13">
        <v>0</v>
      </c>
      <c r="R55" s="13">
        <v>0</v>
      </c>
      <c r="S55" s="13">
        <f t="shared" si="14"/>
        <v>0</v>
      </c>
      <c r="T55" s="13">
        <v>0</v>
      </c>
      <c r="U55" s="13">
        <f t="shared" si="15"/>
        <v>0</v>
      </c>
      <c r="V55" s="13">
        <v>0</v>
      </c>
      <c r="W55" s="13">
        <f t="shared" si="16"/>
        <v>0</v>
      </c>
      <c r="X55" s="13">
        <v>0</v>
      </c>
      <c r="Y55" s="13">
        <f t="shared" si="17"/>
        <v>0</v>
      </c>
      <c r="Z55" s="13">
        <v>0</v>
      </c>
      <c r="AA55" s="13">
        <f t="shared" si="18"/>
        <v>0</v>
      </c>
      <c r="AB55" s="13">
        <f t="shared" si="19"/>
        <v>0</v>
      </c>
    </row>
    <row r="56" spans="2:28">
      <c r="B56" s="35" t="s">
        <v>33</v>
      </c>
      <c r="C56" s="13"/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12"/>
        <v>0</v>
      </c>
      <c r="L56" s="13">
        <v>0</v>
      </c>
      <c r="M56" s="13">
        <f>+K56</f>
        <v>0</v>
      </c>
      <c r="N56" s="13">
        <v>0</v>
      </c>
      <c r="O56" s="13">
        <f t="shared" si="13"/>
        <v>0</v>
      </c>
      <c r="P56" s="13">
        <v>0</v>
      </c>
      <c r="Q56" s="13">
        <v>0</v>
      </c>
      <c r="R56" s="13">
        <v>0</v>
      </c>
      <c r="S56" s="13">
        <f t="shared" si="14"/>
        <v>0</v>
      </c>
      <c r="T56" s="13">
        <v>0</v>
      </c>
      <c r="U56" s="13">
        <f t="shared" si="15"/>
        <v>0</v>
      </c>
      <c r="V56" s="13">
        <v>0</v>
      </c>
      <c r="W56" s="13">
        <f t="shared" si="16"/>
        <v>0</v>
      </c>
      <c r="X56" s="13">
        <v>0</v>
      </c>
      <c r="Y56" s="13">
        <f t="shared" si="17"/>
        <v>0</v>
      </c>
      <c r="Z56" s="13">
        <v>0</v>
      </c>
      <c r="AA56" s="13">
        <f>+C56+E56+G56+I56+K56+M56+O56+Q56+S56+U56+W56+Y56</f>
        <v>0</v>
      </c>
      <c r="AB56" s="13">
        <f>+D56+F56+H56+J56+L56+N56+P56+R56+T56+V56+X56+Z56</f>
        <v>0</v>
      </c>
    </row>
    <row r="57" spans="2:28">
      <c r="B57" s="35" t="s">
        <v>34</v>
      </c>
      <c r="C57" s="13"/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12"/>
        <v>0</v>
      </c>
      <c r="L57" s="13">
        <v>0</v>
      </c>
      <c r="M57" s="13">
        <f>+K57</f>
        <v>0</v>
      </c>
      <c r="N57" s="13">
        <v>0</v>
      </c>
      <c r="O57" s="13">
        <f t="shared" si="13"/>
        <v>0</v>
      </c>
      <c r="P57" s="13">
        <v>0</v>
      </c>
      <c r="Q57" s="13">
        <f>+O57</f>
        <v>0</v>
      </c>
      <c r="R57" s="13">
        <v>0</v>
      </c>
      <c r="S57" s="13">
        <f t="shared" si="14"/>
        <v>0</v>
      </c>
      <c r="T57" s="13">
        <v>0</v>
      </c>
      <c r="U57" s="13">
        <f t="shared" si="15"/>
        <v>0</v>
      </c>
      <c r="V57" s="13">
        <v>0</v>
      </c>
      <c r="W57" s="13">
        <f t="shared" si="16"/>
        <v>0</v>
      </c>
      <c r="X57" s="13">
        <v>0</v>
      </c>
      <c r="Y57" s="13">
        <f t="shared" si="17"/>
        <v>0</v>
      </c>
      <c r="Z57" s="13">
        <v>0</v>
      </c>
      <c r="AA57" s="13">
        <f t="shared" si="18"/>
        <v>0</v>
      </c>
      <c r="AB57" s="13">
        <f t="shared" si="19"/>
        <v>0</v>
      </c>
    </row>
    <row r="58" spans="2:28">
      <c r="B58" s="35" t="s">
        <v>35</v>
      </c>
      <c r="C58" s="13"/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12"/>
        <v>0</v>
      </c>
      <c r="L58" s="13">
        <v>0</v>
      </c>
      <c r="M58" s="13">
        <f>+K58</f>
        <v>0</v>
      </c>
      <c r="N58" s="13">
        <v>0</v>
      </c>
      <c r="O58" s="13">
        <f t="shared" si="13"/>
        <v>0</v>
      </c>
      <c r="P58" s="13">
        <v>0</v>
      </c>
      <c r="Q58" s="13">
        <f>+O58</f>
        <v>0</v>
      </c>
      <c r="R58" s="13">
        <v>0</v>
      </c>
      <c r="S58" s="13">
        <f t="shared" si="14"/>
        <v>0</v>
      </c>
      <c r="T58" s="13">
        <v>0</v>
      </c>
      <c r="U58" s="13">
        <f t="shared" si="15"/>
        <v>0</v>
      </c>
      <c r="V58" s="13">
        <v>0</v>
      </c>
      <c r="W58" s="13">
        <f t="shared" si="16"/>
        <v>0</v>
      </c>
      <c r="X58" s="13">
        <v>0</v>
      </c>
      <c r="Y58" s="13">
        <f t="shared" si="17"/>
        <v>0</v>
      </c>
      <c r="Z58" s="13">
        <v>0</v>
      </c>
      <c r="AA58" s="13">
        <f t="shared" si="18"/>
        <v>0</v>
      </c>
      <c r="AB58" s="13">
        <f t="shared" si="19"/>
        <v>0</v>
      </c>
    </row>
    <row r="59" spans="2:28">
      <c r="B59" s="34" t="s">
        <v>231</v>
      </c>
      <c r="C59" s="58">
        <f>SUM(C60:C77)</f>
        <v>1347910</v>
      </c>
      <c r="D59" s="58">
        <f>SUM(D60:D77)</f>
        <v>1217100</v>
      </c>
      <c r="E59" s="58">
        <f t="shared" ref="E59:Z59" si="20">SUM(E60:E77)</f>
        <v>814400</v>
      </c>
      <c r="F59" s="58">
        <f t="shared" si="20"/>
        <v>1079000</v>
      </c>
      <c r="G59" s="58">
        <f t="shared" si="20"/>
        <v>1296700</v>
      </c>
      <c r="H59" s="58">
        <f t="shared" si="20"/>
        <v>1085600</v>
      </c>
      <c r="I59" s="58">
        <f t="shared" si="20"/>
        <v>2135544</v>
      </c>
      <c r="J59" s="58">
        <f t="shared" si="20"/>
        <v>1821400</v>
      </c>
      <c r="K59" s="58">
        <f t="shared" si="20"/>
        <v>2563120</v>
      </c>
      <c r="L59" s="58">
        <f t="shared" si="20"/>
        <v>1953200</v>
      </c>
      <c r="M59" s="58">
        <f t="shared" si="20"/>
        <v>1867400</v>
      </c>
      <c r="N59" s="58">
        <f t="shared" si="20"/>
        <v>1243900</v>
      </c>
      <c r="O59" s="58">
        <f t="shared" si="20"/>
        <v>804500</v>
      </c>
      <c r="P59" s="58">
        <f t="shared" si="20"/>
        <v>523800</v>
      </c>
      <c r="Q59" s="58">
        <f t="shared" si="20"/>
        <v>2007200</v>
      </c>
      <c r="R59" s="58">
        <f t="shared" si="20"/>
        <v>740900</v>
      </c>
      <c r="S59" s="58">
        <f t="shared" si="20"/>
        <v>785600</v>
      </c>
      <c r="T59" s="58">
        <f t="shared" si="20"/>
        <v>0</v>
      </c>
      <c r="U59" s="58">
        <f t="shared" si="20"/>
        <v>1816200</v>
      </c>
      <c r="V59" s="58">
        <f t="shared" si="20"/>
        <v>1224000</v>
      </c>
      <c r="W59" s="58">
        <f t="shared" si="20"/>
        <v>1158135</v>
      </c>
      <c r="X59" s="58">
        <f t="shared" si="20"/>
        <v>0</v>
      </c>
      <c r="Y59" s="58">
        <f t="shared" si="20"/>
        <v>905035</v>
      </c>
      <c r="Z59" s="58">
        <f t="shared" si="20"/>
        <v>2062000</v>
      </c>
      <c r="AA59" s="58">
        <f>SUM(AA60:AA77)</f>
        <v>17501744</v>
      </c>
      <c r="AB59" s="58">
        <f>SUM(AB60:AB77)</f>
        <v>12950900</v>
      </c>
    </row>
    <row r="60" spans="2:28">
      <c r="B60" s="35" t="s">
        <v>137</v>
      </c>
      <c r="C60" s="13"/>
      <c r="D60" s="13"/>
      <c r="E60" s="13">
        <v>0</v>
      </c>
      <c r="F60" s="13">
        <v>0</v>
      </c>
      <c r="G60" s="13"/>
      <c r="H60" s="13">
        <v>0</v>
      </c>
      <c r="I60" s="13"/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f t="shared" ref="Y60:Y77" si="21">+W60</f>
        <v>0</v>
      </c>
      <c r="Z60" s="13">
        <v>0</v>
      </c>
      <c r="AA60" s="13">
        <f>+C60+E60+G60+I60+K60+M60+O60+Q60+S60+U60+W60+Y60</f>
        <v>0</v>
      </c>
      <c r="AB60" s="13">
        <f>+D60+F60+H60+J60+L60+N60+P60+R60+T60+V60+X60+Z60</f>
        <v>0</v>
      </c>
    </row>
    <row r="61" spans="2:28">
      <c r="B61" s="35" t="s">
        <v>138</v>
      </c>
      <c r="C61" s="13">
        <v>542200</v>
      </c>
      <c r="D61" s="13">
        <v>654100</v>
      </c>
      <c r="E61" s="13">
        <v>464400</v>
      </c>
      <c r="F61" s="13">
        <v>479000</v>
      </c>
      <c r="G61" s="13">
        <v>365700</v>
      </c>
      <c r="H61" s="13">
        <v>579100</v>
      </c>
      <c r="I61" s="13">
        <v>436000</v>
      </c>
      <c r="J61" s="13">
        <v>406400</v>
      </c>
      <c r="K61" s="13">
        <v>638500</v>
      </c>
      <c r="L61" s="13">
        <v>523200</v>
      </c>
      <c r="M61" s="13">
        <v>362900</v>
      </c>
      <c r="N61" s="13">
        <v>813900</v>
      </c>
      <c r="O61" s="13">
        <v>484800</v>
      </c>
      <c r="P61" s="13">
        <v>523800</v>
      </c>
      <c r="Q61" s="13">
        <v>421000</v>
      </c>
      <c r="R61" s="13">
        <v>480900</v>
      </c>
      <c r="S61" s="13">
        <v>516600</v>
      </c>
      <c r="T61" s="13">
        <v>0</v>
      </c>
      <c r="U61" s="13">
        <v>263000</v>
      </c>
      <c r="V61" s="13">
        <v>0</v>
      </c>
      <c r="W61" s="13">
        <v>1015800</v>
      </c>
      <c r="X61" s="13">
        <v>0</v>
      </c>
      <c r="Y61" s="13">
        <v>812700</v>
      </c>
      <c r="Z61" s="13">
        <v>699000</v>
      </c>
      <c r="AA61" s="13">
        <f t="shared" ref="AA61:AA77" si="22">+C61+E61+G61+I61+K61+M61+O61+Q61+S61+U61+W61+Y61</f>
        <v>6323600</v>
      </c>
      <c r="AB61" s="13">
        <f t="shared" ref="AB61:AB77" si="23">+D61+F61+H61+J61+L61+N61+P61+R61+T61+V61+X61+Z61</f>
        <v>5159400</v>
      </c>
    </row>
    <row r="62" spans="2:28">
      <c r="B62" s="35" t="s">
        <v>254</v>
      </c>
      <c r="C62" s="13">
        <v>110565</v>
      </c>
      <c r="D62" s="13">
        <v>0</v>
      </c>
      <c r="E62" s="13">
        <v>0</v>
      </c>
      <c r="F62" s="13">
        <v>0</v>
      </c>
      <c r="G62" s="13">
        <f>+E62</f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185000</v>
      </c>
      <c r="O62" s="13">
        <v>0</v>
      </c>
      <c r="P62" s="13">
        <v>0</v>
      </c>
      <c r="Q62" s="13">
        <v>0</v>
      </c>
      <c r="R62" s="13">
        <v>0</v>
      </c>
      <c r="S62" s="13">
        <f>+Q62</f>
        <v>0</v>
      </c>
      <c r="T62" s="13">
        <v>0</v>
      </c>
      <c r="U62" s="13">
        <f>+S62</f>
        <v>0</v>
      </c>
      <c r="V62" s="13">
        <v>0</v>
      </c>
      <c r="W62" s="13">
        <f>+U62</f>
        <v>0</v>
      </c>
      <c r="X62" s="13">
        <v>0</v>
      </c>
      <c r="Y62" s="13">
        <f t="shared" si="21"/>
        <v>0</v>
      </c>
      <c r="Z62" s="13">
        <v>0</v>
      </c>
      <c r="AA62" s="13">
        <f t="shared" ref="AA62:AB66" si="24">+C62+E62+G62+I62+K62+M62+O62+Q62+S62+U62+W62+Y62</f>
        <v>110565</v>
      </c>
      <c r="AB62" s="13">
        <f t="shared" si="24"/>
        <v>185000</v>
      </c>
    </row>
    <row r="63" spans="2:28">
      <c r="B63" s="35" t="s">
        <v>247</v>
      </c>
      <c r="C63" s="13">
        <v>0</v>
      </c>
      <c r="D63" s="13">
        <v>56000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185000</v>
      </c>
      <c r="M63" s="13">
        <v>0</v>
      </c>
      <c r="N63" s="13">
        <v>0</v>
      </c>
      <c r="O63" s="13">
        <v>0</v>
      </c>
      <c r="P63" s="13">
        <v>0</v>
      </c>
      <c r="Q63" s="13">
        <v>510000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f t="shared" si="21"/>
        <v>0</v>
      </c>
      <c r="Z63" s="13">
        <v>0</v>
      </c>
      <c r="AA63" s="13">
        <f t="shared" si="24"/>
        <v>510000</v>
      </c>
      <c r="AB63" s="13">
        <f t="shared" si="24"/>
        <v>241000</v>
      </c>
    </row>
    <row r="64" spans="2:28">
      <c r="B64" s="35" t="s">
        <v>253</v>
      </c>
      <c r="C64" s="13">
        <v>348525</v>
      </c>
      <c r="D64" s="13">
        <v>0</v>
      </c>
      <c r="E64" s="13">
        <v>0</v>
      </c>
      <c r="F64" s="13">
        <v>600000</v>
      </c>
      <c r="G64" s="13">
        <v>0</v>
      </c>
      <c r="H64" s="13">
        <v>506500</v>
      </c>
      <c r="I64" s="13">
        <v>71544</v>
      </c>
      <c r="J64" s="13">
        <v>0</v>
      </c>
      <c r="K64" s="13">
        <f>179000+632900+335000</f>
        <v>1146900</v>
      </c>
      <c r="L64" s="13">
        <v>1135000</v>
      </c>
      <c r="M64" s="13">
        <f>262500+188000</f>
        <v>450500</v>
      </c>
      <c r="N64" s="13">
        <v>135000</v>
      </c>
      <c r="O64" s="13">
        <v>0</v>
      </c>
      <c r="P64" s="13">
        <v>0</v>
      </c>
      <c r="Q64" s="13">
        <f>162000+623000</f>
        <v>785000</v>
      </c>
      <c r="R64" s="13">
        <v>0</v>
      </c>
      <c r="S64" s="13">
        <v>0</v>
      </c>
      <c r="T64" s="13">
        <v>0</v>
      </c>
      <c r="U64" s="13">
        <v>1000000</v>
      </c>
      <c r="V64" s="13">
        <v>900000</v>
      </c>
      <c r="W64" s="13">
        <v>92335</v>
      </c>
      <c r="X64" s="13">
        <v>0</v>
      </c>
      <c r="Y64" s="13">
        <f t="shared" si="21"/>
        <v>92335</v>
      </c>
      <c r="Z64" s="13">
        <v>800000</v>
      </c>
      <c r="AA64" s="13">
        <f t="shared" si="24"/>
        <v>3987139</v>
      </c>
      <c r="AB64" s="13">
        <f t="shared" si="24"/>
        <v>4076500</v>
      </c>
    </row>
    <row r="65" spans="2:28">
      <c r="B65" s="35" t="s">
        <v>255</v>
      </c>
      <c r="C65" s="13">
        <v>193620</v>
      </c>
      <c r="D65" s="13">
        <v>507000</v>
      </c>
      <c r="E65" s="13">
        <v>350000</v>
      </c>
      <c r="F65" s="13">
        <v>0</v>
      </c>
      <c r="G65" s="13">
        <v>0</v>
      </c>
      <c r="H65" s="13">
        <v>0</v>
      </c>
      <c r="I65" s="13">
        <v>1000000</v>
      </c>
      <c r="J65" s="13">
        <f>185000+130000</f>
        <v>315000</v>
      </c>
      <c r="K65" s="13">
        <v>0</v>
      </c>
      <c r="L65" s="13">
        <v>110000</v>
      </c>
      <c r="M65" s="13">
        <f>658000+146000</f>
        <v>804000</v>
      </c>
      <c r="N65" s="13">
        <v>110000</v>
      </c>
      <c r="O65" s="13">
        <v>0</v>
      </c>
      <c r="P65" s="13">
        <v>0</v>
      </c>
      <c r="Q65" s="13">
        <v>133900</v>
      </c>
      <c r="R65" s="13">
        <v>260000</v>
      </c>
      <c r="S65" s="13">
        <v>110000</v>
      </c>
      <c r="T65" s="13">
        <v>0</v>
      </c>
      <c r="U65" s="13">
        <f>226500+245700+81000</f>
        <v>553200</v>
      </c>
      <c r="V65" s="13">
        <f>190000+134000</f>
        <v>324000</v>
      </c>
      <c r="W65" s="13">
        <v>50000</v>
      </c>
      <c r="X65" s="13">
        <v>0</v>
      </c>
      <c r="Y65" s="13">
        <v>0</v>
      </c>
      <c r="Z65" s="13">
        <v>56000</v>
      </c>
      <c r="AA65" s="13">
        <f>+C65+E65+G65+I65+K65+M65+O65+Q65+S65+U65+W65+Y65</f>
        <v>3194720</v>
      </c>
      <c r="AB65" s="13">
        <f>+D65+F65+H65+J65+L65+N65+P65+R65+T65+V65+X65+Z65</f>
        <v>1682000</v>
      </c>
    </row>
    <row r="66" spans="2:28">
      <c r="B66" s="35" t="s">
        <v>248</v>
      </c>
      <c r="C66" s="13">
        <v>153000</v>
      </c>
      <c r="D66" s="13">
        <v>0</v>
      </c>
      <c r="E66" s="13">
        <v>0</v>
      </c>
      <c r="F66" s="13">
        <v>0</v>
      </c>
      <c r="G66" s="13">
        <f>496000+126400+308600</f>
        <v>931000</v>
      </c>
      <c r="H66" s="13">
        <v>0</v>
      </c>
      <c r="I66" s="13">
        <f>179000+114000+335000</f>
        <v>628000</v>
      </c>
      <c r="J66" s="13">
        <v>1100000</v>
      </c>
      <c r="K66" s="13">
        <f>128430+500000+149290</f>
        <v>777720</v>
      </c>
      <c r="L66" s="13">
        <v>0</v>
      </c>
      <c r="M66" s="13">
        <v>250000</v>
      </c>
      <c r="N66" s="13">
        <v>0</v>
      </c>
      <c r="O66" s="13">
        <f>124700+64000+131000</f>
        <v>319700</v>
      </c>
      <c r="P66" s="13">
        <v>0</v>
      </c>
      <c r="Q66" s="13">
        <f>35300+122000</f>
        <v>157300</v>
      </c>
      <c r="R66" s="13">
        <v>0</v>
      </c>
      <c r="S66" s="13">
        <v>159000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f t="shared" si="21"/>
        <v>0</v>
      </c>
      <c r="Z66" s="13">
        <v>507000</v>
      </c>
      <c r="AA66" s="13">
        <f t="shared" si="24"/>
        <v>3375720</v>
      </c>
      <c r="AB66" s="13">
        <f t="shared" si="24"/>
        <v>1607000</v>
      </c>
    </row>
    <row r="67" spans="2:28">
      <c r="B67" s="35" t="s">
        <v>72</v>
      </c>
      <c r="C67" s="13"/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f t="shared" ref="O67:O77" si="25">+M67</f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f t="shared" si="21"/>
        <v>0</v>
      </c>
      <c r="Z67" s="13">
        <v>0</v>
      </c>
      <c r="AA67" s="13">
        <f t="shared" si="22"/>
        <v>0</v>
      </c>
      <c r="AB67" s="13">
        <f t="shared" si="23"/>
        <v>0</v>
      </c>
    </row>
    <row r="68" spans="2:28">
      <c r="B68" s="35" t="s">
        <v>73</v>
      </c>
      <c r="C68" s="13"/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f t="shared" si="25"/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f t="shared" si="21"/>
        <v>0</v>
      </c>
      <c r="Z68" s="13">
        <v>0</v>
      </c>
      <c r="AA68" s="13">
        <f t="shared" si="22"/>
        <v>0</v>
      </c>
      <c r="AB68" s="13">
        <f t="shared" si="23"/>
        <v>0</v>
      </c>
    </row>
    <row r="69" spans="2:28">
      <c r="B69" s="35" t="s">
        <v>74</v>
      </c>
      <c r="C69" s="13"/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f t="shared" si="25"/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f t="shared" si="21"/>
        <v>0</v>
      </c>
      <c r="Z69" s="13">
        <v>0</v>
      </c>
      <c r="AA69" s="13">
        <f t="shared" si="22"/>
        <v>0</v>
      </c>
      <c r="AB69" s="13">
        <f t="shared" si="23"/>
        <v>0</v>
      </c>
    </row>
    <row r="70" spans="2:28">
      <c r="B70" s="35" t="s">
        <v>36</v>
      </c>
      <c r="C70" s="13"/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f t="shared" ref="M70:M77" si="26">+K70</f>
        <v>0</v>
      </c>
      <c r="N70" s="13">
        <v>0</v>
      </c>
      <c r="O70" s="13">
        <f t="shared" si="25"/>
        <v>0</v>
      </c>
      <c r="P70" s="13">
        <v>0</v>
      </c>
      <c r="Q70" s="13">
        <v>0</v>
      </c>
      <c r="R70" s="13">
        <v>0</v>
      </c>
      <c r="S70" s="13">
        <f t="shared" ref="S70:S77" si="27">+Q70</f>
        <v>0</v>
      </c>
      <c r="T70" s="13">
        <v>0</v>
      </c>
      <c r="U70" s="13">
        <v>0</v>
      </c>
      <c r="V70" s="13">
        <v>0</v>
      </c>
      <c r="W70" s="13">
        <f t="shared" ref="W70:W77" si="28">+U70</f>
        <v>0</v>
      </c>
      <c r="X70" s="13">
        <v>0</v>
      </c>
      <c r="Y70" s="13">
        <f t="shared" si="21"/>
        <v>0</v>
      </c>
      <c r="Z70" s="13">
        <v>0</v>
      </c>
      <c r="AA70" s="13">
        <f t="shared" si="22"/>
        <v>0</v>
      </c>
      <c r="AB70" s="13">
        <f t="shared" si="23"/>
        <v>0</v>
      </c>
    </row>
    <row r="71" spans="2:28">
      <c r="B71" s="35" t="s">
        <v>134</v>
      </c>
      <c r="C71" s="13"/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f t="shared" si="26"/>
        <v>0</v>
      </c>
      <c r="N71" s="13">
        <v>0</v>
      </c>
      <c r="O71" s="13">
        <f t="shared" si="25"/>
        <v>0</v>
      </c>
      <c r="P71" s="13">
        <v>0</v>
      </c>
      <c r="Q71" s="13">
        <v>0</v>
      </c>
      <c r="R71" s="13">
        <v>0</v>
      </c>
      <c r="S71" s="13">
        <f t="shared" si="27"/>
        <v>0</v>
      </c>
      <c r="T71" s="13">
        <v>0</v>
      </c>
      <c r="U71" s="13">
        <f t="shared" ref="U71:U77" si="29">+S71</f>
        <v>0</v>
      </c>
      <c r="V71" s="13">
        <v>0</v>
      </c>
      <c r="W71" s="13">
        <f t="shared" si="28"/>
        <v>0</v>
      </c>
      <c r="X71" s="13">
        <v>0</v>
      </c>
      <c r="Y71" s="13">
        <f t="shared" si="21"/>
        <v>0</v>
      </c>
      <c r="Z71" s="13">
        <v>0</v>
      </c>
      <c r="AA71" s="13">
        <f t="shared" si="22"/>
        <v>0</v>
      </c>
      <c r="AB71" s="13">
        <f t="shared" si="23"/>
        <v>0</v>
      </c>
    </row>
    <row r="72" spans="2:28">
      <c r="B72" s="35" t="s">
        <v>230</v>
      </c>
      <c r="C72" s="13"/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f t="shared" si="26"/>
        <v>0</v>
      </c>
      <c r="N72" s="13">
        <v>0</v>
      </c>
      <c r="O72" s="13">
        <f t="shared" si="25"/>
        <v>0</v>
      </c>
      <c r="P72" s="13">
        <v>0</v>
      </c>
      <c r="Q72" s="13">
        <f t="shared" ref="Q72:Q77" si="30">+O72</f>
        <v>0</v>
      </c>
      <c r="R72" s="13">
        <v>0</v>
      </c>
      <c r="S72" s="13">
        <f t="shared" si="27"/>
        <v>0</v>
      </c>
      <c r="T72" s="13">
        <v>0</v>
      </c>
      <c r="U72" s="13">
        <f t="shared" si="29"/>
        <v>0</v>
      </c>
      <c r="V72" s="13">
        <v>0</v>
      </c>
      <c r="W72" s="13">
        <f t="shared" si="28"/>
        <v>0</v>
      </c>
      <c r="X72" s="13">
        <v>0</v>
      </c>
      <c r="Y72" s="13">
        <f t="shared" si="21"/>
        <v>0</v>
      </c>
      <c r="Z72" s="13">
        <v>0</v>
      </c>
      <c r="AA72" s="13">
        <f t="shared" si="22"/>
        <v>0</v>
      </c>
      <c r="AB72" s="13">
        <f t="shared" si="23"/>
        <v>0</v>
      </c>
    </row>
    <row r="73" spans="2:28">
      <c r="B73" s="35" t="s">
        <v>135</v>
      </c>
      <c r="C73" s="13"/>
      <c r="D73" s="13">
        <v>0</v>
      </c>
      <c r="E73" s="13">
        <v>0</v>
      </c>
      <c r="F73" s="13">
        <v>0</v>
      </c>
      <c r="G73" s="13">
        <f>+E73</f>
        <v>0</v>
      </c>
      <c r="H73" s="13">
        <v>0</v>
      </c>
      <c r="I73" s="13">
        <v>0</v>
      </c>
      <c r="J73" s="13">
        <v>0</v>
      </c>
      <c r="K73" s="13">
        <f>+I73</f>
        <v>0</v>
      </c>
      <c r="L73" s="13">
        <v>0</v>
      </c>
      <c r="M73" s="13">
        <f t="shared" si="26"/>
        <v>0</v>
      </c>
      <c r="N73" s="13">
        <v>0</v>
      </c>
      <c r="O73" s="13">
        <f t="shared" si="25"/>
        <v>0</v>
      </c>
      <c r="P73" s="13">
        <v>0</v>
      </c>
      <c r="Q73" s="13">
        <f t="shared" si="30"/>
        <v>0</v>
      </c>
      <c r="R73" s="13">
        <v>0</v>
      </c>
      <c r="S73" s="13">
        <f t="shared" si="27"/>
        <v>0</v>
      </c>
      <c r="T73" s="13">
        <v>0</v>
      </c>
      <c r="U73" s="13">
        <f t="shared" si="29"/>
        <v>0</v>
      </c>
      <c r="V73" s="13">
        <v>0</v>
      </c>
      <c r="W73" s="13">
        <f t="shared" si="28"/>
        <v>0</v>
      </c>
      <c r="X73" s="13">
        <v>0</v>
      </c>
      <c r="Y73" s="13">
        <f t="shared" si="21"/>
        <v>0</v>
      </c>
      <c r="Z73" s="13">
        <v>0</v>
      </c>
      <c r="AA73" s="13">
        <f t="shared" si="22"/>
        <v>0</v>
      </c>
      <c r="AB73" s="13">
        <f t="shared" si="23"/>
        <v>0</v>
      </c>
    </row>
    <row r="74" spans="2:28">
      <c r="B74" s="35" t="s">
        <v>136</v>
      </c>
      <c r="C74" s="13"/>
      <c r="D74" s="13">
        <v>0</v>
      </c>
      <c r="E74" s="13">
        <v>0</v>
      </c>
      <c r="F74" s="13">
        <v>0</v>
      </c>
      <c r="G74" s="13">
        <f>+E74</f>
        <v>0</v>
      </c>
      <c r="H74" s="13">
        <v>0</v>
      </c>
      <c r="I74" s="13">
        <v>0</v>
      </c>
      <c r="J74" s="13">
        <v>0</v>
      </c>
      <c r="K74" s="13">
        <f>+I74</f>
        <v>0</v>
      </c>
      <c r="L74" s="13">
        <v>0</v>
      </c>
      <c r="M74" s="13">
        <f t="shared" si="26"/>
        <v>0</v>
      </c>
      <c r="N74" s="13">
        <v>0</v>
      </c>
      <c r="O74" s="13">
        <f t="shared" si="25"/>
        <v>0</v>
      </c>
      <c r="P74" s="13">
        <v>0</v>
      </c>
      <c r="Q74" s="13">
        <f t="shared" si="30"/>
        <v>0</v>
      </c>
      <c r="R74" s="13">
        <v>0</v>
      </c>
      <c r="S74" s="13">
        <f t="shared" si="27"/>
        <v>0</v>
      </c>
      <c r="T74" s="13">
        <v>0</v>
      </c>
      <c r="U74" s="13">
        <f t="shared" si="29"/>
        <v>0</v>
      </c>
      <c r="V74" s="13">
        <v>0</v>
      </c>
      <c r="W74" s="13">
        <f t="shared" si="28"/>
        <v>0</v>
      </c>
      <c r="X74" s="13">
        <v>0</v>
      </c>
      <c r="Y74" s="13">
        <f t="shared" si="21"/>
        <v>0</v>
      </c>
      <c r="Z74" s="13">
        <v>0</v>
      </c>
      <c r="AA74" s="13">
        <f t="shared" si="22"/>
        <v>0</v>
      </c>
      <c r="AB74" s="13">
        <f t="shared" si="23"/>
        <v>0</v>
      </c>
    </row>
    <row r="75" spans="2:28">
      <c r="B75" s="35" t="s">
        <v>139</v>
      </c>
      <c r="C75" s="13"/>
      <c r="D75" s="13">
        <v>0</v>
      </c>
      <c r="E75" s="13">
        <v>0</v>
      </c>
      <c r="F75" s="13">
        <v>0</v>
      </c>
      <c r="G75" s="13">
        <f>+E75</f>
        <v>0</v>
      </c>
      <c r="H75" s="13">
        <v>0</v>
      </c>
      <c r="I75" s="13">
        <v>0</v>
      </c>
      <c r="J75" s="13">
        <v>0</v>
      </c>
      <c r="K75" s="13">
        <f>+I75</f>
        <v>0</v>
      </c>
      <c r="L75" s="13">
        <v>0</v>
      </c>
      <c r="M75" s="13">
        <f t="shared" si="26"/>
        <v>0</v>
      </c>
      <c r="N75" s="13">
        <v>0</v>
      </c>
      <c r="O75" s="13">
        <f t="shared" si="25"/>
        <v>0</v>
      </c>
      <c r="P75" s="13">
        <v>0</v>
      </c>
      <c r="Q75" s="13">
        <f t="shared" si="30"/>
        <v>0</v>
      </c>
      <c r="R75" s="13">
        <v>0</v>
      </c>
      <c r="S75" s="13">
        <f t="shared" si="27"/>
        <v>0</v>
      </c>
      <c r="T75" s="13">
        <v>0</v>
      </c>
      <c r="U75" s="13">
        <f t="shared" si="29"/>
        <v>0</v>
      </c>
      <c r="V75" s="13">
        <v>0</v>
      </c>
      <c r="W75" s="13">
        <f t="shared" si="28"/>
        <v>0</v>
      </c>
      <c r="X75" s="13">
        <v>0</v>
      </c>
      <c r="Y75" s="13">
        <f t="shared" si="21"/>
        <v>0</v>
      </c>
      <c r="Z75" s="13">
        <v>0</v>
      </c>
      <c r="AA75" s="13">
        <f t="shared" si="22"/>
        <v>0</v>
      </c>
      <c r="AB75" s="13">
        <f t="shared" si="23"/>
        <v>0</v>
      </c>
    </row>
    <row r="76" spans="2:28">
      <c r="B76" s="35" t="s">
        <v>75</v>
      </c>
      <c r="C76" s="13"/>
      <c r="D76" s="13">
        <v>0</v>
      </c>
      <c r="E76" s="13">
        <v>0</v>
      </c>
      <c r="F76" s="13">
        <v>0</v>
      </c>
      <c r="G76" s="13">
        <f>+E76</f>
        <v>0</v>
      </c>
      <c r="H76" s="13">
        <v>0</v>
      </c>
      <c r="I76" s="13">
        <f>+G76</f>
        <v>0</v>
      </c>
      <c r="J76" s="13">
        <v>0</v>
      </c>
      <c r="K76" s="13">
        <f>+I76</f>
        <v>0</v>
      </c>
      <c r="L76" s="13">
        <v>0</v>
      </c>
      <c r="M76" s="13">
        <f t="shared" si="26"/>
        <v>0</v>
      </c>
      <c r="N76" s="13">
        <v>0</v>
      </c>
      <c r="O76" s="13">
        <f t="shared" si="25"/>
        <v>0</v>
      </c>
      <c r="P76" s="13">
        <v>0</v>
      </c>
      <c r="Q76" s="13">
        <f t="shared" si="30"/>
        <v>0</v>
      </c>
      <c r="R76" s="13">
        <v>0</v>
      </c>
      <c r="S76" s="13">
        <f t="shared" si="27"/>
        <v>0</v>
      </c>
      <c r="T76" s="13">
        <v>0</v>
      </c>
      <c r="U76" s="13">
        <f t="shared" si="29"/>
        <v>0</v>
      </c>
      <c r="V76" s="13">
        <v>0</v>
      </c>
      <c r="W76" s="13">
        <f t="shared" si="28"/>
        <v>0</v>
      </c>
      <c r="X76" s="13">
        <v>0</v>
      </c>
      <c r="Y76" s="13">
        <f t="shared" si="21"/>
        <v>0</v>
      </c>
      <c r="Z76" s="13">
        <v>0</v>
      </c>
      <c r="AA76" s="13">
        <f t="shared" si="22"/>
        <v>0</v>
      </c>
      <c r="AB76" s="13">
        <f t="shared" si="23"/>
        <v>0</v>
      </c>
    </row>
    <row r="77" spans="2:28">
      <c r="B77" s="35" t="s">
        <v>140</v>
      </c>
      <c r="C77" s="13"/>
      <c r="D77" s="13">
        <v>0</v>
      </c>
      <c r="E77" s="13">
        <v>0</v>
      </c>
      <c r="F77" s="13">
        <v>0</v>
      </c>
      <c r="G77" s="13">
        <f>+E77</f>
        <v>0</v>
      </c>
      <c r="H77" s="13">
        <v>0</v>
      </c>
      <c r="I77" s="13">
        <f>+G77</f>
        <v>0</v>
      </c>
      <c r="J77" s="13">
        <v>0</v>
      </c>
      <c r="K77" s="13">
        <f>+I77</f>
        <v>0</v>
      </c>
      <c r="L77" s="13">
        <v>0</v>
      </c>
      <c r="M77" s="13">
        <f t="shared" si="26"/>
        <v>0</v>
      </c>
      <c r="N77" s="13">
        <v>0</v>
      </c>
      <c r="O77" s="13">
        <f t="shared" si="25"/>
        <v>0</v>
      </c>
      <c r="P77" s="13">
        <v>0</v>
      </c>
      <c r="Q77" s="13">
        <f t="shared" si="30"/>
        <v>0</v>
      </c>
      <c r="R77" s="13">
        <v>0</v>
      </c>
      <c r="S77" s="13">
        <f t="shared" si="27"/>
        <v>0</v>
      </c>
      <c r="T77" s="13">
        <v>0</v>
      </c>
      <c r="U77" s="13">
        <f t="shared" si="29"/>
        <v>0</v>
      </c>
      <c r="V77" s="13">
        <v>0</v>
      </c>
      <c r="W77" s="13">
        <f t="shared" si="28"/>
        <v>0</v>
      </c>
      <c r="X77" s="13">
        <v>0</v>
      </c>
      <c r="Y77" s="13">
        <f t="shared" si="21"/>
        <v>0</v>
      </c>
      <c r="Z77" s="13">
        <v>0</v>
      </c>
      <c r="AA77" s="13">
        <f t="shared" si="22"/>
        <v>0</v>
      </c>
      <c r="AB77" s="13">
        <f t="shared" si="23"/>
        <v>0</v>
      </c>
    </row>
    <row r="78" spans="2:28">
      <c r="B78" s="34" t="s">
        <v>37</v>
      </c>
      <c r="C78" s="58">
        <f>SUM(C79:C83)</f>
        <v>1110480</v>
      </c>
      <c r="D78" s="58">
        <f>SUM(D79:D83)</f>
        <v>415428</v>
      </c>
      <c r="E78" s="58">
        <f t="shared" ref="E78:Z78" si="31">SUM(E79:E83)</f>
        <v>1068011</v>
      </c>
      <c r="F78" s="58">
        <f t="shared" si="31"/>
        <v>332450</v>
      </c>
      <c r="G78" s="58">
        <f t="shared" si="31"/>
        <v>804696</v>
      </c>
      <c r="H78" s="58">
        <f t="shared" si="31"/>
        <v>322450</v>
      </c>
      <c r="I78" s="58">
        <f t="shared" si="31"/>
        <v>977696</v>
      </c>
      <c r="J78" s="58">
        <f t="shared" si="31"/>
        <v>482450</v>
      </c>
      <c r="K78" s="58">
        <f t="shared" si="31"/>
        <v>977696</v>
      </c>
      <c r="L78" s="58">
        <f t="shared" si="31"/>
        <v>482450</v>
      </c>
      <c r="M78" s="58">
        <f t="shared" si="31"/>
        <v>977696</v>
      </c>
      <c r="N78" s="58">
        <f t="shared" si="31"/>
        <v>732450</v>
      </c>
      <c r="O78" s="58">
        <f t="shared" si="31"/>
        <v>956696</v>
      </c>
      <c r="P78" s="58">
        <f t="shared" si="31"/>
        <v>760321</v>
      </c>
      <c r="Q78" s="58">
        <f t="shared" si="31"/>
        <v>956696</v>
      </c>
      <c r="R78" s="58">
        <f t="shared" si="31"/>
        <v>760321</v>
      </c>
      <c r="S78" s="58">
        <f t="shared" si="31"/>
        <v>956696</v>
      </c>
      <c r="T78" s="58">
        <f t="shared" si="31"/>
        <v>760321</v>
      </c>
      <c r="U78" s="58">
        <f t="shared" si="31"/>
        <v>956268</v>
      </c>
      <c r="V78" s="58">
        <f t="shared" si="31"/>
        <v>760321</v>
      </c>
      <c r="W78" s="58">
        <f t="shared" si="31"/>
        <v>956268</v>
      </c>
      <c r="X78" s="58">
        <f t="shared" si="31"/>
        <v>760321</v>
      </c>
      <c r="Y78" s="58">
        <f t="shared" si="31"/>
        <v>956268</v>
      </c>
      <c r="Z78" s="58">
        <f t="shared" si="31"/>
        <v>760321</v>
      </c>
      <c r="AA78" s="58">
        <f>SUM(AA79:AA83)</f>
        <v>11655167</v>
      </c>
      <c r="AB78" s="58">
        <f>SUM(AB79:AB83)</f>
        <v>7329604</v>
      </c>
    </row>
    <row r="79" spans="2:28">
      <c r="B79" s="35" t="s">
        <v>38</v>
      </c>
      <c r="C79" s="13">
        <v>80000</v>
      </c>
      <c r="D79" s="13">
        <v>0</v>
      </c>
      <c r="E79" s="13">
        <v>343315</v>
      </c>
      <c r="F79" s="13">
        <v>68000</v>
      </c>
      <c r="G79" s="13">
        <v>80000</v>
      </c>
      <c r="H79" s="13">
        <v>68000</v>
      </c>
      <c r="I79" s="13">
        <v>79000</v>
      </c>
      <c r="J79" s="13">
        <v>68000</v>
      </c>
      <c r="K79" s="13">
        <v>79000</v>
      </c>
      <c r="L79" s="13">
        <v>68000</v>
      </c>
      <c r="M79" s="13">
        <v>79000</v>
      </c>
      <c r="N79" s="13">
        <v>68000</v>
      </c>
      <c r="O79" s="13">
        <v>80000</v>
      </c>
      <c r="P79" s="13">
        <v>68000</v>
      </c>
      <c r="Q79" s="13">
        <v>80000</v>
      </c>
      <c r="R79" s="13">
        <v>68000</v>
      </c>
      <c r="S79" s="13">
        <f>+Q79</f>
        <v>80000</v>
      </c>
      <c r="T79" s="13">
        <v>68000</v>
      </c>
      <c r="U79" s="13">
        <f>+S79</f>
        <v>80000</v>
      </c>
      <c r="V79" s="13">
        <v>68000</v>
      </c>
      <c r="W79" s="13">
        <f>+U79</f>
        <v>80000</v>
      </c>
      <c r="X79" s="13">
        <v>68000</v>
      </c>
      <c r="Y79" s="13">
        <f>+W79</f>
        <v>80000</v>
      </c>
      <c r="Z79" s="13">
        <v>68000</v>
      </c>
      <c r="AA79" s="13">
        <f t="shared" ref="AA79:AB83" si="32">+C79+E79+G79+I79+K79+M79+O79+Q79+S79+U79+W79+Y79</f>
        <v>1220315</v>
      </c>
      <c r="AB79" s="13">
        <f t="shared" si="32"/>
        <v>748000</v>
      </c>
    </row>
    <row r="80" spans="2:28">
      <c r="B80" s="35" t="s">
        <v>119</v>
      </c>
      <c r="C80" s="13">
        <v>0</v>
      </c>
      <c r="D80" s="13">
        <v>152000</v>
      </c>
      <c r="E80" s="13">
        <v>0</v>
      </c>
      <c r="F80" s="13">
        <v>0</v>
      </c>
      <c r="G80" s="13">
        <v>0</v>
      </c>
      <c r="H80" s="13">
        <v>0</v>
      </c>
      <c r="I80" s="13">
        <v>174000</v>
      </c>
      <c r="J80" s="13">
        <f>300000+100000</f>
        <v>400000</v>
      </c>
      <c r="K80" s="13">
        <v>174000</v>
      </c>
      <c r="L80" s="13">
        <f>300000+100000</f>
        <v>400000</v>
      </c>
      <c r="M80" s="13">
        <v>174000</v>
      </c>
      <c r="N80" s="13">
        <f>300000+100000</f>
        <v>400000</v>
      </c>
      <c r="O80" s="13">
        <v>152000</v>
      </c>
      <c r="P80" s="13">
        <f>300000+100000</f>
        <v>400000</v>
      </c>
      <c r="Q80" s="13">
        <v>152000</v>
      </c>
      <c r="R80" s="13">
        <f>300000+100000</f>
        <v>400000</v>
      </c>
      <c r="S80" s="13">
        <f>+Q80</f>
        <v>152000</v>
      </c>
      <c r="T80" s="13">
        <f>300000+100000</f>
        <v>400000</v>
      </c>
      <c r="U80" s="13">
        <f>+S80</f>
        <v>152000</v>
      </c>
      <c r="V80" s="13">
        <f>300000+100000</f>
        <v>400000</v>
      </c>
      <c r="W80" s="13">
        <f>+U80</f>
        <v>152000</v>
      </c>
      <c r="X80" s="13">
        <f>300000+100000</f>
        <v>400000</v>
      </c>
      <c r="Y80" s="13">
        <f>+W80</f>
        <v>152000</v>
      </c>
      <c r="Z80" s="13">
        <f>300000+100000</f>
        <v>400000</v>
      </c>
      <c r="AA80" s="13">
        <f t="shared" si="32"/>
        <v>1434000</v>
      </c>
      <c r="AB80" s="13">
        <f t="shared" si="32"/>
        <v>3752000</v>
      </c>
    </row>
    <row r="81" spans="2:28">
      <c r="B81" s="35" t="s">
        <v>249</v>
      </c>
      <c r="C81" s="13">
        <v>711268</v>
      </c>
      <c r="D81" s="13">
        <v>250000</v>
      </c>
      <c r="E81" s="13">
        <v>711268</v>
      </c>
      <c r="F81" s="13">
        <v>250000</v>
      </c>
      <c r="G81" s="13">
        <v>711268</v>
      </c>
      <c r="H81" s="13">
        <v>240000</v>
      </c>
      <c r="I81" s="13">
        <v>711268</v>
      </c>
      <c r="J81" s="13">
        <v>0</v>
      </c>
      <c r="K81" s="13">
        <v>711268</v>
      </c>
      <c r="L81" s="13">
        <v>0</v>
      </c>
      <c r="M81" s="13">
        <v>711268</v>
      </c>
      <c r="N81" s="13">
        <v>250000</v>
      </c>
      <c r="O81" s="13">
        <v>711268</v>
      </c>
      <c r="P81" s="13">
        <v>250000</v>
      </c>
      <c r="Q81" s="13">
        <v>711268</v>
      </c>
      <c r="R81" s="13">
        <v>250000</v>
      </c>
      <c r="S81" s="13">
        <f>+Q81</f>
        <v>711268</v>
      </c>
      <c r="T81" s="13">
        <v>250000</v>
      </c>
      <c r="U81" s="13">
        <f>+S81</f>
        <v>711268</v>
      </c>
      <c r="V81" s="13">
        <v>250000</v>
      </c>
      <c r="W81" s="13">
        <f>+U81</f>
        <v>711268</v>
      </c>
      <c r="X81" s="13">
        <v>250000</v>
      </c>
      <c r="Y81" s="13">
        <f>+W81</f>
        <v>711268</v>
      </c>
      <c r="Z81" s="13">
        <v>250000</v>
      </c>
      <c r="AA81" s="13">
        <f t="shared" si="32"/>
        <v>8535216</v>
      </c>
      <c r="AB81" s="13">
        <f t="shared" si="32"/>
        <v>2490000</v>
      </c>
    </row>
    <row r="82" spans="2:28">
      <c r="B82" s="35" t="s">
        <v>118</v>
      </c>
      <c r="C82" s="13">
        <v>305784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/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f>+Q82</f>
        <v>0</v>
      </c>
      <c r="T82" s="13">
        <v>0</v>
      </c>
      <c r="U82" s="13">
        <f>+S82</f>
        <v>0</v>
      </c>
      <c r="V82" s="13">
        <v>0</v>
      </c>
      <c r="W82" s="13">
        <f>+U82</f>
        <v>0</v>
      </c>
      <c r="X82" s="13">
        <v>0</v>
      </c>
      <c r="Y82" s="13">
        <f>+W82</f>
        <v>0</v>
      </c>
      <c r="Z82" s="13">
        <v>0</v>
      </c>
      <c r="AA82" s="13">
        <f t="shared" si="32"/>
        <v>305784</v>
      </c>
      <c r="AB82" s="13">
        <f t="shared" si="32"/>
        <v>0</v>
      </c>
    </row>
    <row r="83" spans="2:28">
      <c r="B83" s="35" t="s">
        <v>39</v>
      </c>
      <c r="C83" s="13">
        <v>13428</v>
      </c>
      <c r="D83" s="13">
        <v>13428</v>
      </c>
      <c r="E83" s="13">
        <v>13428</v>
      </c>
      <c r="F83" s="13">
        <v>14450</v>
      </c>
      <c r="G83" s="13">
        <v>13428</v>
      </c>
      <c r="H83" s="13">
        <v>14450</v>
      </c>
      <c r="I83" s="13">
        <v>13428</v>
      </c>
      <c r="J83" s="13">
        <v>14450</v>
      </c>
      <c r="K83" s="13">
        <v>13428</v>
      </c>
      <c r="L83" s="13">
        <v>14450</v>
      </c>
      <c r="M83" s="13">
        <f>+K83</f>
        <v>13428</v>
      </c>
      <c r="N83" s="13">
        <v>14450</v>
      </c>
      <c r="O83" s="13">
        <v>13428</v>
      </c>
      <c r="P83" s="13">
        <f>14450+27871</f>
        <v>42321</v>
      </c>
      <c r="Q83" s="13">
        <v>13428</v>
      </c>
      <c r="R83" s="13">
        <f>14450+27871</f>
        <v>42321</v>
      </c>
      <c r="S83" s="13">
        <f>+Q83</f>
        <v>13428</v>
      </c>
      <c r="T83" s="13">
        <f>14450+27871</f>
        <v>42321</v>
      </c>
      <c r="U83" s="13">
        <v>13000</v>
      </c>
      <c r="V83" s="13">
        <f>14450+27871</f>
        <v>42321</v>
      </c>
      <c r="W83" s="13">
        <f>+U83</f>
        <v>13000</v>
      </c>
      <c r="X83" s="13">
        <f>14450+27871</f>
        <v>42321</v>
      </c>
      <c r="Y83" s="13">
        <f>+W83</f>
        <v>13000</v>
      </c>
      <c r="Z83" s="13">
        <f>14450+27871</f>
        <v>42321</v>
      </c>
      <c r="AA83" s="13">
        <f t="shared" si="32"/>
        <v>159852</v>
      </c>
      <c r="AB83" s="13">
        <f t="shared" si="32"/>
        <v>339604</v>
      </c>
    </row>
    <row r="84" spans="2:28">
      <c r="B84" s="34" t="s">
        <v>141</v>
      </c>
      <c r="C84" s="58">
        <f>SUM(C85:C88)</f>
        <v>0</v>
      </c>
      <c r="D84" s="58">
        <f>SUM(D85:D88)</f>
        <v>0</v>
      </c>
      <c r="E84" s="58">
        <f t="shared" ref="E84:Z84" si="33">SUM(E85:E88)</f>
        <v>0</v>
      </c>
      <c r="F84" s="58">
        <f t="shared" si="33"/>
        <v>0</v>
      </c>
      <c r="G84" s="58">
        <f t="shared" si="33"/>
        <v>0</v>
      </c>
      <c r="H84" s="58">
        <f t="shared" si="33"/>
        <v>0</v>
      </c>
      <c r="I84" s="58">
        <f t="shared" si="33"/>
        <v>0</v>
      </c>
      <c r="J84" s="58">
        <f t="shared" si="33"/>
        <v>0</v>
      </c>
      <c r="K84" s="58">
        <f t="shared" si="33"/>
        <v>0</v>
      </c>
      <c r="L84" s="58">
        <f t="shared" si="33"/>
        <v>0</v>
      </c>
      <c r="M84" s="58">
        <f t="shared" si="33"/>
        <v>0</v>
      </c>
      <c r="N84" s="58">
        <f t="shared" si="33"/>
        <v>0</v>
      </c>
      <c r="O84" s="58">
        <f t="shared" si="33"/>
        <v>0</v>
      </c>
      <c r="P84" s="58">
        <f t="shared" si="33"/>
        <v>0</v>
      </c>
      <c r="Q84" s="58">
        <f t="shared" si="33"/>
        <v>0</v>
      </c>
      <c r="R84" s="58">
        <f t="shared" si="33"/>
        <v>0</v>
      </c>
      <c r="S84" s="58">
        <f t="shared" si="33"/>
        <v>0</v>
      </c>
      <c r="T84" s="58">
        <f t="shared" si="33"/>
        <v>0</v>
      </c>
      <c r="U84" s="58">
        <f t="shared" si="33"/>
        <v>0</v>
      </c>
      <c r="V84" s="58">
        <f t="shared" si="33"/>
        <v>0</v>
      </c>
      <c r="W84" s="58">
        <f t="shared" si="33"/>
        <v>0</v>
      </c>
      <c r="X84" s="58">
        <f t="shared" si="33"/>
        <v>0</v>
      </c>
      <c r="Y84" s="58">
        <f t="shared" si="33"/>
        <v>0</v>
      </c>
      <c r="Z84" s="58">
        <f t="shared" si="33"/>
        <v>0</v>
      </c>
      <c r="AA84" s="58">
        <f>SUM(AA85:AA88)</f>
        <v>0</v>
      </c>
      <c r="AB84" s="58">
        <f>SUM(AB85:AB88)</f>
        <v>0</v>
      </c>
    </row>
    <row r="85" spans="2:28">
      <c r="B85" s="35" t="s">
        <v>40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f t="shared" ref="AA85:AB88" si="34">+C85+E85+G85+I85+K85+M85+O85+Q85+S85+U85+W85+Y85</f>
        <v>0</v>
      </c>
      <c r="AB85" s="13">
        <f t="shared" si="34"/>
        <v>0</v>
      </c>
    </row>
    <row r="86" spans="2:28">
      <c r="B86" s="35" t="s">
        <v>41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f t="shared" si="34"/>
        <v>0</v>
      </c>
      <c r="AB86" s="13">
        <f t="shared" si="34"/>
        <v>0</v>
      </c>
    </row>
    <row r="87" spans="2:28">
      <c r="B87" s="35" t="s">
        <v>76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f t="shared" si="34"/>
        <v>0</v>
      </c>
      <c r="AB87" s="13">
        <f t="shared" si="34"/>
        <v>0</v>
      </c>
    </row>
    <row r="88" spans="2:28">
      <c r="B88" s="35" t="s">
        <v>232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f t="shared" si="34"/>
        <v>0</v>
      </c>
      <c r="AB88" s="13">
        <f t="shared" si="34"/>
        <v>0</v>
      </c>
    </row>
    <row r="89" spans="2:28">
      <c r="B89" s="34" t="s">
        <v>42</v>
      </c>
      <c r="C89" s="58">
        <f>SUM(C90:C94)</f>
        <v>0</v>
      </c>
      <c r="D89" s="58">
        <f t="shared" ref="D89:AA89" si="35">SUM(D90:D94)</f>
        <v>0</v>
      </c>
      <c r="E89" s="58">
        <f t="shared" si="35"/>
        <v>0</v>
      </c>
      <c r="F89" s="58">
        <f t="shared" si="35"/>
        <v>0</v>
      </c>
      <c r="G89" s="58">
        <f t="shared" si="35"/>
        <v>0</v>
      </c>
      <c r="H89" s="58">
        <f t="shared" si="35"/>
        <v>0</v>
      </c>
      <c r="I89" s="58">
        <f t="shared" si="35"/>
        <v>0</v>
      </c>
      <c r="J89" s="58">
        <f t="shared" si="35"/>
        <v>0</v>
      </c>
      <c r="K89" s="58">
        <f t="shared" si="35"/>
        <v>0</v>
      </c>
      <c r="L89" s="58">
        <f t="shared" si="35"/>
        <v>0</v>
      </c>
      <c r="M89" s="58">
        <f t="shared" si="35"/>
        <v>0</v>
      </c>
      <c r="N89" s="58">
        <f t="shared" si="35"/>
        <v>0</v>
      </c>
      <c r="O89" s="58">
        <f t="shared" si="35"/>
        <v>0</v>
      </c>
      <c r="P89" s="58">
        <f t="shared" si="35"/>
        <v>0</v>
      </c>
      <c r="Q89" s="58">
        <f t="shared" si="35"/>
        <v>0</v>
      </c>
      <c r="R89" s="58">
        <f t="shared" si="35"/>
        <v>0</v>
      </c>
      <c r="S89" s="58">
        <f t="shared" si="35"/>
        <v>0</v>
      </c>
      <c r="T89" s="58">
        <f t="shared" si="35"/>
        <v>0</v>
      </c>
      <c r="U89" s="58">
        <f t="shared" si="35"/>
        <v>0</v>
      </c>
      <c r="V89" s="58">
        <f t="shared" si="35"/>
        <v>0</v>
      </c>
      <c r="W89" s="58">
        <f t="shared" si="35"/>
        <v>0</v>
      </c>
      <c r="X89" s="58">
        <f t="shared" si="35"/>
        <v>0</v>
      </c>
      <c r="Y89" s="58">
        <f t="shared" si="35"/>
        <v>0</v>
      </c>
      <c r="Z89" s="58">
        <f t="shared" si="35"/>
        <v>0</v>
      </c>
      <c r="AA89" s="58">
        <f t="shared" si="35"/>
        <v>0</v>
      </c>
      <c r="AB89" s="58">
        <f>SUM(AB90:AB94)</f>
        <v>0</v>
      </c>
    </row>
    <row r="90" spans="2:28">
      <c r="B90" s="35" t="s">
        <v>77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f t="shared" ref="AA90:AB94" si="36">+C90+E90+G90+I90+K90+M90+O90+Q90+S90+U90+W90+Y90</f>
        <v>0</v>
      </c>
      <c r="AB90" s="13">
        <f t="shared" si="36"/>
        <v>0</v>
      </c>
    </row>
    <row r="91" spans="2:28">
      <c r="B91" s="35" t="s">
        <v>43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f t="shared" si="36"/>
        <v>0</v>
      </c>
      <c r="AB91" s="13">
        <f t="shared" si="36"/>
        <v>0</v>
      </c>
    </row>
    <row r="92" spans="2:28">
      <c r="B92" s="35" t="s">
        <v>44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f t="shared" si="36"/>
        <v>0</v>
      </c>
      <c r="AB92" s="13">
        <f t="shared" si="36"/>
        <v>0</v>
      </c>
    </row>
    <row r="93" spans="2:28">
      <c r="B93" s="35" t="s">
        <v>45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f t="shared" si="36"/>
        <v>0</v>
      </c>
      <c r="AB93" s="13">
        <f t="shared" si="36"/>
        <v>0</v>
      </c>
    </row>
    <row r="94" spans="2:28">
      <c r="B94" s="35" t="s">
        <v>234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f t="shared" si="36"/>
        <v>0</v>
      </c>
      <c r="AB94" s="13">
        <f t="shared" si="36"/>
        <v>0</v>
      </c>
    </row>
    <row r="95" spans="2:28">
      <c r="B95" s="34" t="s">
        <v>144</v>
      </c>
      <c r="C95" s="58">
        <f>SUM(C96:C98)</f>
        <v>0</v>
      </c>
      <c r="D95" s="58">
        <f>SUM(D96:D98)</f>
        <v>0</v>
      </c>
      <c r="E95" s="58">
        <f t="shared" ref="E95:Z95" si="37">SUM(E96:E98)</f>
        <v>0</v>
      </c>
      <c r="F95" s="58">
        <f t="shared" si="37"/>
        <v>0</v>
      </c>
      <c r="G95" s="58">
        <f t="shared" si="37"/>
        <v>0</v>
      </c>
      <c r="H95" s="58">
        <f t="shared" si="37"/>
        <v>0</v>
      </c>
      <c r="I95" s="58">
        <f t="shared" si="37"/>
        <v>0</v>
      </c>
      <c r="J95" s="58">
        <f t="shared" si="37"/>
        <v>0</v>
      </c>
      <c r="K95" s="58">
        <f t="shared" si="37"/>
        <v>0</v>
      </c>
      <c r="L95" s="58">
        <f t="shared" si="37"/>
        <v>0</v>
      </c>
      <c r="M95" s="58">
        <f t="shared" si="37"/>
        <v>0</v>
      </c>
      <c r="N95" s="58">
        <f t="shared" si="37"/>
        <v>0</v>
      </c>
      <c r="O95" s="58">
        <f t="shared" si="37"/>
        <v>0</v>
      </c>
      <c r="P95" s="58">
        <f t="shared" si="37"/>
        <v>0</v>
      </c>
      <c r="Q95" s="58">
        <f t="shared" si="37"/>
        <v>0</v>
      </c>
      <c r="R95" s="58">
        <f t="shared" si="37"/>
        <v>0</v>
      </c>
      <c r="S95" s="58">
        <f t="shared" si="37"/>
        <v>0</v>
      </c>
      <c r="T95" s="58">
        <f t="shared" si="37"/>
        <v>0</v>
      </c>
      <c r="U95" s="58">
        <f t="shared" si="37"/>
        <v>0</v>
      </c>
      <c r="V95" s="58">
        <f t="shared" si="37"/>
        <v>0</v>
      </c>
      <c r="W95" s="58">
        <f t="shared" si="37"/>
        <v>0</v>
      </c>
      <c r="X95" s="58">
        <f t="shared" si="37"/>
        <v>0</v>
      </c>
      <c r="Y95" s="58">
        <f t="shared" si="37"/>
        <v>0</v>
      </c>
      <c r="Z95" s="58">
        <f t="shared" si="37"/>
        <v>0</v>
      </c>
      <c r="AA95" s="58">
        <f>SUM(AA96:AA98)</f>
        <v>0</v>
      </c>
      <c r="AB95" s="58">
        <f>SUM(AB96:AB98)</f>
        <v>0</v>
      </c>
    </row>
    <row r="96" spans="2:28">
      <c r="B96" s="35" t="s">
        <v>53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f t="shared" ref="AA96:AB98" si="38">+C96+E96+G96+I96+K96+M96+O96+Q96+S96+U96+W96+Y96</f>
        <v>0</v>
      </c>
      <c r="AB96" s="13">
        <f t="shared" si="38"/>
        <v>0</v>
      </c>
    </row>
    <row r="97" spans="2:28">
      <c r="B97" s="35" t="s">
        <v>145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f t="shared" si="38"/>
        <v>0</v>
      </c>
      <c r="AB97" s="13">
        <f t="shared" si="38"/>
        <v>0</v>
      </c>
    </row>
    <row r="98" spans="2:28">
      <c r="B98" s="35" t="s">
        <v>237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f t="shared" si="38"/>
        <v>0</v>
      </c>
      <c r="AB98" s="13">
        <f t="shared" si="38"/>
        <v>0</v>
      </c>
    </row>
    <row r="99" spans="2:28">
      <c r="B99" s="34" t="s">
        <v>203</v>
      </c>
      <c r="C99" s="58">
        <f t="shared" ref="C99:AB99" si="39">SUM(C100:C106)</f>
        <v>0</v>
      </c>
      <c r="D99" s="58">
        <f t="shared" si="39"/>
        <v>0</v>
      </c>
      <c r="E99" s="58">
        <f t="shared" si="39"/>
        <v>0</v>
      </c>
      <c r="F99" s="58">
        <f t="shared" si="39"/>
        <v>0</v>
      </c>
      <c r="G99" s="58">
        <f t="shared" si="39"/>
        <v>0</v>
      </c>
      <c r="H99" s="58">
        <f t="shared" si="39"/>
        <v>0</v>
      </c>
      <c r="I99" s="58">
        <f t="shared" si="39"/>
        <v>0</v>
      </c>
      <c r="J99" s="58">
        <f t="shared" si="39"/>
        <v>0</v>
      </c>
      <c r="K99" s="58">
        <f t="shared" si="39"/>
        <v>0</v>
      </c>
      <c r="L99" s="58">
        <f t="shared" si="39"/>
        <v>0</v>
      </c>
      <c r="M99" s="58">
        <f t="shared" si="39"/>
        <v>0</v>
      </c>
      <c r="N99" s="58">
        <f t="shared" si="39"/>
        <v>0</v>
      </c>
      <c r="O99" s="58">
        <f t="shared" si="39"/>
        <v>0</v>
      </c>
      <c r="P99" s="58">
        <f t="shared" si="39"/>
        <v>0</v>
      </c>
      <c r="Q99" s="58">
        <f t="shared" si="39"/>
        <v>0</v>
      </c>
      <c r="R99" s="58">
        <f t="shared" si="39"/>
        <v>0</v>
      </c>
      <c r="S99" s="58">
        <f t="shared" si="39"/>
        <v>0</v>
      </c>
      <c r="T99" s="58">
        <f t="shared" si="39"/>
        <v>0</v>
      </c>
      <c r="U99" s="58">
        <f t="shared" si="39"/>
        <v>0</v>
      </c>
      <c r="V99" s="58">
        <f t="shared" si="39"/>
        <v>0</v>
      </c>
      <c r="W99" s="58">
        <f t="shared" si="39"/>
        <v>0</v>
      </c>
      <c r="X99" s="58">
        <f t="shared" si="39"/>
        <v>0</v>
      </c>
      <c r="Y99" s="58">
        <f t="shared" si="39"/>
        <v>0</v>
      </c>
      <c r="Z99" s="58">
        <f t="shared" si="39"/>
        <v>0</v>
      </c>
      <c r="AA99" s="58">
        <f t="shared" si="39"/>
        <v>0</v>
      </c>
      <c r="AB99" s="58">
        <f t="shared" si="39"/>
        <v>0</v>
      </c>
    </row>
    <row r="100" spans="2:28">
      <c r="B100" s="35" t="s">
        <v>238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f t="shared" ref="AA100:AA106" si="40">+C100+E100+G100+I100+K100+M100+O100+Q100+S100+U100+W100+Y100</f>
        <v>0</v>
      </c>
      <c r="AB100" s="13">
        <f t="shared" ref="AB100:AB106" si="41">+D100+F100+H100+J100+L100+N100+P100+R100+T100+V100+X100+Z100</f>
        <v>0</v>
      </c>
    </row>
    <row r="101" spans="2:28">
      <c r="B101" s="35" t="s">
        <v>204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f t="shared" si="40"/>
        <v>0</v>
      </c>
      <c r="AB101" s="13">
        <f t="shared" si="41"/>
        <v>0</v>
      </c>
    </row>
    <row r="102" spans="2:28">
      <c r="B102" s="35" t="s">
        <v>205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f>+C102+E102+G102+I102+K102+M102+O102+Q102+S102+U102+W102+Y102</f>
        <v>0</v>
      </c>
      <c r="AB102" s="13">
        <f>+D102+F102+H102+J102+L102+N102+P102+R102+T102+V102+X102+Z102</f>
        <v>0</v>
      </c>
    </row>
    <row r="103" spans="2:28">
      <c r="B103" s="35" t="s">
        <v>239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f t="shared" si="40"/>
        <v>0</v>
      </c>
      <c r="AB103" s="13">
        <f t="shared" si="41"/>
        <v>0</v>
      </c>
    </row>
    <row r="104" spans="2:28">
      <c r="B104" s="35" t="s">
        <v>206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f t="shared" si="40"/>
        <v>0</v>
      </c>
      <c r="AB104" s="13">
        <f t="shared" si="41"/>
        <v>0</v>
      </c>
    </row>
    <row r="105" spans="2:28">
      <c r="B105" s="35" t="s">
        <v>207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f>+C105+E105+G105+I105+K105+M105+O105+Q105+S105+U105+W105+Y105</f>
        <v>0</v>
      </c>
      <c r="AB105" s="13">
        <f>+D105+F105+H105+J105+L105+N105+P105+R105+T105+V105+X105+Z105</f>
        <v>0</v>
      </c>
    </row>
    <row r="106" spans="2:28">
      <c r="B106" s="35" t="s">
        <v>235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f t="shared" si="40"/>
        <v>0</v>
      </c>
      <c r="AB106" s="13">
        <f t="shared" si="41"/>
        <v>0</v>
      </c>
    </row>
    <row r="107" spans="2:28">
      <c r="B107" s="34" t="s">
        <v>46</v>
      </c>
      <c r="C107" s="58">
        <f>SUM(C108:C112)</f>
        <v>0</v>
      </c>
      <c r="D107" s="58">
        <f>SUM(D108:D112)</f>
        <v>2626000</v>
      </c>
      <c r="E107" s="58">
        <f t="shared" ref="E107:Z107" si="42">SUM(E108:E112)</f>
        <v>0</v>
      </c>
      <c r="F107" s="58">
        <f t="shared" si="42"/>
        <v>980000</v>
      </c>
      <c r="G107" s="58">
        <f t="shared" si="42"/>
        <v>0</v>
      </c>
      <c r="H107" s="58">
        <f t="shared" si="42"/>
        <v>0</v>
      </c>
      <c r="I107" s="58">
        <f t="shared" si="42"/>
        <v>0</v>
      </c>
      <c r="J107" s="58">
        <f t="shared" si="42"/>
        <v>0</v>
      </c>
      <c r="K107" s="58">
        <f t="shared" si="42"/>
        <v>0</v>
      </c>
      <c r="L107" s="58">
        <f t="shared" si="42"/>
        <v>0</v>
      </c>
      <c r="M107" s="58">
        <f t="shared" si="42"/>
        <v>0</v>
      </c>
      <c r="N107" s="58">
        <f t="shared" si="42"/>
        <v>0</v>
      </c>
      <c r="O107" s="58">
        <f t="shared" si="42"/>
        <v>0</v>
      </c>
      <c r="P107" s="58">
        <f t="shared" si="42"/>
        <v>0</v>
      </c>
      <c r="Q107" s="58">
        <f t="shared" si="42"/>
        <v>0</v>
      </c>
      <c r="R107" s="58">
        <f t="shared" si="42"/>
        <v>0</v>
      </c>
      <c r="S107" s="58">
        <f t="shared" si="42"/>
        <v>0</v>
      </c>
      <c r="T107" s="58">
        <f t="shared" si="42"/>
        <v>0</v>
      </c>
      <c r="U107" s="58">
        <f t="shared" si="42"/>
        <v>0</v>
      </c>
      <c r="V107" s="58">
        <f t="shared" si="42"/>
        <v>0</v>
      </c>
      <c r="W107" s="58">
        <f t="shared" si="42"/>
        <v>0</v>
      </c>
      <c r="X107" s="58">
        <f t="shared" si="42"/>
        <v>0</v>
      </c>
      <c r="Y107" s="58">
        <f t="shared" si="42"/>
        <v>0</v>
      </c>
      <c r="Z107" s="58">
        <f t="shared" si="42"/>
        <v>0</v>
      </c>
      <c r="AA107" s="58">
        <f>SUM(AA108:AA112)</f>
        <v>0</v>
      </c>
      <c r="AB107" s="58">
        <f>SUM(AB108:AB112)</f>
        <v>3606000</v>
      </c>
    </row>
    <row r="108" spans="2:28">
      <c r="B108" s="35" t="s">
        <v>246</v>
      </c>
      <c r="C108" s="13">
        <v>0</v>
      </c>
      <c r="D108" s="13">
        <v>980000</v>
      </c>
      <c r="E108" s="13">
        <f>+C108</f>
        <v>0</v>
      </c>
      <c r="F108" s="13">
        <f>+D108</f>
        <v>980000</v>
      </c>
      <c r="G108" s="13">
        <v>0</v>
      </c>
      <c r="H108" s="13">
        <v>0</v>
      </c>
      <c r="I108" s="13">
        <f t="shared" ref="I108:Z108" si="43">+G108</f>
        <v>0</v>
      </c>
      <c r="J108" s="13">
        <v>0</v>
      </c>
      <c r="K108" s="13">
        <f t="shared" si="43"/>
        <v>0</v>
      </c>
      <c r="L108" s="13">
        <f t="shared" si="43"/>
        <v>0</v>
      </c>
      <c r="M108" s="13">
        <f t="shared" si="43"/>
        <v>0</v>
      </c>
      <c r="N108" s="13">
        <f t="shared" si="43"/>
        <v>0</v>
      </c>
      <c r="O108" s="13">
        <f t="shared" si="43"/>
        <v>0</v>
      </c>
      <c r="P108" s="13">
        <f t="shared" si="43"/>
        <v>0</v>
      </c>
      <c r="Q108" s="13">
        <f t="shared" si="43"/>
        <v>0</v>
      </c>
      <c r="R108" s="13">
        <f t="shared" si="43"/>
        <v>0</v>
      </c>
      <c r="S108" s="13">
        <f t="shared" si="43"/>
        <v>0</v>
      </c>
      <c r="T108" s="13">
        <v>0</v>
      </c>
      <c r="U108" s="13">
        <f t="shared" si="43"/>
        <v>0</v>
      </c>
      <c r="V108" s="13">
        <v>0</v>
      </c>
      <c r="W108" s="13">
        <f t="shared" si="43"/>
        <v>0</v>
      </c>
      <c r="X108" s="13">
        <f t="shared" si="43"/>
        <v>0</v>
      </c>
      <c r="Y108" s="13">
        <f t="shared" si="43"/>
        <v>0</v>
      </c>
      <c r="Z108" s="13">
        <f t="shared" si="43"/>
        <v>0</v>
      </c>
      <c r="AA108" s="13">
        <f t="shared" ref="AA108:AB112" si="44">+C108+E108+G108+I108+K108+M108+O108+Q108+S108+U108+W108+Y108</f>
        <v>0</v>
      </c>
      <c r="AB108" s="13">
        <f t="shared" si="44"/>
        <v>1960000</v>
      </c>
    </row>
    <row r="109" spans="2:28">
      <c r="B109" s="35" t="s">
        <v>114</v>
      </c>
      <c r="C109" s="13">
        <v>0</v>
      </c>
      <c r="D109" s="13">
        <v>1646000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f t="shared" si="44"/>
        <v>0</v>
      </c>
      <c r="AB109" s="13">
        <f t="shared" si="44"/>
        <v>1646000</v>
      </c>
    </row>
    <row r="110" spans="2:28">
      <c r="B110" s="35" t="s">
        <v>113</v>
      </c>
      <c r="C110" s="13">
        <v>0</v>
      </c>
      <c r="D110" s="13"/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f t="shared" si="44"/>
        <v>0</v>
      </c>
      <c r="AB110" s="13">
        <f t="shared" si="44"/>
        <v>0</v>
      </c>
    </row>
    <row r="111" spans="2:28">
      <c r="B111" s="35" t="s">
        <v>55</v>
      </c>
      <c r="C111" s="13">
        <v>0</v>
      </c>
      <c r="D111" s="13"/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f t="shared" si="44"/>
        <v>0</v>
      </c>
      <c r="AB111" s="13">
        <f t="shared" si="44"/>
        <v>0</v>
      </c>
    </row>
    <row r="112" spans="2:28">
      <c r="B112" s="35" t="s">
        <v>49</v>
      </c>
      <c r="C112" s="13">
        <v>0</v>
      </c>
      <c r="D112" s="13"/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f t="shared" si="44"/>
        <v>0</v>
      </c>
      <c r="AB112" s="13">
        <f t="shared" si="44"/>
        <v>0</v>
      </c>
    </row>
    <row r="113" spans="2:28">
      <c r="B113" s="34" t="s">
        <v>50</v>
      </c>
      <c r="C113" s="58">
        <f>SUM(C114:C120)</f>
        <v>0</v>
      </c>
      <c r="D113" s="58">
        <f>SUM(D114:D120)</f>
        <v>60000</v>
      </c>
      <c r="E113" s="58">
        <f t="shared" ref="E113:Z113" si="45">SUM(E114:E120)</f>
        <v>0</v>
      </c>
      <c r="F113" s="58">
        <f t="shared" si="45"/>
        <v>50000</v>
      </c>
      <c r="G113" s="58">
        <f t="shared" si="45"/>
        <v>207200</v>
      </c>
      <c r="H113" s="58">
        <f t="shared" si="45"/>
        <v>298200</v>
      </c>
      <c r="I113" s="58">
        <f t="shared" si="45"/>
        <v>0</v>
      </c>
      <c r="J113" s="58">
        <f t="shared" si="45"/>
        <v>0</v>
      </c>
      <c r="K113" s="58">
        <f t="shared" si="45"/>
        <v>300000</v>
      </c>
      <c r="L113" s="58">
        <f t="shared" si="45"/>
        <v>0</v>
      </c>
      <c r="M113" s="58">
        <f t="shared" si="45"/>
        <v>700000</v>
      </c>
      <c r="N113" s="58">
        <f t="shared" si="45"/>
        <v>0</v>
      </c>
      <c r="O113" s="58">
        <f t="shared" si="45"/>
        <v>0</v>
      </c>
      <c r="P113" s="58">
        <f t="shared" si="45"/>
        <v>0</v>
      </c>
      <c r="Q113" s="58">
        <f t="shared" si="45"/>
        <v>0</v>
      </c>
      <c r="R113" s="58">
        <f t="shared" si="45"/>
        <v>0</v>
      </c>
      <c r="S113" s="58">
        <f t="shared" si="45"/>
        <v>0</v>
      </c>
      <c r="T113" s="58">
        <f t="shared" si="45"/>
        <v>0</v>
      </c>
      <c r="U113" s="58">
        <f t="shared" si="45"/>
        <v>150000</v>
      </c>
      <c r="V113" s="58">
        <f t="shared" si="45"/>
        <v>0</v>
      </c>
      <c r="W113" s="58">
        <f t="shared" si="45"/>
        <v>0</v>
      </c>
      <c r="X113" s="58">
        <f t="shared" si="45"/>
        <v>0</v>
      </c>
      <c r="Y113" s="58">
        <f t="shared" si="45"/>
        <v>0</v>
      </c>
      <c r="Z113" s="58">
        <f t="shared" si="45"/>
        <v>0</v>
      </c>
      <c r="AA113" s="58">
        <f>SUM(AA114:AA120)</f>
        <v>1357200</v>
      </c>
      <c r="AB113" s="58">
        <f>SUM(AB114:AB120)</f>
        <v>408200</v>
      </c>
    </row>
    <row r="114" spans="2:28">
      <c r="B114" s="35" t="s">
        <v>79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300000</v>
      </c>
      <c r="L114" s="13">
        <v>0</v>
      </c>
      <c r="M114" s="13">
        <v>300000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f>+C114+E114+G114+I114+K114+M114+O114+Q114+S114+U114+W114+Y114</f>
        <v>600000</v>
      </c>
      <c r="AB114" s="13">
        <f>+D114+F114+H114+J114+L114+N114+P114+R114+T114+V114+X114+Z114</f>
        <v>0</v>
      </c>
    </row>
    <row r="115" spans="2:28">
      <c r="B115" s="35" t="s">
        <v>142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150000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f t="shared" ref="AA115:AA120" si="46">+C115+E115+G115+I115+K115+M115+O115+Q115+S115+U115+W115+Y115</f>
        <v>150000</v>
      </c>
      <c r="AB115" s="13">
        <f t="shared" ref="AB115:AB120" si="47">+D115+F115+H115+J115+L115+N115+P115+R115+T115+V115+X115+Z115</f>
        <v>0</v>
      </c>
    </row>
    <row r="116" spans="2:28">
      <c r="B116" s="35" t="s">
        <v>143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f t="shared" si="46"/>
        <v>0</v>
      </c>
      <c r="AB116" s="13">
        <f t="shared" si="47"/>
        <v>0</v>
      </c>
    </row>
    <row r="117" spans="2:28">
      <c r="B117" s="35" t="s">
        <v>78</v>
      </c>
      <c r="C117" s="13">
        <v>0</v>
      </c>
      <c r="D117" s="13">
        <v>60000</v>
      </c>
      <c r="E117" s="13">
        <v>0</v>
      </c>
      <c r="F117" s="13">
        <v>50000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f t="shared" si="46"/>
        <v>0</v>
      </c>
      <c r="AB117" s="13">
        <f t="shared" si="47"/>
        <v>110000</v>
      </c>
    </row>
    <row r="118" spans="2:28">
      <c r="B118" s="35" t="s">
        <v>208</v>
      </c>
      <c r="C118" s="13">
        <v>0</v>
      </c>
      <c r="D118" s="13">
        <v>0</v>
      </c>
      <c r="E118" s="13">
        <v>0</v>
      </c>
      <c r="F118" s="13">
        <v>0</v>
      </c>
      <c r="G118" s="13">
        <v>207200</v>
      </c>
      <c r="H118" s="13">
        <v>298200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f>+C118+E118+G118+I118+K118+M118+O118+Q118+S118+U118+W118+Y118</f>
        <v>207200</v>
      </c>
      <c r="AB118" s="13">
        <f>+D118+F118+H118+J118+L118+N118+P118+R118+T118+V118+X118+Z118</f>
        <v>298200</v>
      </c>
    </row>
    <row r="119" spans="2:28">
      <c r="B119" s="35" t="s">
        <v>80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f t="shared" si="46"/>
        <v>0</v>
      </c>
      <c r="AB119" s="13">
        <f t="shared" si="47"/>
        <v>0</v>
      </c>
    </row>
    <row r="120" spans="2:28">
      <c r="B120" s="35" t="s">
        <v>51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400000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f t="shared" si="46"/>
        <v>400000</v>
      </c>
      <c r="AB120" s="13">
        <f t="shared" si="47"/>
        <v>0</v>
      </c>
    </row>
    <row r="121" spans="2:28">
      <c r="B121" s="34" t="s">
        <v>123</v>
      </c>
      <c r="C121" s="58">
        <f>SUM(C122:C127)</f>
        <v>0</v>
      </c>
      <c r="D121" s="58">
        <f>SUM(D122:D127)</f>
        <v>39300</v>
      </c>
      <c r="E121" s="58">
        <f t="shared" ref="E121:Z121" si="48">SUM(E122:E127)</f>
        <v>0</v>
      </c>
      <c r="F121" s="58">
        <f t="shared" si="48"/>
        <v>1685300</v>
      </c>
      <c r="G121" s="58">
        <f t="shared" si="48"/>
        <v>0</v>
      </c>
      <c r="H121" s="58">
        <f t="shared" si="48"/>
        <v>216838</v>
      </c>
      <c r="I121" s="58">
        <f t="shared" si="48"/>
        <v>0</v>
      </c>
      <c r="J121" s="58">
        <f t="shared" si="48"/>
        <v>526200</v>
      </c>
      <c r="K121" s="58">
        <f t="shared" si="48"/>
        <v>0</v>
      </c>
      <c r="L121" s="58">
        <f>SUM(L122:L127)</f>
        <v>0</v>
      </c>
      <c r="M121" s="58">
        <f t="shared" si="48"/>
        <v>0</v>
      </c>
      <c r="N121" s="58">
        <f t="shared" si="48"/>
        <v>0</v>
      </c>
      <c r="O121" s="58">
        <f t="shared" si="48"/>
        <v>0</v>
      </c>
      <c r="P121" s="58">
        <f t="shared" si="48"/>
        <v>1074500</v>
      </c>
      <c r="Q121" s="58">
        <f t="shared" si="48"/>
        <v>0</v>
      </c>
      <c r="R121" s="58">
        <f t="shared" si="48"/>
        <v>656200</v>
      </c>
      <c r="S121" s="58">
        <f t="shared" si="48"/>
        <v>0</v>
      </c>
      <c r="T121" s="58">
        <f t="shared" si="48"/>
        <v>0</v>
      </c>
      <c r="U121" s="58">
        <f t="shared" si="48"/>
        <v>939000</v>
      </c>
      <c r="V121" s="58">
        <f t="shared" si="48"/>
        <v>0</v>
      </c>
      <c r="W121" s="58">
        <f t="shared" si="48"/>
        <v>0</v>
      </c>
      <c r="X121" s="58">
        <f t="shared" si="48"/>
        <v>34700</v>
      </c>
      <c r="Y121" s="58">
        <f t="shared" si="48"/>
        <v>0</v>
      </c>
      <c r="Z121" s="58">
        <f t="shared" si="48"/>
        <v>0</v>
      </c>
      <c r="AA121" s="58">
        <f>SUM(AA122:AA127)</f>
        <v>939000</v>
      </c>
      <c r="AB121" s="58">
        <f>SUM(AB122:AB127)</f>
        <v>4233038</v>
      </c>
    </row>
    <row r="122" spans="2:28">
      <c r="B122" s="35" t="s">
        <v>195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f t="shared" ref="AA122:AA127" si="49">+C122+E122+G122+I122+K122+M122+O122+Q122+S122+U122+W122+Y122</f>
        <v>0</v>
      </c>
      <c r="AB122" s="13">
        <f t="shared" ref="AB122:AB127" si="50">+D122+F122+H122+J122+L122+N122+P122+R122+T122+V122+X122+Z122</f>
        <v>0</v>
      </c>
    </row>
    <row r="123" spans="2:28">
      <c r="B123" s="35" t="s">
        <v>196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f t="shared" ref="AA123:AB125" si="51">+C123+E123+G123+I123+K123+M123+O123+Q123+S123+U123+W123+Y123</f>
        <v>0</v>
      </c>
      <c r="AB123" s="13">
        <f t="shared" si="51"/>
        <v>0</v>
      </c>
    </row>
    <row r="124" spans="2:28">
      <c r="B124" s="35" t="s">
        <v>197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f t="shared" si="51"/>
        <v>0</v>
      </c>
      <c r="AB124" s="13">
        <f t="shared" si="51"/>
        <v>0</v>
      </c>
    </row>
    <row r="125" spans="2:28">
      <c r="B125" s="35" t="s">
        <v>198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229000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600000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f t="shared" si="51"/>
        <v>0</v>
      </c>
      <c r="AB125" s="13">
        <f t="shared" si="51"/>
        <v>829000</v>
      </c>
    </row>
    <row r="126" spans="2:28">
      <c r="B126" s="35" t="s">
        <v>240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f t="shared" si="49"/>
        <v>0</v>
      </c>
      <c r="AB126" s="13">
        <f t="shared" si="50"/>
        <v>0</v>
      </c>
    </row>
    <row r="127" spans="2:28">
      <c r="B127" s="35" t="s">
        <v>236</v>
      </c>
      <c r="C127" s="13">
        <v>0</v>
      </c>
      <c r="D127" s="13">
        <v>39300</v>
      </c>
      <c r="E127" s="13">
        <v>0</v>
      </c>
      <c r="F127" s="13">
        <f>1646000+39300</f>
        <v>1685300</v>
      </c>
      <c r="G127" s="13">
        <v>0</v>
      </c>
      <c r="H127" s="13">
        <f>131338+70500+15000</f>
        <v>216838</v>
      </c>
      <c r="I127" s="13">
        <v>0</v>
      </c>
      <c r="J127" s="13">
        <f>105000+34200+70000+88000</f>
        <v>297200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f>69400+901000+104100</f>
        <v>1074500</v>
      </c>
      <c r="Q127" s="13">
        <v>0</v>
      </c>
      <c r="R127" s="13">
        <v>56200</v>
      </c>
      <c r="S127" s="13">
        <v>0</v>
      </c>
      <c r="T127" s="13">
        <v>0</v>
      </c>
      <c r="U127" s="13">
        <v>939000</v>
      </c>
      <c r="V127" s="13">
        <v>0</v>
      </c>
      <c r="W127" s="13">
        <v>0</v>
      </c>
      <c r="X127" s="13">
        <v>34700</v>
      </c>
      <c r="Y127" s="13">
        <v>0</v>
      </c>
      <c r="Z127" s="13">
        <v>0</v>
      </c>
      <c r="AA127" s="13">
        <f t="shared" si="49"/>
        <v>939000</v>
      </c>
      <c r="AB127" s="13">
        <f t="shared" si="50"/>
        <v>3404038</v>
      </c>
    </row>
    <row r="128" spans="2:28">
      <c r="B128" s="36" t="s">
        <v>149</v>
      </c>
      <c r="C128" s="59">
        <f>+C121+C113+C107+C99+C99+C95+C89+C84+C78+C59+C47+C42+C38+C33+C19</f>
        <v>3870970</v>
      </c>
      <c r="D128" s="59">
        <f t="shared" ref="D128:AB128" si="52">+D121+D113+D107+D99+D99+D95+D89+D84+D78+D59+D47+D42+D38+D33+D19</f>
        <v>6920968</v>
      </c>
      <c r="E128" s="59">
        <f t="shared" si="52"/>
        <v>3341156</v>
      </c>
      <c r="F128" s="59">
        <f t="shared" si="52"/>
        <v>8256293</v>
      </c>
      <c r="G128" s="59">
        <f t="shared" si="52"/>
        <v>4399536</v>
      </c>
      <c r="H128" s="59">
        <f t="shared" si="52"/>
        <v>4640003</v>
      </c>
      <c r="I128" s="59">
        <f t="shared" si="52"/>
        <v>5309650</v>
      </c>
      <c r="J128" s="59">
        <f t="shared" si="52"/>
        <v>5959070</v>
      </c>
      <c r="K128" s="59">
        <f t="shared" si="52"/>
        <v>5784851</v>
      </c>
      <c r="L128" s="59">
        <f t="shared" si="52"/>
        <v>7638200</v>
      </c>
      <c r="M128" s="59">
        <f t="shared" si="52"/>
        <v>5834006</v>
      </c>
      <c r="N128" s="59">
        <f t="shared" si="52"/>
        <v>5110236</v>
      </c>
      <c r="O128" s="59">
        <f t="shared" si="52"/>
        <v>2743274</v>
      </c>
      <c r="P128" s="59">
        <f t="shared" si="52"/>
        <v>6142660</v>
      </c>
      <c r="Q128" s="59">
        <f t="shared" si="52"/>
        <v>4987342</v>
      </c>
      <c r="R128" s="59">
        <f t="shared" si="52"/>
        <v>4428499</v>
      </c>
      <c r="S128" s="59">
        <f t="shared" si="52"/>
        <v>3580382</v>
      </c>
      <c r="T128" s="59">
        <f t="shared" si="52"/>
        <v>878521</v>
      </c>
      <c r="U128" s="59">
        <f t="shared" si="52"/>
        <v>6919218</v>
      </c>
      <c r="V128" s="59">
        <f t="shared" si="52"/>
        <v>2150861</v>
      </c>
      <c r="W128" s="59">
        <f t="shared" si="52"/>
        <v>4944433</v>
      </c>
      <c r="X128" s="59">
        <f t="shared" si="52"/>
        <v>2718211</v>
      </c>
      <c r="Y128" s="59">
        <f t="shared" si="52"/>
        <v>7580195</v>
      </c>
      <c r="Z128" s="59">
        <f t="shared" si="52"/>
        <v>7648706</v>
      </c>
      <c r="AA128" s="59">
        <f t="shared" si="52"/>
        <v>59295013</v>
      </c>
      <c r="AB128" s="59">
        <f t="shared" si="52"/>
        <v>62492228</v>
      </c>
    </row>
    <row r="130" spans="2:28">
      <c r="B130" s="37" t="s">
        <v>56</v>
      </c>
      <c r="C130" s="12">
        <f t="shared" ref="C130:AB130" si="53">+C15-C128</f>
        <v>125179</v>
      </c>
      <c r="D130" s="12">
        <f t="shared" si="53"/>
        <v>-2277266</v>
      </c>
      <c r="E130" s="12">
        <f t="shared" si="53"/>
        <v>-1552718</v>
      </c>
      <c r="F130" s="12">
        <f t="shared" si="53"/>
        <v>-2447063</v>
      </c>
      <c r="G130" s="12">
        <f t="shared" si="53"/>
        <v>3917505</v>
      </c>
      <c r="H130" s="12">
        <f t="shared" si="53"/>
        <v>500110</v>
      </c>
      <c r="I130" s="12">
        <f t="shared" si="53"/>
        <v>3066897</v>
      </c>
      <c r="J130" s="12">
        <f t="shared" si="53"/>
        <v>631401</v>
      </c>
      <c r="K130" s="12">
        <f t="shared" si="53"/>
        <v>-1529847</v>
      </c>
      <c r="L130" s="12">
        <f t="shared" si="53"/>
        <v>1448355</v>
      </c>
      <c r="M130" s="12">
        <f t="shared" si="53"/>
        <v>975785</v>
      </c>
      <c r="N130" s="12">
        <f t="shared" si="53"/>
        <v>1500158</v>
      </c>
      <c r="O130" s="12">
        <f t="shared" si="53"/>
        <v>4244678</v>
      </c>
      <c r="P130" s="12">
        <f t="shared" si="53"/>
        <v>-772800</v>
      </c>
      <c r="Q130" s="12">
        <f t="shared" si="53"/>
        <v>864658</v>
      </c>
      <c r="R130" s="12">
        <f t="shared" si="53"/>
        <v>-4428499</v>
      </c>
      <c r="S130" s="12">
        <f t="shared" si="53"/>
        <v>-1185325</v>
      </c>
      <c r="T130" s="12">
        <f t="shared" si="53"/>
        <v>-878521</v>
      </c>
      <c r="U130" s="12">
        <f t="shared" si="53"/>
        <v>1655684</v>
      </c>
      <c r="V130" s="12">
        <f t="shared" si="53"/>
        <v>-2150861</v>
      </c>
      <c r="W130" s="12">
        <f t="shared" si="53"/>
        <v>3836134</v>
      </c>
      <c r="X130" s="12">
        <f t="shared" si="53"/>
        <v>222162</v>
      </c>
      <c r="Y130" s="12">
        <f t="shared" si="53"/>
        <v>68040</v>
      </c>
      <c r="Z130" s="12">
        <f t="shared" si="53"/>
        <v>-7648706</v>
      </c>
      <c r="AA130" s="12">
        <f t="shared" si="53"/>
        <v>11939354</v>
      </c>
      <c r="AB130" s="12">
        <f t="shared" si="53"/>
        <v>-17454201</v>
      </c>
    </row>
    <row r="132" spans="2:28">
      <c r="Y132" s="60"/>
      <c r="Z132" s="60"/>
      <c r="AA132" s="60"/>
      <c r="AB132" s="60"/>
    </row>
    <row r="133" spans="2:28">
      <c r="Y133" s="60"/>
      <c r="Z133" s="60"/>
      <c r="AA133" s="60"/>
      <c r="AB133" s="60"/>
    </row>
  </sheetData>
  <mergeCells count="29">
    <mergeCell ref="Y17:Z17"/>
    <mergeCell ref="AA17:AB17"/>
    <mergeCell ref="M17:N17"/>
    <mergeCell ref="O17:P17"/>
    <mergeCell ref="Q17:R17"/>
    <mergeCell ref="S17:T17"/>
    <mergeCell ref="U17:V17"/>
    <mergeCell ref="W17:X17"/>
    <mergeCell ref="K17:L17"/>
    <mergeCell ref="B17:B18"/>
    <mergeCell ref="C17:D17"/>
    <mergeCell ref="E17:F17"/>
    <mergeCell ref="G17:H17"/>
    <mergeCell ref="I17:J17"/>
    <mergeCell ref="AA7:AB7"/>
    <mergeCell ref="A1:AB5"/>
    <mergeCell ref="B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ICE</vt:lpstr>
      <vt:lpstr>Presupuesto Personal - Familiar</vt:lpstr>
      <vt:lpstr>Flujo de Caja Empresarial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Henao Sierra</dc:creator>
  <cp:lastModifiedBy>juan camilo rodriguez garzon</cp:lastModifiedBy>
  <dcterms:created xsi:type="dcterms:W3CDTF">2017-02-06T18:56:21Z</dcterms:created>
  <dcterms:modified xsi:type="dcterms:W3CDTF">2023-12-04T23:27:02Z</dcterms:modified>
</cp:coreProperties>
</file>